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0.xml" ContentType="application/vnd.openxmlformats-officedocument.drawing+xml"/>
  <Override PartName="/xl/charts/chart7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7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7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7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8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83.xml" ContentType="application/vnd.openxmlformats-officedocument.drawingml.chart+xml"/>
  <Override PartName="/xl/drawings/drawing14.xml" ContentType="application/vnd.openxmlformats-officedocument.drawing+xml"/>
  <Override PartName="/xl/charts/chart8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8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9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9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023782\Documents\GitHub\ESC\myESC-Particle-DEV\saves\"/>
    </mc:Choice>
  </mc:AlternateContent>
  <bookViews>
    <workbookView xWindow="0" yWindow="0" windowWidth="20970" windowHeight="8400" firstSheet="5" activeTab="7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_Turn_ESC_Gb_Ta" sheetId="17" r:id="rId8"/>
    <sheet name="Ardx_Turnx_ESCx_Gxb_Txa" sheetId="16" r:id="rId9"/>
    <sheet name="DeltaV" sheetId="19" r:id="rId10"/>
    <sheet name="ChartTauT" sheetId="18" r:id="rId11"/>
    <sheet name="CalPhotonTurnigy" sheetId="4" r:id="rId12"/>
    <sheet name="TauPhotonTurnigy" sheetId="5" r:id="rId13"/>
    <sheet name="CalArduinoHiTec" sheetId="1" r:id="rId14"/>
  </sheets>
  <definedNames>
    <definedName name="Meas_TauT__s" localSheetId="7">Ard_Turn_ESC_Gb_Ta!$L$37:$L$42</definedName>
    <definedName name="Meas_TauT__s" localSheetId="2">Ard0_Turn0_ESC0_G0b_T0a!$L$38:$L$43</definedName>
    <definedName name="Meas_TauT__s" localSheetId="3">Ard1_Turn1x_ESC1_G1b_T1a!$L$38:$L$43</definedName>
    <definedName name="Meas_TauT__s" localSheetId="4">Ard2_Turn2_ESC2_G2b_T2a!$L$38:$L$43</definedName>
    <definedName name="Meas_TauT__s" localSheetId="5">Ard3_Turn3_ESC3_G3b_T3a!$L$39:$L$44</definedName>
    <definedName name="Meas_TauT__s" localSheetId="6">Ard4_Turn4_ESC4_G4b_T4a!$L$37:$L$42</definedName>
    <definedName name="Meas_TauT__s" localSheetId="8">Ardx_Turnx_ESCx_Gxb_Txa!$K$39:$K$44</definedName>
    <definedName name="Meas_TauT__s">#REF!</definedName>
    <definedName name="MeasNt" localSheetId="7">Ard_Turn_ESC_Gb_Ta!$I$37:$I$42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8">Ardx_Turnx_ESCx_Gxb_Txa!$I$39:$I$44</definedName>
    <definedName name="MeasNt">#REF!</definedName>
    <definedName name="MeasTauT" localSheetId="7">Ard_Turn_ESC_Gb_Ta!$L$37:$L$42</definedName>
    <definedName name="MeasTauT" localSheetId="2">Ard0_Turn0_ESC0_G0b_T0a!$L$38:$L$43</definedName>
    <definedName name="MeasTauT" localSheetId="3">Ard1_Turn1x_ESC1_G1b_T1a!$L$38:$L$43</definedName>
    <definedName name="MeasTauT" localSheetId="4">Ard2_Turn2_ESC2_G2b_T2a!$L$38:$L$43</definedName>
    <definedName name="MeasTauT" localSheetId="5">Ard3_Turn3_ESC3_G3b_T3a!$L$39:$L$44</definedName>
    <definedName name="MeasTauT" localSheetId="6">Ard4_Turn4_ESC4_G4b_T4a!$L$37:$L$42</definedName>
    <definedName name="MeasTauT" localSheetId="8">Ardx_Turnx_ESCx_Gxb_Txa!$K$39:$K$44</definedName>
    <definedName name="MeasTauT">#REF!</definedName>
    <definedName name="Nt" localSheetId="7">Ard_Turn_ESC_Gb_Ta!$I$37:$I$42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8">Ardx_Turnx_ESCx_Gxb_Txa!$I$39:$I$44</definedName>
    <definedName name="Nt">#REF!</definedName>
    <definedName name="Nts">#REF!</definedName>
  </definedNames>
  <calcPr calcId="171027"/>
</workbook>
</file>

<file path=xl/calcChain.xml><?xml version="1.0" encoding="utf-8"?>
<calcChain xmlns="http://schemas.openxmlformats.org/spreadsheetml/2006/main">
  <c r="K39" i="10" l="1"/>
  <c r="K40" i="10"/>
  <c r="K41" i="10"/>
  <c r="K42" i="10"/>
  <c r="K43" i="10"/>
  <c r="K38" i="10"/>
  <c r="K41" i="9"/>
  <c r="K42" i="9"/>
  <c r="K43" i="9"/>
  <c r="K44" i="9"/>
  <c r="K45" i="9"/>
  <c r="K40" i="9"/>
  <c r="K40" i="8"/>
  <c r="K41" i="8"/>
  <c r="K42" i="8"/>
  <c r="K43" i="8"/>
  <c r="K44" i="8"/>
  <c r="K39" i="8"/>
  <c r="K40" i="13"/>
  <c r="K41" i="13"/>
  <c r="K42" i="13"/>
  <c r="K43" i="13"/>
  <c r="K44" i="13"/>
  <c r="K39" i="13"/>
  <c r="K40" i="14"/>
  <c r="K41" i="14"/>
  <c r="K42" i="14"/>
  <c r="K43" i="14"/>
  <c r="K39" i="1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3" i="4"/>
  <c r="Z3" i="16"/>
  <c r="Z4" i="16"/>
  <c r="Z5" i="16"/>
  <c r="Z6" i="16"/>
  <c r="Z7" i="16"/>
  <c r="Z8" i="16"/>
  <c r="Z9" i="16"/>
  <c r="Z10" i="16"/>
  <c r="Z11" i="16"/>
  <c r="Z12" i="16"/>
  <c r="Z13" i="16"/>
  <c r="Z2" i="16"/>
  <c r="Z3" i="10"/>
  <c r="Z4" i="10"/>
  <c r="Z5" i="10"/>
  <c r="Z6" i="10"/>
  <c r="Z7" i="10"/>
  <c r="Z8" i="10"/>
  <c r="Z9" i="10"/>
  <c r="Z10" i="10"/>
  <c r="Z11" i="10"/>
  <c r="Z2" i="10"/>
  <c r="Z3" i="9"/>
  <c r="Z4" i="9"/>
  <c r="Z5" i="9"/>
  <c r="Z6" i="9"/>
  <c r="Z7" i="9"/>
  <c r="Z8" i="9"/>
  <c r="Z9" i="9"/>
  <c r="Z10" i="9"/>
  <c r="Z11" i="9"/>
  <c r="Z12" i="9"/>
  <c r="Z13" i="9"/>
  <c r="Z2" i="9"/>
  <c r="Z3" i="8"/>
  <c r="Z4" i="8"/>
  <c r="Z5" i="8"/>
  <c r="Z6" i="8"/>
  <c r="Z7" i="8"/>
  <c r="Z8" i="8"/>
  <c r="Z9" i="8"/>
  <c r="Z10" i="8"/>
  <c r="Z11" i="8"/>
  <c r="Z12" i="8"/>
  <c r="Z2" i="8"/>
  <c r="Z3" i="13"/>
  <c r="Z4" i="13"/>
  <c r="Z5" i="13"/>
  <c r="Z6" i="13"/>
  <c r="Z7" i="13"/>
  <c r="Z8" i="13"/>
  <c r="Z9" i="13"/>
  <c r="Z10" i="13"/>
  <c r="Z11" i="13"/>
  <c r="Z12" i="13"/>
  <c r="Z2" i="13"/>
  <c r="Z3" i="14"/>
  <c r="Z4" i="14"/>
  <c r="Z5" i="14"/>
  <c r="Z6" i="14"/>
  <c r="Z7" i="14"/>
  <c r="Z8" i="14"/>
  <c r="Z9" i="14"/>
  <c r="Z10" i="14"/>
  <c r="Z11" i="14"/>
  <c r="Z12" i="14"/>
  <c r="Z2" i="14"/>
  <c r="V55" i="17" l="1"/>
  <c r="U55" i="17"/>
  <c r="T55" i="17"/>
  <c r="S55" i="17"/>
  <c r="R55" i="17"/>
  <c r="Q55" i="17"/>
  <c r="V54" i="17"/>
  <c r="U54" i="17"/>
  <c r="T54" i="17"/>
  <c r="S54" i="17"/>
  <c r="R54" i="17"/>
  <c r="Q54" i="17"/>
  <c r="J53" i="17"/>
  <c r="S49" i="17" s="1"/>
  <c r="J52" i="17"/>
  <c r="T49" i="17" s="1"/>
  <c r="V51" i="17"/>
  <c r="U51" i="17"/>
  <c r="T51" i="17"/>
  <c r="S51" i="17"/>
  <c r="R51" i="17"/>
  <c r="Q51" i="17"/>
  <c r="V50" i="17"/>
  <c r="U50" i="17"/>
  <c r="T50" i="17"/>
  <c r="S50" i="17"/>
  <c r="R50" i="17"/>
  <c r="Q50" i="17"/>
  <c r="E48" i="17"/>
  <c r="I43" i="17"/>
  <c r="J54" i="17" s="1"/>
  <c r="R49" i="17" s="1"/>
  <c r="I38" i="17"/>
  <c r="Q35" i="17"/>
  <c r="Q33" i="17"/>
  <c r="Q32" i="17"/>
  <c r="C32" i="17"/>
  <c r="Z12" i="17" s="1"/>
  <c r="Q31" i="17"/>
  <c r="Q30" i="17"/>
  <c r="AH7" i="17" s="1"/>
  <c r="AI7" i="17" s="1"/>
  <c r="C30" i="17"/>
  <c r="C31" i="17" s="1"/>
  <c r="Q29" i="17"/>
  <c r="J29" i="17"/>
  <c r="J28" i="17"/>
  <c r="J30" i="17" s="1"/>
  <c r="J31" i="17" s="1"/>
  <c r="J27" i="17"/>
  <c r="Q26" i="17"/>
  <c r="Q25" i="17"/>
  <c r="Q24" i="17"/>
  <c r="Q23" i="17"/>
  <c r="Q22" i="17"/>
  <c r="O12" i="17"/>
  <c r="Q12" i="17" s="1"/>
  <c r="AE12" i="17" s="1"/>
  <c r="N12" i="17"/>
  <c r="P12" i="17" s="1"/>
  <c r="L12" i="17"/>
  <c r="M12" i="17" s="1"/>
  <c r="K12" i="17"/>
  <c r="U12" i="17" s="1"/>
  <c r="C12" i="17"/>
  <c r="O11" i="17"/>
  <c r="Q11" i="17" s="1"/>
  <c r="S11" i="17" s="1"/>
  <c r="N11" i="17"/>
  <c r="P11" i="17" s="1"/>
  <c r="M11" i="17"/>
  <c r="L11" i="17"/>
  <c r="T11" i="17" s="1"/>
  <c r="K11" i="17"/>
  <c r="U11" i="17" s="1"/>
  <c r="C11" i="17"/>
  <c r="O10" i="17"/>
  <c r="Q10" i="17" s="1"/>
  <c r="N10" i="17"/>
  <c r="P10" i="17" s="1"/>
  <c r="L10" i="17"/>
  <c r="M10" i="17" s="1"/>
  <c r="K10" i="17"/>
  <c r="U10" i="17" s="1"/>
  <c r="C10" i="17"/>
  <c r="O9" i="17"/>
  <c r="Q9" i="17" s="1"/>
  <c r="AE9" i="17" s="1"/>
  <c r="N9" i="17"/>
  <c r="P9" i="17" s="1"/>
  <c r="L9" i="17"/>
  <c r="T9" i="17" s="1"/>
  <c r="K9" i="17"/>
  <c r="U9" i="17" s="1"/>
  <c r="C9" i="17"/>
  <c r="O8" i="17"/>
  <c r="Q8" i="17" s="1"/>
  <c r="N8" i="17"/>
  <c r="P8" i="17" s="1"/>
  <c r="L8" i="17"/>
  <c r="M8" i="17" s="1"/>
  <c r="K8" i="17"/>
  <c r="U8" i="17" s="1"/>
  <c r="C8" i="17"/>
  <c r="O7" i="17"/>
  <c r="Q7" i="17" s="1"/>
  <c r="N7" i="17"/>
  <c r="P7" i="17" s="1"/>
  <c r="L7" i="17"/>
  <c r="T7" i="17" s="1"/>
  <c r="K7" i="17"/>
  <c r="U7" i="17" s="1"/>
  <c r="C7" i="17"/>
  <c r="AH6" i="17"/>
  <c r="AI6" i="17" s="1"/>
  <c r="O6" i="17"/>
  <c r="Q6" i="17" s="1"/>
  <c r="N6" i="17"/>
  <c r="P6" i="17" s="1"/>
  <c r="L6" i="17"/>
  <c r="T6" i="17" s="1"/>
  <c r="K6" i="17"/>
  <c r="U6" i="17" s="1"/>
  <c r="C6" i="17"/>
  <c r="O5" i="17"/>
  <c r="Q5" i="17" s="1"/>
  <c r="N5" i="17"/>
  <c r="P5" i="17" s="1"/>
  <c r="L5" i="17"/>
  <c r="T5" i="17" s="1"/>
  <c r="K5" i="17"/>
  <c r="U5" i="17" s="1"/>
  <c r="C5" i="17"/>
  <c r="AH4" i="17"/>
  <c r="AI4" i="17" s="1"/>
  <c r="O4" i="17"/>
  <c r="Q4" i="17" s="1"/>
  <c r="S4" i="17" s="1"/>
  <c r="N4" i="17"/>
  <c r="P4" i="17" s="1"/>
  <c r="L4" i="17"/>
  <c r="T4" i="17" s="1"/>
  <c r="K4" i="17"/>
  <c r="U4" i="17" s="1"/>
  <c r="C4" i="17"/>
  <c r="O3" i="17"/>
  <c r="Q3" i="17" s="1"/>
  <c r="N3" i="17"/>
  <c r="P3" i="17" s="1"/>
  <c r="L3" i="17"/>
  <c r="T3" i="17" s="1"/>
  <c r="K3" i="17"/>
  <c r="U3" i="17" s="1"/>
  <c r="C3" i="17"/>
  <c r="AE2" i="17"/>
  <c r="S2" i="17"/>
  <c r="O2" i="17"/>
  <c r="N2" i="17"/>
  <c r="P2" i="17" s="1"/>
  <c r="K2" i="17"/>
  <c r="U2" i="17" s="1"/>
  <c r="U1" i="17"/>
  <c r="M5" i="17" l="1"/>
  <c r="Z7" i="17"/>
  <c r="Z5" i="17"/>
  <c r="AH9" i="17"/>
  <c r="AI9" i="17" s="1"/>
  <c r="AH3" i="17"/>
  <c r="AI3" i="17" s="1"/>
  <c r="AH11" i="17"/>
  <c r="AI11" i="17" s="1"/>
  <c r="R2" i="17"/>
  <c r="Z2" i="17"/>
  <c r="R10" i="17"/>
  <c r="R9" i="17"/>
  <c r="Z9" i="17"/>
  <c r="R11" i="17"/>
  <c r="R4" i="17"/>
  <c r="Z4" i="17"/>
  <c r="R6" i="17"/>
  <c r="R8" i="17"/>
  <c r="Z8" i="17"/>
  <c r="AH5" i="17"/>
  <c r="AI5" i="17" s="1"/>
  <c r="M6" i="17"/>
  <c r="R7" i="17"/>
  <c r="T8" i="17"/>
  <c r="M9" i="17"/>
  <c r="R12" i="17"/>
  <c r="AH13" i="17"/>
  <c r="AI13" i="17" s="1"/>
  <c r="T10" i="17"/>
  <c r="M4" i="17"/>
  <c r="S12" i="17"/>
  <c r="V7" i="17"/>
  <c r="M3" i="17"/>
  <c r="V10" i="17"/>
  <c r="V12" i="17"/>
  <c r="R3" i="17"/>
  <c r="W3" i="17"/>
  <c r="X3" i="17" s="1"/>
  <c r="Y3" i="17" s="1"/>
  <c r="V3" i="17"/>
  <c r="AE8" i="17"/>
  <c r="S8" i="17"/>
  <c r="W9" i="17"/>
  <c r="X9" i="17" s="1"/>
  <c r="V9" i="17"/>
  <c r="AC12" i="17"/>
  <c r="AD12" i="17" s="1"/>
  <c r="Q36" i="17"/>
  <c r="Z3" i="17" s="1"/>
  <c r="AA12" i="17"/>
  <c r="AB12" i="17" s="1"/>
  <c r="R41" i="17"/>
  <c r="Q41" i="17"/>
  <c r="R5" i="17"/>
  <c r="V8" i="17"/>
  <c r="W8" i="17"/>
  <c r="X8" i="17" s="1"/>
  <c r="J32" i="17"/>
  <c r="J33" i="17" s="1"/>
  <c r="V11" i="17"/>
  <c r="W11" i="17"/>
  <c r="X11" i="17" s="1"/>
  <c r="Y11" i="17" s="1"/>
  <c r="V4" i="17"/>
  <c r="W4" i="17"/>
  <c r="X4" i="17" s="1"/>
  <c r="AE3" i="17"/>
  <c r="S3" i="17"/>
  <c r="W6" i="17"/>
  <c r="X6" i="17" s="1"/>
  <c r="V6" i="17"/>
  <c r="AE6" i="17"/>
  <c r="S6" i="17"/>
  <c r="M7" i="17"/>
  <c r="R40" i="17" s="1"/>
  <c r="W2" i="17"/>
  <c r="AE4" i="17"/>
  <c r="S9" i="17"/>
  <c r="AE10" i="17"/>
  <c r="S10" i="17"/>
  <c r="AH10" i="17"/>
  <c r="AI10" i="17" s="1"/>
  <c r="AE11" i="17"/>
  <c r="T12" i="17"/>
  <c r="V2" i="17"/>
  <c r="W5" i="17"/>
  <c r="X5" i="17" s="1"/>
  <c r="AE5" i="17"/>
  <c r="S5" i="17"/>
  <c r="S39" i="17"/>
  <c r="R42" i="17"/>
  <c r="R39" i="17"/>
  <c r="Q42" i="17"/>
  <c r="Q39" i="17"/>
  <c r="V5" i="17"/>
  <c r="W7" i="17"/>
  <c r="X7" i="17" s="1"/>
  <c r="W12" i="17"/>
  <c r="X12" i="17" s="1"/>
  <c r="AE7" i="17"/>
  <c r="S7" i="17"/>
  <c r="W10" i="17"/>
  <c r="X10" i="17" s="1"/>
  <c r="AH12" i="17"/>
  <c r="AI12" i="17" s="1"/>
  <c r="AH8" i="17"/>
  <c r="AI8" i="17" s="1"/>
  <c r="J50" i="17"/>
  <c r="J51" i="17"/>
  <c r="U49" i="17" s="1"/>
  <c r="J55" i="17"/>
  <c r="Y5" i="17" l="1"/>
  <c r="AF12" i="17"/>
  <c r="Z6" i="17"/>
  <c r="Z11" i="17"/>
  <c r="Z10" i="17"/>
  <c r="Y9" i="17"/>
  <c r="J41" i="17"/>
  <c r="K41" i="17" s="1"/>
  <c r="Y4" i="17"/>
  <c r="Y12" i="17"/>
  <c r="Y6" i="17"/>
  <c r="Y10" i="17"/>
  <c r="Y7" i="17"/>
  <c r="Y8" i="17"/>
  <c r="J39" i="17"/>
  <c r="K39" i="17" s="1"/>
  <c r="J40" i="17"/>
  <c r="K40" i="17" s="1"/>
  <c r="J43" i="17"/>
  <c r="K43" i="17" s="1"/>
  <c r="J42" i="17"/>
  <c r="K42" i="17" s="1"/>
  <c r="Q40" i="17"/>
  <c r="J38" i="17"/>
  <c r="K38" i="17" s="1"/>
  <c r="J34" i="17"/>
  <c r="Q34" i="17"/>
  <c r="L46" i="17" l="1"/>
  <c r="J46" i="17"/>
  <c r="K46" i="17"/>
  <c r="AA5" i="17"/>
  <c r="AB5" i="17" s="1"/>
  <c r="AC5" i="17"/>
  <c r="AF5" i="17" s="1"/>
  <c r="AA10" i="17"/>
  <c r="AB10" i="17" s="1"/>
  <c r="AC10" i="17"/>
  <c r="AF10" i="17" s="1"/>
  <c r="M40" i="17"/>
  <c r="N40" i="17" s="1"/>
  <c r="AC9" i="17"/>
  <c r="AF9" i="17" s="1"/>
  <c r="AA9" i="17"/>
  <c r="AB9" i="17" s="1"/>
  <c r="AA4" i="17"/>
  <c r="AB4" i="17" s="1"/>
  <c r="AC4" i="17"/>
  <c r="AF4" i="17" s="1"/>
  <c r="AJ13" i="17"/>
  <c r="AJ10" i="17"/>
  <c r="AK9" i="17"/>
  <c r="AL9" i="17" s="1"/>
  <c r="AM9" i="17" s="1"/>
  <c r="AJ7" i="17"/>
  <c r="AK6" i="17"/>
  <c r="AL6" i="17" s="1"/>
  <c r="AM6" i="17" s="1"/>
  <c r="AJ5" i="17"/>
  <c r="AJ3" i="17"/>
  <c r="AJ12" i="17"/>
  <c r="AJ11" i="17"/>
  <c r="AJ8" i="17"/>
  <c r="AJ6" i="17"/>
  <c r="AJ4" i="17"/>
  <c r="AK13" i="17"/>
  <c r="AL13" i="17" s="1"/>
  <c r="AM13" i="17" s="1"/>
  <c r="AK10" i="17"/>
  <c r="AL10" i="17" s="1"/>
  <c r="AM10" i="17" s="1"/>
  <c r="AK7" i="17"/>
  <c r="AL7" i="17" s="1"/>
  <c r="AM7" i="17" s="1"/>
  <c r="AK3" i="17"/>
  <c r="AL3" i="17" s="1"/>
  <c r="AM3" i="17" s="1"/>
  <c r="AK12" i="17"/>
  <c r="AL12" i="17" s="1"/>
  <c r="AM12" i="17" s="1"/>
  <c r="AK11" i="17"/>
  <c r="AL11" i="17" s="1"/>
  <c r="AM11" i="17" s="1"/>
  <c r="AJ9" i="17"/>
  <c r="AK8" i="17"/>
  <c r="AL8" i="17" s="1"/>
  <c r="AM8" i="17" s="1"/>
  <c r="AK5" i="17"/>
  <c r="AL5" i="17" s="1"/>
  <c r="AM5" i="17" s="1"/>
  <c r="AK4" i="17"/>
  <c r="AL4" i="17" s="1"/>
  <c r="AM4" i="17" s="1"/>
  <c r="D2" i="17"/>
  <c r="AC6" i="17"/>
  <c r="AF6" i="17" s="1"/>
  <c r="AA6" i="17"/>
  <c r="AB6" i="17" s="1"/>
  <c r="AA3" i="17"/>
  <c r="AB3" i="17" s="1"/>
  <c r="AC3" i="17"/>
  <c r="AC8" i="17"/>
  <c r="AF8" i="17" s="1"/>
  <c r="AA8" i="17"/>
  <c r="AB8" i="17" s="1"/>
  <c r="AA2" i="17"/>
  <c r="AC2" i="17"/>
  <c r="AA7" i="17"/>
  <c r="AB7" i="17" s="1"/>
  <c r="AC7" i="17"/>
  <c r="AF7" i="17" s="1"/>
  <c r="AC11" i="17"/>
  <c r="AF11" i="17" s="1"/>
  <c r="AA11" i="17"/>
  <c r="AB11" i="17" s="1"/>
  <c r="V57" i="16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O5" i="16"/>
  <c r="Q5" i="16" s="1"/>
  <c r="AE5" i="16" s="1"/>
  <c r="N5" i="16"/>
  <c r="P5" i="16" s="1"/>
  <c r="R5" i="16" s="1"/>
  <c r="L5" i="16"/>
  <c r="M5" i="16" s="1"/>
  <c r="K5" i="16"/>
  <c r="U5" i="16" s="1"/>
  <c r="C5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AR4" i="17" l="1"/>
  <c r="AS4" i="17" s="1"/>
  <c r="T4" i="16"/>
  <c r="AP9" i="17"/>
  <c r="AQ9" i="17" s="1"/>
  <c r="AP6" i="17"/>
  <c r="AQ6" i="17" s="1"/>
  <c r="AH11" i="16"/>
  <c r="AI11" i="16" s="1"/>
  <c r="AA14" i="16"/>
  <c r="AR12" i="17"/>
  <c r="AS12" i="17" s="1"/>
  <c r="AP3" i="17"/>
  <c r="AQ3" i="17" s="1"/>
  <c r="AP8" i="17"/>
  <c r="AR5" i="17"/>
  <c r="AS5" i="17" s="1"/>
  <c r="AR10" i="17"/>
  <c r="AS10" i="17" s="1"/>
  <c r="AR6" i="17"/>
  <c r="AS6" i="17" s="1"/>
  <c r="AR9" i="17"/>
  <c r="AS9" i="17" s="1"/>
  <c r="AD3" i="17"/>
  <c r="AF3" i="17"/>
  <c r="AO11" i="17"/>
  <c r="AN11" i="17" s="1"/>
  <c r="AO13" i="17"/>
  <c r="AN13" i="17" s="1"/>
  <c r="AD4" i="17"/>
  <c r="AD10" i="17"/>
  <c r="AP13" i="17"/>
  <c r="AQ13" i="17" s="1"/>
  <c r="AF2" i="17"/>
  <c r="AD2" i="17"/>
  <c r="C2" i="17"/>
  <c r="L2" i="17"/>
  <c r="AH2" i="17"/>
  <c r="AI2" i="17" s="1"/>
  <c r="AO9" i="17"/>
  <c r="AN9" i="17" s="1"/>
  <c r="AO4" i="17"/>
  <c r="AN4" i="17" s="1"/>
  <c r="AO12" i="17"/>
  <c r="AN12" i="17" s="1"/>
  <c r="AO7" i="17"/>
  <c r="AN7" i="17" s="1"/>
  <c r="AR7" i="17"/>
  <c r="AS7" i="17" s="1"/>
  <c r="AP11" i="17"/>
  <c r="AQ11" i="17" s="1"/>
  <c r="AD11" i="17"/>
  <c r="AO6" i="17"/>
  <c r="AN6" i="17" s="1"/>
  <c r="AO3" i="17"/>
  <c r="AR11" i="17"/>
  <c r="AS11" i="17" s="1"/>
  <c r="AD5" i="17"/>
  <c r="AP4" i="17"/>
  <c r="AQ4" i="17" s="1"/>
  <c r="AP7" i="17"/>
  <c r="AQ7" i="17" s="1"/>
  <c r="AP12" i="17"/>
  <c r="AQ12" i="17" s="1"/>
  <c r="AD7" i="17"/>
  <c r="AD8" i="17"/>
  <c r="Q44" i="17"/>
  <c r="AD6" i="17"/>
  <c r="AQ8" i="17"/>
  <c r="AO8" i="17"/>
  <c r="AN8" i="17" s="1"/>
  <c r="AO5" i="17"/>
  <c r="AN5" i="17" s="1"/>
  <c r="AO10" i="17"/>
  <c r="AN10" i="17" s="1"/>
  <c r="AR3" i="17"/>
  <c r="AD9" i="17"/>
  <c r="AR8" i="17"/>
  <c r="AS8" i="17" s="1"/>
  <c r="AP5" i="17"/>
  <c r="AQ5" i="17" s="1"/>
  <c r="AP10" i="17"/>
  <c r="AQ10" i="17" s="1"/>
  <c r="AR13" i="17"/>
  <c r="AS13" i="17" s="1"/>
  <c r="T5" i="16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R41" i="16"/>
  <c r="S41" i="16"/>
  <c r="Q41" i="16"/>
  <c r="S5" i="16"/>
  <c r="Q44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 s="1"/>
  <c r="K13" i="15"/>
  <c r="N13" i="15" s="1"/>
  <c r="Z6" i="15"/>
  <c r="AC6" i="15" s="1"/>
  <c r="Z7" i="15"/>
  <c r="AC7" i="15" s="1"/>
  <c r="Z8" i="15"/>
  <c r="AC8" i="15" s="1"/>
  <c r="Z9" i="15"/>
  <c r="Z10" i="15"/>
  <c r="AC10" i="15" s="1"/>
  <c r="Z11" i="15"/>
  <c r="AC11" i="15" s="1"/>
  <c r="Z12" i="15"/>
  <c r="AC12" i="15" s="1"/>
  <c r="J36" i="16" l="1"/>
  <c r="AG8" i="17"/>
  <c r="Q43" i="17" s="1"/>
  <c r="AJ2" i="17"/>
  <c r="AO2" i="17" s="1"/>
  <c r="AK2" i="17"/>
  <c r="AL2" i="17" s="1"/>
  <c r="AM2" i="17" s="1"/>
  <c r="T2" i="17"/>
  <c r="M2" i="17"/>
  <c r="AD11" i="15"/>
  <c r="O13" i="15"/>
  <c r="BC42" i="16"/>
  <c r="AF14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T12" i="17" l="1"/>
  <c r="AU12" i="17" s="1"/>
  <c r="AT5" i="17"/>
  <c r="AU5" i="17" s="1"/>
  <c r="AT10" i="17"/>
  <c r="AU10" i="17" s="1"/>
  <c r="AT9" i="17"/>
  <c r="AU9" i="17" s="1"/>
  <c r="AT11" i="17"/>
  <c r="AU11" i="17" s="1"/>
  <c r="AT7" i="17"/>
  <c r="AU7" i="17" s="1"/>
  <c r="AT8" i="17"/>
  <c r="AU8" i="17" s="1"/>
  <c r="AT6" i="17"/>
  <c r="AU6" i="17" s="1"/>
  <c r="AD10" i="15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F10" i="16"/>
  <c r="AP7" i="16"/>
  <c r="AR8" i="16"/>
  <c r="AS8" i="16" s="1"/>
  <c r="AD11" i="16"/>
  <c r="AF11" i="16"/>
  <c r="AO10" i="16"/>
  <c r="AN10" i="16" s="1"/>
  <c r="AD8" i="16"/>
  <c r="AF8" i="16"/>
  <c r="AD5" i="16"/>
  <c r="AF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Q11" i="16" s="1"/>
  <c r="AD13" i="16"/>
  <c r="AF13" i="16"/>
  <c r="AR7" i="16"/>
  <c r="AS7" i="16" s="1"/>
  <c r="AO6" i="16"/>
  <c r="AN6" i="16" s="1"/>
  <c r="AD7" i="16"/>
  <c r="AF7" i="16"/>
  <c r="AQ3" i="16"/>
  <c r="AO3" i="16"/>
  <c r="AD12" i="16"/>
  <c r="AF12" i="16"/>
  <c r="AF2" i="16"/>
  <c r="AD2" i="16"/>
  <c r="AQ13" i="16"/>
  <c r="AO13" i="16"/>
  <c r="AN13" i="16" s="1"/>
  <c r="AO8" i="16"/>
  <c r="AN8" i="16" s="1"/>
  <c r="AO14" i="16"/>
  <c r="AN14" i="16" s="1"/>
  <c r="AD4" i="16"/>
  <c r="AF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X7" i="15"/>
  <c r="X9" i="15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Y9" i="15" l="1"/>
  <c r="J8" i="15"/>
  <c r="Y5" i="15"/>
  <c r="T6" i="15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Q40" i="14"/>
  <c r="R11" i="14"/>
  <c r="R6" i="14"/>
  <c r="G6" i="15"/>
  <c r="M3" i="14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H5" i="15" l="1"/>
  <c r="Y12" i="14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M41" i="14"/>
  <c r="N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13" i="13" l="1"/>
  <c r="M13" i="15"/>
  <c r="M12" i="15"/>
  <c r="AF5" i="15"/>
  <c r="R41" i="13"/>
  <c r="Q41" i="13"/>
  <c r="AF31" i="15"/>
  <c r="AF38" i="15"/>
  <c r="Q35" i="13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AC6" i="13"/>
  <c r="L6" i="4"/>
  <c r="M41" i="13" l="1"/>
  <c r="N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A5" i="15" l="1"/>
  <c r="R41" i="10"/>
  <c r="Q41" i="10"/>
  <c r="Q39" i="10"/>
  <c r="S39" i="10"/>
  <c r="R39" i="10"/>
  <c r="Q42" i="10"/>
  <c r="R42" i="10"/>
  <c r="AB9" i="15"/>
  <c r="AB6" i="15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AE4" i="10"/>
  <c r="S4" i="10"/>
  <c r="W4" i="10"/>
  <c r="X4" i="10" s="1"/>
  <c r="V4" i="10"/>
  <c r="V5" i="10"/>
  <c r="T6" i="10"/>
  <c r="M6" i="10"/>
  <c r="V7" i="10"/>
  <c r="W7" i="10"/>
  <c r="X7" i="10" s="1"/>
  <c r="R3" i="10"/>
  <c r="R4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R41" i="9" l="1"/>
  <c r="V4" i="15"/>
  <c r="W4" i="15" s="1"/>
  <c r="Q43" i="9"/>
  <c r="AH3" i="9"/>
  <c r="AI3" i="9" s="1"/>
  <c r="AH6" i="9"/>
  <c r="AI6" i="9" s="1"/>
  <c r="AH14" i="9"/>
  <c r="AI14" i="9" s="1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AA9" i="9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AA6" i="9"/>
  <c r="AB6" i="9" s="1"/>
  <c r="S7" i="9"/>
  <c r="R14" i="9"/>
  <c r="S9" i="9"/>
  <c r="AA12" i="9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J34" i="10"/>
  <c r="Q34" i="10"/>
  <c r="AD12" i="10"/>
  <c r="AF12" i="10"/>
  <c r="Y9" i="10"/>
  <c r="Y4" i="10"/>
  <c r="Y5" i="10"/>
  <c r="M14" i="9"/>
  <c r="AC12" i="9"/>
  <c r="AD12" i="9" s="1"/>
  <c r="AA2" i="9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R10" i="9"/>
  <c r="V3" i="9"/>
  <c r="W3" i="9"/>
  <c r="X3" i="9" s="1"/>
  <c r="Y3" i="9" s="1"/>
  <c r="AE14" i="9"/>
  <c r="S14" i="9"/>
  <c r="R8" i="9"/>
  <c r="R4" i="9"/>
  <c r="R43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J56" i="9"/>
  <c r="R51" i="9" s="1"/>
  <c r="J52" i="9"/>
  <c r="J53" i="9"/>
  <c r="U51" i="9" s="1"/>
  <c r="J55" i="9"/>
  <c r="S51" i="9" s="1"/>
  <c r="AH11" i="9"/>
  <c r="AI11" i="9" s="1"/>
  <c r="AH8" i="9"/>
  <c r="AI8" i="9" s="1"/>
  <c r="AF57" i="15" l="1"/>
  <c r="AC2" i="9"/>
  <c r="AD2" i="9" s="1"/>
  <c r="AF14" i="9"/>
  <c r="D2" i="10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M40" i="10"/>
  <c r="N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6" i="9" l="1"/>
  <c r="AJ13" i="9"/>
  <c r="AO13" i="9" s="1"/>
  <c r="AN13" i="9" s="1"/>
  <c r="D2" i="9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M42" i="9"/>
  <c r="N42" i="9" s="1"/>
  <c r="AD8" i="9"/>
  <c r="AF8" i="9"/>
  <c r="AF13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T5" i="10" s="1"/>
  <c r="AU5" i="10" s="1"/>
  <c r="AG11" i="9"/>
  <c r="Q45" i="9" s="1"/>
  <c r="AT5" i="9" s="1"/>
  <c r="AU5" i="9" s="1"/>
  <c r="AG9" i="9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3" i="9"/>
  <c r="AU13" i="9" s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Q42" i="8"/>
  <c r="R7" i="8"/>
  <c r="R40" i="8"/>
  <c r="S40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AC11" i="8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41" i="8" l="1"/>
  <c r="Q41" i="8"/>
  <c r="R11" i="15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M41" i="8"/>
  <c r="N41" i="8" s="1"/>
  <c r="AF5" i="8"/>
  <c r="AE43" i="15" l="1"/>
  <c r="R3" i="15"/>
  <c r="R2" i="15" s="1"/>
  <c r="C2" i="8"/>
  <c r="AG9" i="8"/>
  <c r="Q44" i="8" s="1"/>
  <c r="AT5" i="8" s="1"/>
  <c r="AU5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M5" i="1"/>
  <c r="O5" i="1" s="1"/>
  <c r="L5" i="1"/>
  <c r="N5" i="1" s="1"/>
  <c r="P5" i="1" s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G6" i="4" l="1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AF33" i="4" s="1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P4" i="1"/>
  <c r="Z9" i="1"/>
  <c r="AA9" i="1" s="1"/>
  <c r="Z7" i="1"/>
  <c r="AA7" i="1" s="1"/>
  <c r="AC7" i="1" s="1"/>
  <c r="AD7" i="1" s="1"/>
  <c r="AE7" i="1" s="1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P9" i="1"/>
  <c r="Z5" i="1"/>
  <c r="AA5" i="1" s="1"/>
  <c r="AC5" i="1" s="1"/>
  <c r="AD5" i="1" s="1"/>
  <c r="AE5" i="1" s="1"/>
  <c r="Z2" i="1"/>
  <c r="AA2" i="1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P6" i="1"/>
  <c r="AD38" i="1"/>
  <c r="Q7" i="1"/>
  <c r="Q8" i="1"/>
  <c r="W92" i="4"/>
  <c r="X92" i="4" s="1"/>
  <c r="Y92" i="4" s="1"/>
  <c r="AD37" i="1"/>
  <c r="Q4" i="1"/>
  <c r="W97" i="4"/>
  <c r="W105" i="4"/>
  <c r="Q2" i="1"/>
  <c r="Q5" i="1"/>
  <c r="Z6" i="1"/>
  <c r="AA6" i="1" s="1"/>
  <c r="AC6" i="1" s="1"/>
  <c r="AD6" i="1" s="1"/>
  <c r="AE6" i="1" s="1"/>
  <c r="Z4" i="1"/>
  <c r="AA4" i="1" s="1"/>
  <c r="AC4" i="1" s="1"/>
  <c r="W96" i="4"/>
  <c r="W104" i="4"/>
  <c r="P8" i="1"/>
  <c r="Q9" i="1"/>
  <c r="S3" i="1"/>
  <c r="AA36" i="1"/>
  <c r="AI28" i="1" s="1"/>
  <c r="AD36" i="1"/>
  <c r="P2" i="1"/>
  <c r="AA35" i="1"/>
  <c r="AA37" i="1"/>
  <c r="AH28" i="1" s="1"/>
  <c r="P3" i="1"/>
  <c r="Q6" i="1"/>
  <c r="AD35" i="1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R8" i="1"/>
  <c r="T8" i="1" s="1"/>
  <c r="X96" i="4"/>
  <c r="Y96" i="4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H32" i="1"/>
  <c r="R9" i="1"/>
  <c r="T9" i="1" s="1"/>
  <c r="AD4" i="1"/>
  <c r="AC10" i="1"/>
  <c r="AI31" i="1"/>
  <c r="X99" i="4"/>
  <c r="Y99" i="4" s="1"/>
  <c r="X101" i="4"/>
  <c r="Y101" i="4" s="1"/>
  <c r="AI32" i="1"/>
  <c r="R3" i="1"/>
  <c r="X10" i="4"/>
  <c r="X29" i="4"/>
  <c r="X26" i="4"/>
  <c r="X105" i="4"/>
  <c r="Y105" i="4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R2" i="1"/>
  <c r="T2" i="1" s="1"/>
  <c r="R4" i="1"/>
  <c r="T4" i="1" s="1"/>
  <c r="AD28" i="1"/>
  <c r="AD30" i="1" s="1"/>
  <c r="AH31" i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E4" i="1"/>
  <c r="AE10" i="1" s="1"/>
  <c r="AD10" i="1"/>
  <c r="AI30" i="1"/>
  <c r="AD31" i="1"/>
  <c r="AH30" i="1" s="1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U8" i="1"/>
  <c r="U4" i="1"/>
  <c r="U5" i="1"/>
  <c r="U3" i="1"/>
  <c r="AI29" i="1"/>
  <c r="AF9" i="1" s="1"/>
  <c r="U6" i="1"/>
  <c r="U9" i="1"/>
  <c r="U2" i="1"/>
  <c r="U7" i="1"/>
  <c r="AG3" i="4"/>
  <c r="AH3" i="4" s="1"/>
  <c r="AI3" i="4" s="1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AE39" i="4" l="1"/>
  <c r="Z19" i="4"/>
  <c r="AA19" i="4" s="1"/>
  <c r="AB19" i="4"/>
  <c r="AE19" i="4" s="1"/>
  <c r="AE48" i="4"/>
  <c r="AB6" i="4" l="1"/>
  <c r="Z6" i="4"/>
  <c r="AA6" i="4" s="1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AA4" i="14" l="1"/>
  <c r="AB4" i="14" s="1"/>
  <c r="AC8" i="14"/>
  <c r="AD8" i="14" s="1"/>
  <c r="AA11" i="14"/>
  <c r="AB11" i="14" s="1"/>
  <c r="AC5" i="14"/>
  <c r="AF5" i="14" s="1"/>
  <c r="AF13" i="14"/>
  <c r="AA9" i="14"/>
  <c r="AB9" i="14" s="1"/>
  <c r="AA7" i="14"/>
  <c r="AB7" i="14" s="1"/>
  <c r="AA6" i="14"/>
  <c r="AB6" i="14" s="1"/>
  <c r="AC4" i="14"/>
  <c r="AA5" i="14"/>
  <c r="AB5" i="14" s="1"/>
  <c r="AA8" i="14"/>
  <c r="AB8" i="14" s="1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D4" i="14"/>
  <c r="AF4" i="14"/>
  <c r="AA2" i="14"/>
  <c r="AC2" i="14"/>
  <c r="AC10" i="14"/>
  <c r="AA10" i="14"/>
  <c r="AB10" i="14" s="1"/>
  <c r="AF9" i="14" l="1"/>
  <c r="AD12" i="14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<sst xmlns="http://schemas.openxmlformats.org/spreadsheetml/2006/main" count="1840" uniqueCount="336">
  <si>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</si>
  <si>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</si>
  <si>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</si>
  <si>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</si>
  <si>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</si>
  <si>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</si>
  <si>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</si>
  <si>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</si>
  <si>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</si>
  <si>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</si>
  <si>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</si>
  <si>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</si>
  <si>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</si>
  <si>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</si>
  <si>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</si>
  <si>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</si>
  <si>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</si>
  <si>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</si>
  <si>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</si>
  <si>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</si>
  <si>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</si>
  <si>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</si>
  <si>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</si>
  <si>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</si>
  <si>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</si>
  <si>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</si>
  <si>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</si>
  <si>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</si>
  <si>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</si>
  <si>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</si>
  <si>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</si>
  <si>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</si>
  <si>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</si>
  <si>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</si>
  <si>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</si>
  <si>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</si>
  <si>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</si>
  <si>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</si>
  <si>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</si>
  <si>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</si>
  <si>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</si>
  <si>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</si>
  <si>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</si>
  <si>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</si>
  <si>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</si>
  <si>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</si>
  <si>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</si>
  <si>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</si>
  <si>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</si>
  <si>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</si>
  <si>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</si>
  <si>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</si>
  <si>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</si>
  <si>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</si>
  <si>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</si>
  <si>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</si>
  <si>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</si>
  <si>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</si>
  <si>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</si>
  <si>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</si>
  <si>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</si>
  <si>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</si>
  <si>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</si>
  <si>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</si>
  <si>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</si>
  <si>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</si>
  <si>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</si>
  <si>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</si>
  <si>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</si>
  <si>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</si>
  <si>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</si>
  <si>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</si>
  <si>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</si>
  <si>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</si>
  <si>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</si>
  <si>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</si>
  <si>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</si>
  <si>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</si>
  <si>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</si>
  <si>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</si>
  <si>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</si>
  <si>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</si>
  <si>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</si>
  <si>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</si>
  <si>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</si>
  <si>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</si>
  <si>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</si>
  <si>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</si>
  <si>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</si>
  <si>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Nt, %</t>
  </si>
  <si>
    <t>Model Nt from Model Ng, %</t>
  </si>
  <si>
    <t>Model Nt from Model Ng, rpm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</si>
  <si>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</si>
  <si>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</si>
  <si>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</si>
  <si>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</si>
  <si>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</si>
  <si>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</si>
  <si>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</si>
  <si>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</si>
  <si>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</si>
  <si>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</si>
  <si>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</si>
  <si>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</si>
  <si>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</si>
  <si>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</si>
  <si>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</si>
  <si>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</si>
  <si>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</si>
  <si>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</si>
  <si>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</si>
  <si>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</si>
  <si>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</si>
  <si>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</si>
  <si>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</si>
  <si>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</si>
  <si>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</si>
  <si>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</si>
  <si>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</si>
  <si>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</si>
  <si>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</si>
  <si>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</si>
  <si>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</si>
  <si>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</si>
  <si>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</si>
  <si>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</si>
  <si>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</si>
  <si>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</si>
  <si>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</si>
  <si>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</si>
  <si>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</si>
  <si>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</si>
  <si>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</si>
  <si>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</si>
  <si>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</si>
  <si>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</si>
  <si>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</si>
  <si>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</si>
  <si>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</si>
  <si>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</si>
  <si>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</si>
  <si>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</si>
  <si>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</si>
  <si>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</si>
  <si>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</si>
  <si>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</si>
  <si>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</si>
  <si>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</si>
  <si>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</si>
  <si>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</si>
  <si>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</si>
  <si>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</si>
  <si>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</si>
  <si>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</si>
  <si>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</si>
  <si>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</si>
  <si>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</si>
  <si>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</si>
  <si>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</si>
  <si>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</si>
  <si>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</si>
  <si>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</si>
  <si>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</si>
  <si>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</si>
  <si>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</si>
  <si>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</si>
  <si>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</si>
  <si>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</si>
  <si>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</si>
  <si>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</si>
  <si>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</si>
  <si>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</si>
  <si>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</si>
  <si>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</si>
  <si>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</si>
  <si>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</si>
  <si>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</si>
  <si>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</si>
  <si>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</si>
  <si>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</si>
  <si>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</si>
  <si>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</si>
  <si>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</si>
  <si>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</si>
  <si>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</si>
  <si>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</si>
  <si>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</si>
  <si>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</si>
  <si>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</si>
  <si>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</si>
  <si>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</si>
  <si>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</si>
  <si>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</si>
  <si>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</si>
  <si>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</si>
  <si>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</si>
  <si>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</si>
  <si>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</si>
  <si>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</si>
  <si>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</si>
  <si>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</si>
  <si>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</si>
  <si>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</si>
  <si>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</si>
  <si>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</si>
  <si>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</si>
  <si>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</si>
  <si>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</si>
  <si>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</si>
  <si>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</si>
  <si>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</si>
  <si>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</si>
  <si>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</si>
  <si>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</si>
  <si>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</si>
  <si>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</si>
  <si>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</si>
  <si>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</si>
  <si>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</si>
  <si>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</si>
  <si>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</si>
  <si>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</si>
  <si>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</si>
  <si>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</si>
  <si>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</si>
  <si>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</si>
  <si>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</si>
  <si>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</si>
  <si>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</si>
  <si>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</si>
  <si>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</si>
  <si>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</si>
  <si>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</si>
  <si>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</si>
  <si>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</si>
  <si>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</si>
  <si>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</si>
  <si>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</si>
  <si>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</si>
  <si>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</si>
  <si>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</si>
  <si>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</si>
  <si>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</si>
  <si>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</si>
  <si>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</si>
  <si>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</si>
  <si>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</si>
  <si>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</si>
  <si>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</si>
  <si>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</si>
  <si>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</si>
  <si>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</si>
  <si>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</si>
  <si>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</si>
  <si>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</si>
  <si>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</si>
  <si>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</si>
  <si>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</si>
  <si>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</si>
  <si>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</si>
  <si>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</si>
  <si>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</si>
  <si>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</si>
  <si>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</si>
  <si>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</si>
  <si>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</si>
  <si>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</si>
  <si>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</si>
  <si>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</si>
  <si>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</si>
  <si>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</si>
  <si>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</si>
  <si>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</si>
  <si>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</si>
  <si>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</si>
  <si>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</si>
  <si>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</si>
  <si>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</si>
  <si>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</si>
  <si>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</si>
  <si>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</si>
  <si>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</si>
  <si>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</si>
  <si>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</si>
  <si>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</si>
  <si>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</si>
  <si>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</si>
  <si>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</si>
  <si>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</si>
  <si>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</si>
  <si>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</si>
  <si>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</si>
  <si>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</si>
  <si>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</si>
  <si>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</si>
  <si>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</si>
  <si>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</si>
  <si>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</si>
  <si>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</si>
  <si>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</si>
  <si>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</si>
  <si>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</si>
  <si>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</si>
  <si>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</si>
  <si>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</si>
  <si>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</si>
  <si>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</si>
  <si>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</si>
  <si>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</si>
  <si>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</si>
  <si>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</si>
  <si>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</si>
  <si>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</si>
  <si>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</si>
  <si>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</si>
  <si>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</si>
  <si>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</si>
  <si>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</si>
  <si>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</si>
  <si>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</si>
  <si>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</si>
  <si>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</si>
  <si>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</si>
  <si>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</si>
  <si>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</si>
  <si>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</si>
  <si>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</si>
  <si>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</si>
  <si>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</si>
  <si>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</si>
  <si>
    <t>// Ard_Turn_ESC_Gb_T4 - myCLAW.h KIT 5</t>
  </si>
  <si>
    <t>From fr5_a_t_e_gb_ta.xlsx</t>
  </si>
  <si>
    <t>log(Ng)</t>
  </si>
  <si>
    <t>Meas TauT5, s</t>
  </si>
  <si>
    <t>P_NG_NT(1)</t>
  </si>
  <si>
    <t>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</si>
</sst>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167" fontId="0" fillId="3" borderId="22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66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4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5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left"/>
    </xf>
    <xf numFmtId="2" fontId="0" fillId="0" borderId="24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  <xf numFmtId="166" fontId="0" fillId="0" borderId="8" xfId="0" applyNumberFormat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0" xfId="0" applyBorder="1" applyAlignment="1">
      <alignment horizontal="left"/>
    </xf>
    <xf numFmtId="2" fontId="0" fillId="0" borderId="29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169" fontId="0" fillId="0" borderId="10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wrapText="1"/>
    </xf>
    <xf numFmtId="166" fontId="0" fillId="0" borderId="10" xfId="0" applyNumberFormat="1" applyFill="1" applyBorder="1" applyAlignment="1">
      <alignment horizontal="center"/>
    </xf>
    <xf numFmtId="166" fontId="0" fillId="0" borderId="10" xfId="0" applyNumberFormat="1" applyFill="1" applyBorder="1"/>
    <xf numFmtId="169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10" xfId="0" applyNumberFormat="1" applyFill="1" applyBorder="1" applyAlignment="1">
      <alignment horizontal="center"/>
    </xf>
    <xf numFmtId="169" fontId="0" fillId="0" borderId="10" xfId="0" applyNumberFormat="1" applyBorder="1"/>
    <xf numFmtId="2" fontId="0" fillId="0" borderId="10" xfId="0" applyNumberFormat="1" applyBorder="1"/>
    <xf numFmtId="2" fontId="0" fillId="2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6.7090339239286205</c:v>
                </c:pt>
                <c:pt idx="67" formatCode="0.00">
                  <c:v>10</c:v>
                </c:pt>
                <c:pt idx="68" formatCode="0.00">
                  <c:v>14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180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8152.1739130434789</c:v>
                </c:pt>
                <c:pt idx="68">
                  <c:v>11029.411764705883</c:v>
                </c:pt>
                <c:pt idx="69">
                  <c:v>16620.498614958451</c:v>
                </c:pt>
                <c:pt idx="70">
                  <c:v>19480.519480519481</c:v>
                </c:pt>
                <c:pt idx="71">
                  <c:v>24096.385542168679</c:v>
                </c:pt>
                <c:pt idx="72">
                  <c:v>28985.507246376812</c:v>
                </c:pt>
                <c:pt idx="73">
                  <c:v>31746.031746031746</c:v>
                </c:pt>
                <c:pt idx="74">
                  <c:v>33333.333333333336</c:v>
                </c:pt>
                <c:pt idx="75">
                  <c:v>36809.815950920245</c:v>
                </c:pt>
                <c:pt idx="76">
                  <c:v>43795.620437956204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064"/>
        <c:axId val="177564560"/>
      </c:scatterChart>
      <c:valAx>
        <c:axId val="1779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64560"/>
        <c:crosses val="autoZero"/>
        <c:crossBetween val="midCat"/>
      </c:valAx>
      <c:valAx>
        <c:axId val="17756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97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Ard0_Turn0_ESC0_G0b_T0a!$AN$5:$AN$13</c:f>
              <c:numCache>
                <c:formatCode>0.0</c:formatCode>
                <c:ptCount val="9"/>
                <c:pt idx="0">
                  <c:v>18.824188293060072</c:v>
                </c:pt>
                <c:pt idx="1">
                  <c:v>27.448798915631624</c:v>
                </c:pt>
                <c:pt idx="2">
                  <c:v>38.563955282652181</c:v>
                </c:pt>
                <c:pt idx="3">
                  <c:v>42.918885282894202</c:v>
                </c:pt>
                <c:pt idx="4">
                  <c:v>51.657671855688875</c:v>
                </c:pt>
                <c:pt idx="5">
                  <c:v>60.078038700857462</c:v>
                </c:pt>
                <c:pt idx="6">
                  <c:v>65.591872199604325</c:v>
                </c:pt>
                <c:pt idx="7">
                  <c:v>67.194422651798703</c:v>
                </c:pt>
                <c:pt idx="8">
                  <c:v>69.424738156593676</c:v>
                </c:pt>
              </c:numCache>
            </c:numRef>
          </c:xVal>
          <c:yVal>
            <c:numRef>
              <c:f>Ard0_Turn0_ESC0_G0b_T0a!$AU$5:$AU$13</c:f>
              <c:numCache>
                <c:formatCode>0.000</c:formatCode>
                <c:ptCount val="9"/>
                <c:pt idx="0">
                  <c:v>0.23149956245130304</c:v>
                </c:pt>
                <c:pt idx="1">
                  <c:v>0.18197029868325312</c:v>
                </c:pt>
                <c:pt idx="2">
                  <c:v>0.14242450430515946</c:v>
                </c:pt>
                <c:pt idx="3">
                  <c:v>0.1281622812461628</c:v>
                </c:pt>
                <c:pt idx="4">
                  <c:v>0.10849147766032501</c:v>
                </c:pt>
                <c:pt idx="5">
                  <c:v>9.3594254326365547E-2</c:v>
                </c:pt>
                <c:pt idx="6">
                  <c:v>8.199999999999999E-2</c:v>
                </c:pt>
                <c:pt idx="7">
                  <c:v>7.8977613693170842E-2</c:v>
                </c:pt>
                <c:pt idx="8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024"/>
        <c:axId val="178483728"/>
      </c:scatterChart>
      <c:valAx>
        <c:axId val="1784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3728"/>
        <c:crosses val="autoZero"/>
        <c:crossBetween val="midCat"/>
      </c:valAx>
      <c:valAx>
        <c:axId val="1784837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9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Ard0_Turn0_ESC0_G0b_T0a!$AN$5:$AN$13</c:f>
              <c:numCache>
                <c:formatCode>0.0</c:formatCode>
                <c:ptCount val="9"/>
                <c:pt idx="0">
                  <c:v>18.824188293060072</c:v>
                </c:pt>
                <c:pt idx="1">
                  <c:v>27.448798915631624</c:v>
                </c:pt>
                <c:pt idx="2">
                  <c:v>38.563955282652181</c:v>
                </c:pt>
                <c:pt idx="3">
                  <c:v>42.918885282894202</c:v>
                </c:pt>
                <c:pt idx="4">
                  <c:v>51.657671855688875</c:v>
                </c:pt>
                <c:pt idx="5">
                  <c:v>60.078038700857462</c:v>
                </c:pt>
                <c:pt idx="6">
                  <c:v>65.591872199604325</c:v>
                </c:pt>
                <c:pt idx="7">
                  <c:v>67.194422651798703</c:v>
                </c:pt>
                <c:pt idx="8">
                  <c:v>69.424738156593676</c:v>
                </c:pt>
              </c:numCache>
            </c:numRef>
          </c:xVal>
          <c:yVal>
            <c:numRef>
              <c:f>Ard0_Turn0_ESC0_G0b_T0a!$AU$5:$AU$13</c:f>
              <c:numCache>
                <c:formatCode>0.000</c:formatCode>
                <c:ptCount val="9"/>
                <c:pt idx="0">
                  <c:v>0.23149956245130304</c:v>
                </c:pt>
                <c:pt idx="1">
                  <c:v>0.18197029868325312</c:v>
                </c:pt>
                <c:pt idx="2">
                  <c:v>0.14242450430515946</c:v>
                </c:pt>
                <c:pt idx="3">
                  <c:v>0.1281622812461628</c:v>
                </c:pt>
                <c:pt idx="4">
                  <c:v>0.10849147766032501</c:v>
                </c:pt>
                <c:pt idx="5">
                  <c:v>9.3594254326365547E-2</c:v>
                </c:pt>
                <c:pt idx="6">
                  <c:v>8.199999999999999E-2</c:v>
                </c:pt>
                <c:pt idx="7">
                  <c:v>7.8977613693170842E-2</c:v>
                </c:pt>
                <c:pt idx="8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7064"/>
        <c:axId val="178477456"/>
      </c:scatterChart>
      <c:valAx>
        <c:axId val="17847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77456"/>
        <c:crosses val="autoZero"/>
        <c:crossBetween val="midCat"/>
      </c:valAx>
      <c:valAx>
        <c:axId val="178477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7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8240"/>
        <c:axId val="180146968"/>
      </c:scatterChart>
      <c:valAx>
        <c:axId val="178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968"/>
        <c:crosses val="autoZero"/>
        <c:crossBetween val="midCat"/>
      </c:valAx>
      <c:valAx>
        <c:axId val="1801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0.18197029868325312</c:v>
                </c:pt>
                <c:pt idx="1">
                  <c:v>0.14242450430515946</c:v>
                </c:pt>
                <c:pt idx="2">
                  <c:v>0.1281622812461628</c:v>
                </c:pt>
                <c:pt idx="3">
                  <c:v>0.10849147766032501</c:v>
                </c:pt>
                <c:pt idx="4">
                  <c:v>9.3594254326365547E-2</c:v>
                </c:pt>
                <c:pt idx="5">
                  <c:v>8.199999999999999E-2</c:v>
                </c:pt>
                <c:pt idx="6">
                  <c:v>7.8977613693170842E-2</c:v>
                </c:pt>
                <c:pt idx="7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632"/>
        <c:axId val="180149712"/>
      </c:scatterChart>
      <c:valAx>
        <c:axId val="1801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149712"/>
        <c:crosses val="autoZero"/>
        <c:crossBetween val="midCat"/>
      </c:valAx>
      <c:valAx>
        <c:axId val="1801497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1536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37970253718286E-2"/>
                  <c:y val="-0.594585520559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Ard0_Turn0_ESC0_G0b_T0a!$K$40:$K$43</c:f>
              <c:numCache>
                <c:formatCode>0.000</c:formatCode>
                <c:ptCount val="4"/>
                <c:pt idx="0">
                  <c:v>1.9236412534958733</c:v>
                </c:pt>
                <c:pt idx="1">
                  <c:v>1.8395224479009638</c:v>
                </c:pt>
                <c:pt idx="2">
                  <c:v>1.6516916599093785</c:v>
                </c:pt>
                <c:pt idx="3">
                  <c:v>1.5483640482541254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0-4D2B-A6A5-69B5A2F7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464"/>
        <c:axId val="996639248"/>
      </c:scatterChart>
      <c:valAx>
        <c:axId val="99664646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248"/>
        <c:crosses val="autoZero"/>
        <c:crossBetween val="midCat"/>
      </c:valAx>
      <c:valAx>
        <c:axId val="99663924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360"/>
        <c:axId val="180147752"/>
      </c:scatterChart>
      <c:valAx>
        <c:axId val="1801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752"/>
        <c:crosses val="autoZero"/>
        <c:crossBetween val="midCat"/>
      </c:valAx>
      <c:valAx>
        <c:axId val="1801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8928"/>
        <c:axId val="180153240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104"/>
        <c:axId val="180150888"/>
      </c:scatterChart>
      <c:valAx>
        <c:axId val="1801489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3240"/>
        <c:crossesAt val="-40"/>
        <c:crossBetween val="midCat"/>
        <c:majorUnit val="20"/>
      </c:valAx>
      <c:valAx>
        <c:axId val="180153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8928"/>
        <c:crosses val="autoZero"/>
        <c:crossBetween val="midCat"/>
      </c:valAx>
      <c:valAx>
        <c:axId val="18015088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104"/>
        <c:crosses val="max"/>
        <c:crossBetween val="midCat"/>
        <c:majorUnit val="40"/>
      </c:valAx>
      <c:valAx>
        <c:axId val="18015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15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6184"/>
        <c:axId val="180152848"/>
      </c:scatterChart>
      <c:valAx>
        <c:axId val="1801461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152848"/>
        <c:crosses val="autoZero"/>
        <c:crossBetween val="midCat"/>
      </c:valAx>
      <c:valAx>
        <c:axId val="1801528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4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320"/>
        <c:axId val="180150496"/>
      </c:scatterChart>
      <c:valAx>
        <c:axId val="18014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496"/>
        <c:crosses val="autoZero"/>
        <c:crossBetween val="midCat"/>
      </c:valAx>
      <c:valAx>
        <c:axId val="18015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672"/>
        <c:axId val="180406888"/>
      </c:scatterChart>
      <c:valAx>
        <c:axId val="18015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406888"/>
        <c:crosses val="autoZero"/>
        <c:crossBetween val="midCat"/>
      </c:valAx>
      <c:valAx>
        <c:axId val="1804068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8015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6.7090339239286205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2477.137024388659</c:v>
                </c:pt>
                <c:pt idx="1">
                  <c:v>2477.137024388659</c:v>
                </c:pt>
                <c:pt idx="2">
                  <c:v>719.30946291560099</c:v>
                </c:pt>
                <c:pt idx="3">
                  <c:v>465.92390418771402</c:v>
                </c:pt>
                <c:pt idx="4">
                  <c:v>357.50260819512869</c:v>
                </c:pt>
                <c:pt idx="5">
                  <c:v>271.52153303818812</c:v>
                </c:pt>
                <c:pt idx="6">
                  <c:v>195.56486816832535</c:v>
                </c:pt>
                <c:pt idx="7">
                  <c:v>184.03496664366224</c:v>
                </c:pt>
                <c:pt idx="8">
                  <c:v>105.82010582010601</c:v>
                </c:pt>
                <c:pt idx="9">
                  <c:v>133.71086990718882</c:v>
                </c:pt>
                <c:pt idx="10">
                  <c:v>145.53759347991581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6464"/>
        <c:axId val="177646848"/>
      </c:scatterChart>
      <c:valAx>
        <c:axId val="1776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46848"/>
        <c:crosses val="autoZero"/>
        <c:crossBetween val="midCat"/>
      </c:valAx>
      <c:valAx>
        <c:axId val="17764684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64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5712"/>
        <c:axId val="180406104"/>
      </c:scatterChart>
      <c:valAx>
        <c:axId val="1804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6104"/>
        <c:crosses val="autoZero"/>
        <c:crossBetween val="midCat"/>
      </c:valAx>
      <c:valAx>
        <c:axId val="18040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0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0.32474864987346808</c:v>
                </c:pt>
                <c:pt idx="1">
                  <c:v>0.23246633566148114</c:v>
                </c:pt>
                <c:pt idx="2">
                  <c:v>0.15335048036581631</c:v>
                </c:pt>
                <c:pt idx="3">
                  <c:v>0.10704191096532852</c:v>
                </c:pt>
                <c:pt idx="4">
                  <c:v>9.6999999999999933E-2</c:v>
                </c:pt>
                <c:pt idx="5">
                  <c:v>9.3770027612785564E-2</c:v>
                </c:pt>
                <c:pt idx="6">
                  <c:v>7.436752315476039E-2</c:v>
                </c:pt>
                <c:pt idx="7">
                  <c:v>5.5482988251806982E-2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4536"/>
        <c:axId val="180405320"/>
      </c:scatterChart>
      <c:valAx>
        <c:axId val="18040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5320"/>
        <c:crosses val="autoZero"/>
        <c:crossBetween val="midCat"/>
      </c:valAx>
      <c:valAx>
        <c:axId val="180405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4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0.32474864987346808</c:v>
                </c:pt>
                <c:pt idx="1">
                  <c:v>0.23246633566148114</c:v>
                </c:pt>
                <c:pt idx="2">
                  <c:v>0.15335048036581631</c:v>
                </c:pt>
                <c:pt idx="3">
                  <c:v>0.10704191096532852</c:v>
                </c:pt>
                <c:pt idx="4">
                  <c:v>9.6999999999999933E-2</c:v>
                </c:pt>
                <c:pt idx="5">
                  <c:v>9.3770027612785564E-2</c:v>
                </c:pt>
                <c:pt idx="6">
                  <c:v>7.436752315476039E-2</c:v>
                </c:pt>
                <c:pt idx="7">
                  <c:v>5.5482988251806982E-2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6496"/>
        <c:axId val="180404928"/>
      </c:scatterChart>
      <c:valAx>
        <c:axId val="1804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4928"/>
        <c:crosses val="autoZero"/>
        <c:crossBetween val="midCat"/>
      </c:valAx>
      <c:valAx>
        <c:axId val="1804049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6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8456"/>
        <c:axId val="180402184"/>
      </c:scatterChart>
      <c:valAx>
        <c:axId val="1804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2184"/>
        <c:crosses val="autoZero"/>
        <c:crossBetween val="midCat"/>
      </c:valAx>
      <c:valAx>
        <c:axId val="1804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954505686789151E-2"/>
                  <c:y val="-0.54390055409740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Ard1_Turn1x_ESC1_G1b_T1a!$K$40:$K$43</c:f>
              <c:numCache>
                <c:formatCode>0.000</c:formatCode>
                <c:ptCount val="4"/>
                <c:pt idx="0">
                  <c:v>1.882712957701653</c:v>
                </c:pt>
                <c:pt idx="1">
                  <c:v>1.7924792483032321</c:v>
                </c:pt>
                <c:pt idx="2">
                  <c:v>1.5853003660342497</c:v>
                </c:pt>
                <c:pt idx="3">
                  <c:v>1.4665663367381319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9-4884-9983-5C9711CD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29768"/>
        <c:axId val="994871880"/>
      </c:scatterChart>
      <c:valAx>
        <c:axId val="998029768"/>
        <c:scaling>
          <c:orientation val="minMax"/>
          <c:max val="2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71880"/>
        <c:crosses val="autoZero"/>
        <c:crossBetween val="midCat"/>
      </c:valAx>
      <c:valAx>
        <c:axId val="9948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2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3125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1400"/>
        <c:axId val="180402576"/>
      </c:scatterChart>
      <c:valAx>
        <c:axId val="1804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576"/>
        <c:crosses val="autoZero"/>
        <c:crossBetween val="midCat"/>
      </c:valAx>
      <c:valAx>
        <c:axId val="180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2968"/>
        <c:axId val="18040375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816"/>
        <c:axId val="180404144"/>
      </c:scatterChart>
      <c:valAx>
        <c:axId val="1804029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3752"/>
        <c:crossesAt val="-40"/>
        <c:crossBetween val="midCat"/>
        <c:majorUnit val="20"/>
      </c:valAx>
      <c:valAx>
        <c:axId val="1804037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968"/>
        <c:crosses val="autoZero"/>
        <c:crossBetween val="midCat"/>
      </c:valAx>
      <c:valAx>
        <c:axId val="1804041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2816"/>
        <c:crosses val="max"/>
        <c:crossBetween val="midCat"/>
        <c:majorUnit val="40"/>
      </c:valAx>
      <c:valAx>
        <c:axId val="19395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40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952"/>
        <c:axId val="193952424"/>
      </c:scatterChart>
      <c:valAx>
        <c:axId val="193955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2424"/>
        <c:crosses val="autoZero"/>
        <c:crossBetween val="midCat"/>
      </c:valAx>
      <c:valAx>
        <c:axId val="19395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395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640"/>
        <c:axId val="193950856"/>
      </c:scatterChart>
      <c:valAx>
        <c:axId val="1939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0856"/>
        <c:crosses val="autoZero"/>
        <c:crossBetween val="midCat"/>
      </c:valAx>
      <c:valAx>
        <c:axId val="193950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4384"/>
        <c:axId val="193953208"/>
      </c:scatterChart>
      <c:valAx>
        <c:axId val="19395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3208"/>
        <c:crosses val="autoZero"/>
        <c:crossBetween val="midCat"/>
      </c:valAx>
      <c:valAx>
        <c:axId val="1939532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395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91.763321955226317</c:v>
                </c:pt>
                <c:pt idx="1">
                  <c:v>79.502892729656168</c:v>
                </c:pt>
                <c:pt idx="2">
                  <c:v>64.483866928332702</c:v>
                </c:pt>
                <c:pt idx="3">
                  <c:v>39.809753111872752</c:v>
                </c:pt>
                <c:pt idx="4">
                  <c:v>34.445815325685807</c:v>
                </c:pt>
                <c:pt idx="5">
                  <c:v>28.622111443539978</c:v>
                </c:pt>
              </c:numCache>
            </c:numRef>
          </c:xVal>
          <c:yVal>
            <c:numRef>
              <c:f>Ard2_Turn2_ESC2_G2b_T2a!$L$39:$L$44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Ard3_Turn3_ESC3_G3b_T3a!$L$40:$L$45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94.180507611575763</c:v>
                </c:pt>
                <c:pt idx="1">
                  <c:v>78.613865839269394</c:v>
                </c:pt>
                <c:pt idx="2">
                  <c:v>64.000283767308289</c:v>
                </c:pt>
                <c:pt idx="3">
                  <c:v>39.992256077657927</c:v>
                </c:pt>
                <c:pt idx="4">
                  <c:v>30.597810459968649</c:v>
                </c:pt>
                <c:pt idx="5">
                  <c:v>27.408338182358097</c:v>
                </c:pt>
              </c:numCache>
            </c:numRef>
          </c:xVal>
          <c:yVal>
            <c:numRef>
              <c:f>Ard3_Turn3_ESC3_G3b_T3a!$L$40:$L$45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Ard4_Turn4_ESC4_G4b_T4a!$L$38:$L$43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88.911215408699249</c:v>
                </c:pt>
                <c:pt idx="1">
                  <c:v>77.725299021912619</c:v>
                </c:pt>
                <c:pt idx="2">
                  <c:v>63.41773155044131</c:v>
                </c:pt>
                <c:pt idx="3">
                  <c:v>39.912442133024179</c:v>
                </c:pt>
                <c:pt idx="4">
                  <c:v>30.714720187078346</c:v>
                </c:pt>
                <c:pt idx="5">
                  <c:v>26.710269816054311</c:v>
                </c:pt>
              </c:numCache>
            </c:numRef>
          </c:xVal>
          <c:yVal>
            <c:numRef>
              <c:f>Ard4_Turn4_ESC4_G4b_T4a!$L$38:$L$43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ser>
          <c:idx val="8"/>
          <c:order val="8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C4-4D6C-ABF9-953DABCF21DD}"/>
            </c:ext>
          </c:extLst>
        </c:ser>
        <c:ser>
          <c:idx val="9"/>
          <c:order val="9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2608"/>
        <c:axId val="178932992"/>
      </c:scatterChart>
      <c:valAx>
        <c:axId val="1789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992"/>
        <c:crosses val="autoZero"/>
        <c:crossBetween val="midCat"/>
      </c:valAx>
      <c:valAx>
        <c:axId val="1789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032"/>
        <c:axId val="193953600"/>
      </c:scatterChart>
      <c:valAx>
        <c:axId val="1939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3600"/>
        <c:crosses val="autoZero"/>
        <c:crossBetween val="midCat"/>
      </c:valAx>
      <c:valAx>
        <c:axId val="193953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95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Ard2_Turn2_ESC2_G2b_T2a!$AN$5:$AN$13</c:f>
              <c:numCache>
                <c:formatCode>0.0</c:formatCode>
                <c:ptCount val="9"/>
                <c:pt idx="0">
                  <c:v>22.811576153900912</c:v>
                </c:pt>
                <c:pt idx="1">
                  <c:v>26.594292280271613</c:v>
                </c:pt>
                <c:pt idx="2">
                  <c:v>29.871030033381423</c:v>
                </c:pt>
                <c:pt idx="3">
                  <c:v>40.822505706375907</c:v>
                </c:pt>
                <c:pt idx="4">
                  <c:v>51.734687405081729</c:v>
                </c:pt>
                <c:pt idx="5">
                  <c:v>61.261330722642697</c:v>
                </c:pt>
                <c:pt idx="6">
                  <c:v>66.088420704350938</c:v>
                </c:pt>
                <c:pt idx="7">
                  <c:v>68.586074555654932</c:v>
                </c:pt>
                <c:pt idx="8">
                  <c:v>72.255445992290788</c:v>
                </c:pt>
              </c:numCache>
            </c:numRef>
          </c:xVal>
          <c:yVal>
            <c:numRef>
              <c:f>Ard2_Turn2_ESC2_G2b_T2a!$AU$5:$AU$13</c:f>
              <c:numCache>
                <c:formatCode>0.000</c:formatCode>
                <c:ptCount val="9"/>
                <c:pt idx="0">
                  <c:v>0.29429256464233966</c:v>
                </c:pt>
                <c:pt idx="1">
                  <c:v>0.24537002975495947</c:v>
                </c:pt>
                <c:pt idx="2">
                  <c:v>0.20288142646623078</c:v>
                </c:pt>
                <c:pt idx="3">
                  <c:v>0.12648704568826225</c:v>
                </c:pt>
                <c:pt idx="4">
                  <c:v>8.8999999999999954E-2</c:v>
                </c:pt>
                <c:pt idx="5">
                  <c:v>7.0866526888733211E-2</c:v>
                </c:pt>
                <c:pt idx="6">
                  <c:v>6.2420835588698396E-2</c:v>
                </c:pt>
                <c:pt idx="7">
                  <c:v>5.6066102788315496E-2</c:v>
                </c:pt>
                <c:pt idx="8">
                  <c:v>4.9651903818499016E-2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168"/>
        <c:axId val="193956344"/>
      </c:scatterChart>
      <c:valAx>
        <c:axId val="1939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6344"/>
        <c:crosses val="autoZero"/>
        <c:crossBetween val="midCat"/>
      </c:valAx>
      <c:valAx>
        <c:axId val="1939563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551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Ard2_Turn2_ESC2_G2b_T2a!$AN$5:$AN$13</c:f>
              <c:numCache>
                <c:formatCode>0.0</c:formatCode>
                <c:ptCount val="9"/>
                <c:pt idx="0">
                  <c:v>22.811576153900912</c:v>
                </c:pt>
                <c:pt idx="1">
                  <c:v>26.594292280271613</c:v>
                </c:pt>
                <c:pt idx="2">
                  <c:v>29.871030033381423</c:v>
                </c:pt>
                <c:pt idx="3">
                  <c:v>40.822505706375907</c:v>
                </c:pt>
                <c:pt idx="4">
                  <c:v>51.734687405081729</c:v>
                </c:pt>
                <c:pt idx="5">
                  <c:v>61.261330722642697</c:v>
                </c:pt>
                <c:pt idx="6">
                  <c:v>66.088420704350938</c:v>
                </c:pt>
                <c:pt idx="7">
                  <c:v>68.586074555654932</c:v>
                </c:pt>
                <c:pt idx="8">
                  <c:v>72.255445992290788</c:v>
                </c:pt>
              </c:numCache>
            </c:numRef>
          </c:xVal>
          <c:yVal>
            <c:numRef>
              <c:f>Ard2_Turn2_ESC2_G2b_T2a!$AU$5:$AU$13</c:f>
              <c:numCache>
                <c:formatCode>0.000</c:formatCode>
                <c:ptCount val="9"/>
                <c:pt idx="0">
                  <c:v>0.29429256464233966</c:v>
                </c:pt>
                <c:pt idx="1">
                  <c:v>0.24537002975495947</c:v>
                </c:pt>
                <c:pt idx="2">
                  <c:v>0.20288142646623078</c:v>
                </c:pt>
                <c:pt idx="3">
                  <c:v>0.12648704568826225</c:v>
                </c:pt>
                <c:pt idx="4">
                  <c:v>8.8999999999999954E-2</c:v>
                </c:pt>
                <c:pt idx="5">
                  <c:v>7.0866526888733211E-2</c:v>
                </c:pt>
                <c:pt idx="6">
                  <c:v>6.2420835588698396E-2</c:v>
                </c:pt>
                <c:pt idx="7">
                  <c:v>5.6066102788315496E-2</c:v>
                </c:pt>
                <c:pt idx="8">
                  <c:v>4.9651903818499016E-2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5.8023808601098592</c:v>
                </c:pt>
                <c:pt idx="1">
                  <c:v>22.811576153900912</c:v>
                </c:pt>
                <c:pt idx="2">
                  <c:v>26.594292280271613</c:v>
                </c:pt>
                <c:pt idx="3">
                  <c:v>29.871030033381423</c:v>
                </c:pt>
                <c:pt idx="4">
                  <c:v>40.822505706375907</c:v>
                </c:pt>
                <c:pt idx="5">
                  <c:v>51.734687405081729</c:v>
                </c:pt>
                <c:pt idx="6">
                  <c:v>61.261330722642697</c:v>
                </c:pt>
                <c:pt idx="7">
                  <c:v>66.088420704350938</c:v>
                </c:pt>
                <c:pt idx="8">
                  <c:v>68.586074555654932</c:v>
                </c:pt>
                <c:pt idx="9">
                  <c:v>72.255445992290788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9680"/>
        <c:axId val="193950072"/>
      </c:scatterChart>
      <c:valAx>
        <c:axId val="19394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0072"/>
        <c:crosses val="autoZero"/>
        <c:crossBetween val="midCat"/>
      </c:valAx>
      <c:valAx>
        <c:axId val="1939500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496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Ard2_Turn2_ESC2_G2b_T2a!$S$1</c:f>
              <c:strCache>
                <c:ptCount val="1"/>
                <c:pt idx="0">
                  <c:v>Nt,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Ard2_Turn2_ESC2_G2b_T2a!$D$2:$D$13</c:f>
              <c:numCache>
                <c:formatCode>General</c:formatCode>
                <c:ptCount val="12"/>
                <c:pt idx="0" formatCode="0.0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Ard2_Turn2_ESC2_G2b_T2a!$S$2:$S$13</c:f>
              <c:numCache>
                <c:formatCode>0</c:formatCode>
                <c:ptCount val="12"/>
                <c:pt idx="0">
                  <c:v>0</c:v>
                </c:pt>
                <c:pt idx="1">
                  <c:v>1.3020833333333332E-27</c:v>
                </c:pt>
                <c:pt idx="2">
                  <c:v>6.7816840277777777</c:v>
                </c:pt>
                <c:pt idx="3">
                  <c:v>20.218685300207039</c:v>
                </c:pt>
                <c:pt idx="4">
                  <c:v>23.33482676224612</c:v>
                </c:pt>
                <c:pt idx="5">
                  <c:v>26.35796221322537</c:v>
                </c:pt>
                <c:pt idx="6">
                  <c:v>38.072612085769983</c:v>
                </c:pt>
                <c:pt idx="7">
                  <c:v>49.135220125786169</c:v>
                </c:pt>
                <c:pt idx="8">
                  <c:v>59.865900383141764</c:v>
                </c:pt>
                <c:pt idx="9">
                  <c:v>66.60272804774084</c:v>
                </c:pt>
                <c:pt idx="10">
                  <c:v>72.337962962962962</c:v>
                </c:pt>
                <c:pt idx="11">
                  <c:v>76.593137254901961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0-4F2D-8ADD-6305162B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0248"/>
        <c:axId val="194688288"/>
      </c:scatterChart>
      <c:valAx>
        <c:axId val="19469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288"/>
        <c:crosses val="autoZero"/>
        <c:crossBetween val="midCat"/>
        <c:majorUnit val="20"/>
      </c:valAx>
      <c:valAx>
        <c:axId val="1946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793744531933514E-2"/>
                  <c:y val="-0.61637139107611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Ard2_Turn2_ESC2_G2b_T2a!$K$40:$K$43</c:f>
              <c:numCache>
                <c:formatCode>0.000</c:formatCode>
                <c:ptCount val="4"/>
                <c:pt idx="0">
                  <c:v>1.9003829308410203</c:v>
                </c:pt>
                <c:pt idx="1">
                  <c:v>1.8094510730786972</c:v>
                </c:pt>
                <c:pt idx="2">
                  <c:v>1.5999894842285645</c:v>
                </c:pt>
                <c:pt idx="3">
                  <c:v>1.5371364688749465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5-4E88-94BA-72958E35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35784"/>
        <c:axId val="1000507576"/>
      </c:scatterChart>
      <c:valAx>
        <c:axId val="100053578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07576"/>
        <c:crosses val="autoZero"/>
        <c:crossBetween val="midCat"/>
      </c:valAx>
      <c:valAx>
        <c:axId val="10005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3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10309.278350515466</c:v>
                </c:pt>
                <c:pt idx="1">
                  <c:v>16042.780748663101</c:v>
                </c:pt>
                <c:pt idx="2">
                  <c:v>17341.040462427747</c:v>
                </c:pt>
                <c:pt idx="3">
                  <c:v>20134.228187919463</c:v>
                </c:pt>
                <c:pt idx="4">
                  <c:v>24691.358024691359</c:v>
                </c:pt>
                <c:pt idx="5">
                  <c:v>29411.764705882353</c:v>
                </c:pt>
                <c:pt idx="6">
                  <c:v>32432.43243243243</c:v>
                </c:pt>
                <c:pt idx="7">
                  <c:v>32967.032967032967</c:v>
                </c:pt>
                <c:pt idx="8">
                  <c:v>35087.719298245618</c:v>
                </c:pt>
                <c:pt idx="9">
                  <c:v>37267.080745341613</c:v>
                </c:pt>
                <c:pt idx="10">
                  <c:v>43795.620437956204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856"/>
        <c:axId val="194691816"/>
      </c:scatterChart>
      <c:valAx>
        <c:axId val="1946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816"/>
        <c:crosses val="autoZero"/>
        <c:crossBetween val="midCat"/>
      </c:valAx>
      <c:valAx>
        <c:axId val="1946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6720"/>
        <c:axId val="19469142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2208"/>
        <c:axId val="194690640"/>
      </c:scatterChart>
      <c:valAx>
        <c:axId val="1946867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424"/>
        <c:crossesAt val="-40"/>
        <c:crossBetween val="midCat"/>
        <c:majorUnit val="20"/>
      </c:valAx>
      <c:valAx>
        <c:axId val="194691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6720"/>
        <c:crosses val="autoZero"/>
        <c:crossBetween val="midCat"/>
      </c:valAx>
      <c:valAx>
        <c:axId val="1946906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2208"/>
        <c:crosses val="max"/>
        <c:crossBetween val="midCat"/>
        <c:majorUnit val="40"/>
      </c:valAx>
      <c:valAx>
        <c:axId val="19469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5544"/>
        <c:axId val="194687112"/>
      </c:scatterChart>
      <c:valAx>
        <c:axId val="1946855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7112"/>
        <c:crosses val="autoZero"/>
        <c:crossBetween val="midCat"/>
      </c:valAx>
      <c:valAx>
        <c:axId val="19468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68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1032"/>
        <c:axId val="194688680"/>
      </c:scatterChart>
      <c:valAx>
        <c:axId val="19469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8680"/>
        <c:crosses val="autoZero"/>
        <c:crossBetween val="midCat"/>
      </c:valAx>
      <c:valAx>
        <c:axId val="194688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072"/>
        <c:axId val="194685936"/>
      </c:scatterChart>
      <c:valAx>
        <c:axId val="1946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5936"/>
        <c:crosses val="autoZero"/>
        <c:crossBetween val="midCat"/>
      </c:valAx>
      <c:valAx>
        <c:axId val="1946859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68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9184"/>
        <c:axId val="178821768"/>
      </c:scatterChart>
      <c:valAx>
        <c:axId val="1787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821768"/>
        <c:crosses val="autoZero"/>
        <c:crossBetween val="midCat"/>
      </c:valAx>
      <c:valAx>
        <c:axId val="1788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7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1808"/>
        <c:axId val="195352984"/>
      </c:scatterChart>
      <c:valAx>
        <c:axId val="1953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52984"/>
        <c:crosses val="autoZero"/>
        <c:crossBetween val="midCat"/>
      </c:valAx>
      <c:valAx>
        <c:axId val="195352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53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Ard3_Turn3_ESC3_G3b_T3a!$AN$5:$AN$14</c:f>
              <c:numCache>
                <c:formatCode>0.0</c:formatCode>
                <c:ptCount val="10"/>
                <c:pt idx="0">
                  <c:v>19.986322207456581</c:v>
                </c:pt>
                <c:pt idx="1">
                  <c:v>23.995233467684077</c:v>
                </c:pt>
                <c:pt idx="2">
                  <c:v>30.531028460751699</c:v>
                </c:pt>
                <c:pt idx="3">
                  <c:v>40.094242929614481</c:v>
                </c:pt>
                <c:pt idx="4">
                  <c:v>48.916038145625222</c:v>
                </c:pt>
                <c:pt idx="5">
                  <c:v>55.491386675659186</c:v>
                </c:pt>
                <c:pt idx="6">
                  <c:v>56.839172480802645</c:v>
                </c:pt>
                <c:pt idx="7">
                  <c:v>59.579224993560686</c:v>
                </c:pt>
                <c:pt idx="8">
                  <c:v>64.320760631499837</c:v>
                </c:pt>
                <c:pt idx="9">
                  <c:v>72.386787884092286</c:v>
                </c:pt>
              </c:numCache>
            </c:numRef>
          </c:xVal>
          <c:yVal>
            <c:numRef>
              <c:f>Ard3_Turn3_ESC3_G3b_T3a!$AU$5:$AU$14</c:f>
              <c:numCache>
                <c:formatCode>0.000</c:formatCode>
                <c:ptCount val="10"/>
                <c:pt idx="0">
                  <c:v>0.32115680246115302</c:v>
                </c:pt>
                <c:pt idx="1">
                  <c:v>0.27156480258481236</c:v>
                </c:pt>
                <c:pt idx="2">
                  <c:v>0.20384296090467277</c:v>
                </c:pt>
                <c:pt idx="3">
                  <c:v>0.14489199270348629</c:v>
                </c:pt>
                <c:pt idx="4">
                  <c:v>0.11149314972102711</c:v>
                </c:pt>
                <c:pt idx="5">
                  <c:v>9.7161252630913852E-2</c:v>
                </c:pt>
                <c:pt idx="6">
                  <c:v>9.4999999999999987E-2</c:v>
                </c:pt>
                <c:pt idx="7">
                  <c:v>8.7297017935612009E-2</c:v>
                </c:pt>
                <c:pt idx="8">
                  <c:v>8.0582300098494611E-2</c:v>
                </c:pt>
                <c:pt idx="9">
                  <c:v>6.146432126379172E-2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9064"/>
        <c:axId val="195349456"/>
      </c:scatterChart>
      <c:valAx>
        <c:axId val="1953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456"/>
        <c:crosses val="autoZero"/>
        <c:crossBetween val="midCat"/>
      </c:valAx>
      <c:valAx>
        <c:axId val="195349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9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Ard3_Turn3_ESC3_G3b_T3a!$AN$5:$AN$14</c:f>
              <c:numCache>
                <c:formatCode>0.0</c:formatCode>
                <c:ptCount val="10"/>
                <c:pt idx="0">
                  <c:v>19.986322207456581</c:v>
                </c:pt>
                <c:pt idx="1">
                  <c:v>23.995233467684077</c:v>
                </c:pt>
                <c:pt idx="2">
                  <c:v>30.531028460751699</c:v>
                </c:pt>
                <c:pt idx="3">
                  <c:v>40.094242929614481</c:v>
                </c:pt>
                <c:pt idx="4">
                  <c:v>48.916038145625222</c:v>
                </c:pt>
                <c:pt idx="5">
                  <c:v>55.491386675659186</c:v>
                </c:pt>
                <c:pt idx="6">
                  <c:v>56.839172480802645</c:v>
                </c:pt>
                <c:pt idx="7">
                  <c:v>59.579224993560686</c:v>
                </c:pt>
                <c:pt idx="8">
                  <c:v>64.320760631499837</c:v>
                </c:pt>
                <c:pt idx="9">
                  <c:v>72.386787884092286</c:v>
                </c:pt>
              </c:numCache>
            </c:numRef>
          </c:xVal>
          <c:yVal>
            <c:numRef>
              <c:f>Ard3_Turn3_ESC3_G3b_T3a!$AU$5:$AU$14</c:f>
              <c:numCache>
                <c:formatCode>0.000</c:formatCode>
                <c:ptCount val="10"/>
                <c:pt idx="0">
                  <c:v>0.32115680246115302</c:v>
                </c:pt>
                <c:pt idx="1">
                  <c:v>0.27156480258481236</c:v>
                </c:pt>
                <c:pt idx="2">
                  <c:v>0.20384296090467277</c:v>
                </c:pt>
                <c:pt idx="3">
                  <c:v>0.14489199270348629</c:v>
                </c:pt>
                <c:pt idx="4">
                  <c:v>0.11149314972102711</c:v>
                </c:pt>
                <c:pt idx="5">
                  <c:v>9.7161252630913852E-2</c:v>
                </c:pt>
                <c:pt idx="6">
                  <c:v>9.4999999999999987E-2</c:v>
                </c:pt>
                <c:pt idx="7">
                  <c:v>8.7297017935612009E-2</c:v>
                </c:pt>
                <c:pt idx="8">
                  <c:v>8.0582300098494611E-2</c:v>
                </c:pt>
                <c:pt idx="9">
                  <c:v>6.146432126379172E-2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4.0416541216298523</c:v>
                </c:pt>
                <c:pt idx="1">
                  <c:v>19.986322207456581</c:v>
                </c:pt>
                <c:pt idx="2">
                  <c:v>23.995233467684077</c:v>
                </c:pt>
                <c:pt idx="3">
                  <c:v>30.531028460751699</c:v>
                </c:pt>
                <c:pt idx="4">
                  <c:v>40.094242929614481</c:v>
                </c:pt>
                <c:pt idx="5">
                  <c:v>48.916038145625222</c:v>
                </c:pt>
                <c:pt idx="6">
                  <c:v>55.491386675659186</c:v>
                </c:pt>
                <c:pt idx="7">
                  <c:v>56.839172480802645</c:v>
                </c:pt>
                <c:pt idx="8">
                  <c:v>59.579224993560686</c:v>
                </c:pt>
                <c:pt idx="9">
                  <c:v>64.320760631499837</c:v>
                </c:pt>
                <c:pt idx="10">
                  <c:v>72.386787884092286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888"/>
        <c:axId val="195349848"/>
      </c:scatterChart>
      <c:valAx>
        <c:axId val="1953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848"/>
        <c:crosses val="autoZero"/>
        <c:crossBetween val="midCat"/>
      </c:valAx>
      <c:valAx>
        <c:axId val="1953498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78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768153980752403E-2"/>
                  <c:y val="-0.522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Ard3_Turn3_ESC3_G3b_T3a!$K$41:$K$44</c:f>
              <c:numCache>
                <c:formatCode>0.000</c:formatCode>
                <c:ptCount val="4"/>
                <c:pt idx="0">
                  <c:v>1.8954991532453325</c:v>
                </c:pt>
                <c:pt idx="1">
                  <c:v>1.8061818995823704</c:v>
                </c:pt>
                <c:pt idx="2">
                  <c:v>1.6019759046196518</c:v>
                </c:pt>
                <c:pt idx="3">
                  <c:v>1.4856903500379366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C-47FD-866B-EAF38119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40664"/>
        <c:axId val="992637056"/>
      </c:scatterChart>
      <c:valAx>
        <c:axId val="99264066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7056"/>
        <c:crosses val="autoZero"/>
        <c:crossBetween val="midCat"/>
      </c:valAx>
      <c:valAx>
        <c:axId val="992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Ard4_Turn4_ESC4_G4b_T4a!$P$5:$P$12</c:f>
              <c:numCache>
                <c:formatCode>0</c:formatCode>
                <c:ptCount val="8"/>
                <c:pt idx="0">
                  <c:v>16620.498614958451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28985.507246376812</c:v>
                </c:pt>
                <c:pt idx="4">
                  <c:v>31746.031746031746</c:v>
                </c:pt>
                <c:pt idx="5">
                  <c:v>33333.333333333336</c:v>
                </c:pt>
                <c:pt idx="6">
                  <c:v>36809.815950920245</c:v>
                </c:pt>
                <c:pt idx="7">
                  <c:v>43795.620437956204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8672"/>
        <c:axId val="195350240"/>
      </c:scatterChart>
      <c:valAx>
        <c:axId val="1953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0240"/>
        <c:crosses val="autoZero"/>
        <c:crossBetween val="midCat"/>
      </c:valAx>
      <c:valAx>
        <c:axId val="195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23.935355392156865</c:v>
                </c:pt>
                <c:pt idx="1">
                  <c:v>36.068790397045248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62.902576489533011</c:v>
                </c:pt>
                <c:pt idx="5">
                  <c:v>68.893298059964721</c:v>
                </c:pt>
                <c:pt idx="6">
                  <c:v>72.337962962962962</c:v>
                </c:pt>
                <c:pt idx="7">
                  <c:v>79.882413087934552</c:v>
                </c:pt>
                <c:pt idx="8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4160"/>
        <c:axId val="19535102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4.3625400000000001</c:v>
                </c:pt>
                <c:pt idx="1">
                  <c:v>6.6843400000000006</c:v>
                </c:pt>
                <c:pt idx="2">
                  <c:v>14.7378</c:v>
                </c:pt>
                <c:pt idx="3">
                  <c:v>21.1584</c:v>
                </c:pt>
                <c:pt idx="4">
                  <c:v>35.186</c:v>
                </c:pt>
                <c:pt idx="5">
                  <c:v>57.695400000000006</c:v>
                </c:pt>
                <c:pt idx="6">
                  <c:v>71.400800000000004</c:v>
                </c:pt>
                <c:pt idx="7">
                  <c:v>85.226599999999991</c:v>
                </c:pt>
                <c:pt idx="8">
                  <c:v>108.00790000000001</c:v>
                </c:pt>
                <c:pt idx="9">
                  <c:v>166.86500000000001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104"/>
        <c:axId val="195353376"/>
      </c:scatterChart>
      <c:valAx>
        <c:axId val="1953541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1024"/>
        <c:crossesAt val="-40"/>
        <c:crossBetween val="midCat"/>
        <c:majorUnit val="20"/>
      </c:valAx>
      <c:valAx>
        <c:axId val="195351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4160"/>
        <c:crosses val="autoZero"/>
        <c:crossBetween val="midCat"/>
      </c:valAx>
      <c:valAx>
        <c:axId val="1953533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7104"/>
        <c:crosses val="max"/>
        <c:crossBetween val="midCat"/>
        <c:majorUnit val="40"/>
      </c:valAx>
      <c:valAx>
        <c:axId val="1953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17.69134963768116</c:v>
                </c:pt>
                <c:pt idx="1">
                  <c:v>23.935355392156865</c:v>
                </c:pt>
                <c:pt idx="2">
                  <c:v>36.068790397045248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62.902576489533011</c:v>
                </c:pt>
                <c:pt idx="6">
                  <c:v>68.893298059964721</c:v>
                </c:pt>
                <c:pt idx="7">
                  <c:v>72.337962962962962</c:v>
                </c:pt>
                <c:pt idx="8">
                  <c:v>79.882413087934552</c:v>
                </c:pt>
                <c:pt idx="9">
                  <c:v>95.042579075425792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4.603808987320001E-3</c:v>
                </c:pt>
                <c:pt idx="1">
                  <c:v>7.7173938669200014E-3</c:v>
                </c:pt>
                <c:pt idx="2">
                  <c:v>1.8517260903040001E-2</c:v>
                </c:pt>
                <c:pt idx="3">
                  <c:v>2.7127426756240001E-2</c:v>
                </c:pt>
                <c:pt idx="4">
                  <c:v>4.5938746963440004E-2</c:v>
                </c:pt>
                <c:pt idx="5">
                  <c:v>7.6124347570240017E-2</c:v>
                </c:pt>
                <c:pt idx="6">
                  <c:v>9.4503590489040015E-2</c:v>
                </c:pt>
                <c:pt idx="7">
                  <c:v>0.11304429245663999</c:v>
                </c:pt>
                <c:pt idx="8">
                  <c:v>0.14359451694524003</c:v>
                </c:pt>
                <c:pt idx="9">
                  <c:v>0.22252318290144002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6712"/>
        <c:axId val="195347496"/>
      </c:scatterChart>
      <c:valAx>
        <c:axId val="195346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5347496"/>
        <c:crosses val="autoZero"/>
        <c:crossBetween val="midCat"/>
      </c:valAx>
      <c:valAx>
        <c:axId val="195347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534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4955.5552609427614</c:v>
                </c:pt>
                <c:pt idx="1">
                  <c:v>9133.1571145852577</c:v>
                </c:pt>
                <c:pt idx="2">
                  <c:v>16819.07905121908</c:v>
                </c:pt>
                <c:pt idx="3">
                  <c:v>20149.814861452069</c:v>
                </c:pt>
                <c:pt idx="4">
                  <c:v>25184.024531258845</c:v>
                </c:pt>
                <c:pt idx="5">
                  <c:v>30136.818245467628</c:v>
                </c:pt>
                <c:pt idx="6">
                  <c:v>32373.24468436357</c:v>
                </c:pt>
                <c:pt idx="7">
                  <c:v>34267.655867784233</c:v>
                </c:pt>
                <c:pt idx="8">
                  <c:v>36991.240339587683</c:v>
                </c:pt>
                <c:pt idx="9">
                  <c:v>40842.089421252422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4376"/>
        <c:axId val="196105160"/>
      </c:scatterChart>
      <c:valAx>
        <c:axId val="1961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5160"/>
        <c:crosses val="autoZero"/>
        <c:crossBetween val="midCat"/>
      </c:valAx>
      <c:valAx>
        <c:axId val="196105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7.0889644576948565E-4</c:v>
                </c:pt>
                <c:pt idx="2">
                  <c:v>2.8853855758374561E-3</c:v>
                </c:pt>
                <c:pt idx="3">
                  <c:v>4.3476441376480175E-3</c:v>
                </c:pt>
                <c:pt idx="4">
                  <c:v>7.0467349550184851E-3</c:v>
                </c:pt>
                <c:pt idx="5">
                  <c:v>1.0827292578003099E-2</c:v>
                </c:pt>
                <c:pt idx="6">
                  <c:v>1.2668502547686832E-2</c:v>
                </c:pt>
                <c:pt idx="7">
                  <c:v>1.4845276263829227E-2</c:v>
                </c:pt>
                <c:pt idx="8">
                  <c:v>1.7521987492429912E-2</c:v>
                </c:pt>
                <c:pt idx="9">
                  <c:v>2.3719145986690317E-2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200"/>
        <c:axId val="196107120"/>
      </c:scatterChart>
      <c:valAx>
        <c:axId val="1961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107120"/>
        <c:crosses val="autoZero"/>
        <c:crossBetween val="midCat"/>
      </c:valAx>
      <c:valAx>
        <c:axId val="1961071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610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Ard4_Turn4_ESC4_G4b_T4a!$E$5:$E$12</c:f>
              <c:numCache>
                <c:formatCode>General</c:formatCode>
                <c:ptCount val="8"/>
                <c:pt idx="0">
                  <c:v>0.72</c:v>
                </c:pt>
                <c:pt idx="1">
                  <c:v>0.97</c:v>
                </c:pt>
                <c:pt idx="2">
                  <c:v>1.3149999999999999</c:v>
                </c:pt>
                <c:pt idx="3">
                  <c:v>1.68</c:v>
                </c:pt>
                <c:pt idx="4">
                  <c:v>1.86</c:v>
                </c:pt>
                <c:pt idx="5">
                  <c:v>2.02</c:v>
                </c:pt>
                <c:pt idx="6">
                  <c:v>2.2599999999999998</c:v>
                </c:pt>
                <c:pt idx="7">
                  <c:v>2.75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808"/>
        <c:axId val="196100456"/>
      </c:scatterChart>
      <c:valAx>
        <c:axId val="19610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0456"/>
        <c:crosses val="autoZero"/>
        <c:crossBetween val="midCat"/>
      </c:valAx>
      <c:valAx>
        <c:axId val="196100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610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456"/>
        <c:axId val="177821672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064"/>
        <c:axId val="177819712"/>
      </c:scatterChart>
      <c:valAx>
        <c:axId val="177822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1672"/>
        <c:crossesAt val="-40"/>
        <c:crossBetween val="midCat"/>
        <c:majorUnit val="20"/>
      </c:valAx>
      <c:valAx>
        <c:axId val="1778216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456"/>
        <c:crosses val="autoZero"/>
        <c:crossBetween val="midCat"/>
      </c:valAx>
      <c:valAx>
        <c:axId val="1778197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064"/>
        <c:crosses val="max"/>
        <c:crossBetween val="midCat"/>
        <c:majorUnit val="40"/>
      </c:valAx>
      <c:valAx>
        <c:axId val="1778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8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Ard4_Turn4_ESC4_G4b_T4a!$AN$5:$AN$12</c:f>
              <c:numCache>
                <c:formatCode>0.0</c:formatCode>
                <c:ptCount val="8"/>
                <c:pt idx="0">
                  <c:v>21.699057827325941</c:v>
                </c:pt>
                <c:pt idx="1">
                  <c:v>28.761634659659219</c:v>
                </c:pt>
                <c:pt idx="2">
                  <c:v>39.436300742106155</c:v>
                </c:pt>
                <c:pt idx="3">
                  <c:v>49.9383303638581</c:v>
                </c:pt>
                <c:pt idx="4">
                  <c:v>54.680505803302282</c:v>
                </c:pt>
                <c:pt idx="5">
                  <c:v>58.697463405833936</c:v>
                </c:pt>
                <c:pt idx="6">
                  <c:v>64.472621114939727</c:v>
                </c:pt>
                <c:pt idx="7">
                  <c:v>72.638059341958638</c:v>
                </c:pt>
              </c:numCache>
            </c:numRef>
          </c:xVal>
          <c:yVal>
            <c:numRef>
              <c:f>Ard4_Turn4_ESC4_G4b_T4a!$AU$5:$AU$12</c:f>
              <c:numCache>
                <c:formatCode>0.000</c:formatCode>
                <c:ptCount val="8"/>
                <c:pt idx="0">
                  <c:v>0.32019739618037896</c:v>
                </c:pt>
                <c:pt idx="1">
                  <c:v>0.21004399067715232</c:v>
                </c:pt>
                <c:pt idx="2">
                  <c:v>0.13505752150658526</c:v>
                </c:pt>
                <c:pt idx="3">
                  <c:v>9.7999999999999976E-2</c:v>
                </c:pt>
                <c:pt idx="4">
                  <c:v>8.4854077496816088E-2</c:v>
                </c:pt>
                <c:pt idx="5">
                  <c:v>7.8777811877439027E-2</c:v>
                </c:pt>
                <c:pt idx="6">
                  <c:v>6.8097672627850298E-2</c:v>
                </c:pt>
                <c:pt idx="7">
                  <c:v>5.0016255333224402E-2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984"/>
        <c:axId val="196106336"/>
      </c:scatterChart>
      <c:valAx>
        <c:axId val="1961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6336"/>
        <c:crosses val="autoZero"/>
        <c:crossBetween val="midCat"/>
      </c:valAx>
      <c:valAx>
        <c:axId val="1961063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39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Ard4_Turn4_ESC4_G4b_T4a!$AN$5:$AN$12</c:f>
              <c:numCache>
                <c:formatCode>0.0</c:formatCode>
                <c:ptCount val="8"/>
                <c:pt idx="0">
                  <c:v>21.699057827325941</c:v>
                </c:pt>
                <c:pt idx="1">
                  <c:v>28.761634659659219</c:v>
                </c:pt>
                <c:pt idx="2">
                  <c:v>39.436300742106155</c:v>
                </c:pt>
                <c:pt idx="3">
                  <c:v>49.9383303638581</c:v>
                </c:pt>
                <c:pt idx="4">
                  <c:v>54.680505803302282</c:v>
                </c:pt>
                <c:pt idx="5">
                  <c:v>58.697463405833936</c:v>
                </c:pt>
                <c:pt idx="6">
                  <c:v>64.472621114939727</c:v>
                </c:pt>
                <c:pt idx="7">
                  <c:v>72.638059341958638</c:v>
                </c:pt>
              </c:numCache>
            </c:numRef>
          </c:xVal>
          <c:yVal>
            <c:numRef>
              <c:f>Ard4_Turn4_ESC4_G4b_T4a!$AU$5:$AU$12</c:f>
              <c:numCache>
                <c:formatCode>0.000</c:formatCode>
                <c:ptCount val="8"/>
                <c:pt idx="0">
                  <c:v>0.32019739618037896</c:v>
                </c:pt>
                <c:pt idx="1">
                  <c:v>0.21004399067715232</c:v>
                </c:pt>
                <c:pt idx="2">
                  <c:v>0.13505752150658526</c:v>
                </c:pt>
                <c:pt idx="3">
                  <c:v>9.7999999999999976E-2</c:v>
                </c:pt>
                <c:pt idx="4">
                  <c:v>8.4854077496816088E-2</c:v>
                </c:pt>
                <c:pt idx="5">
                  <c:v>7.8777811877439027E-2</c:v>
                </c:pt>
                <c:pt idx="6">
                  <c:v>6.8097672627850298E-2</c:v>
                </c:pt>
                <c:pt idx="7">
                  <c:v>5.0016255333224402E-2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5.4016336851826967</c:v>
                </c:pt>
                <c:pt idx="1">
                  <c:v>21.699057827325941</c:v>
                </c:pt>
                <c:pt idx="2">
                  <c:v>28.761634659659219</c:v>
                </c:pt>
                <c:pt idx="3">
                  <c:v>39.436300742106155</c:v>
                </c:pt>
                <c:pt idx="4">
                  <c:v>49.9383303638581</c:v>
                </c:pt>
                <c:pt idx="5">
                  <c:v>54.680505803302282</c:v>
                </c:pt>
                <c:pt idx="6">
                  <c:v>58.697463405833936</c:v>
                </c:pt>
                <c:pt idx="7">
                  <c:v>64.472621114939727</c:v>
                </c:pt>
                <c:pt idx="8">
                  <c:v>72.638059341958638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0.11345863469863143</c:v>
                </c:pt>
                <c:pt idx="1">
                  <c:v>7.6186569978131474E-2</c:v>
                </c:pt>
                <c:pt idx="2">
                  <c:v>6.6692218982307566E-2</c:v>
                </c:pt>
                <c:pt idx="3">
                  <c:v>5.6121444340006467E-2</c:v>
                </c:pt>
                <c:pt idx="4">
                  <c:v>4.855058685789107E-2</c:v>
                </c:pt>
                <c:pt idx="5">
                  <c:v>4.5762959536747666E-2</c:v>
                </c:pt>
                <c:pt idx="6">
                  <c:v>4.364045265914053E-2</c:v>
                </c:pt>
                <c:pt idx="7">
                  <c:v>4.0912377554880808E-2</c:v>
                </c:pt>
                <c:pt idx="8">
                  <c:v>3.7589957360202833E-2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416"/>
        <c:axId val="196102024"/>
      </c:scatterChart>
      <c:valAx>
        <c:axId val="1961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2024"/>
        <c:crosses val="autoZero"/>
        <c:crossBetween val="midCat"/>
      </c:valAx>
      <c:valAx>
        <c:axId val="1961020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24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489282589676291E-2"/>
                  <c:y val="-0.628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Ard4_Turn4_ESC4_G4b_T4a!$K$39:$K$42</c:f>
              <c:numCache>
                <c:formatCode>0.000</c:formatCode>
                <c:ptCount val="4"/>
                <c:pt idx="0">
                  <c:v>1.890562401520206</c:v>
                </c:pt>
                <c:pt idx="1">
                  <c:v>1.8022107032737655</c:v>
                </c:pt>
                <c:pt idx="2">
                  <c:v>1.6011083018869563</c:v>
                </c:pt>
                <c:pt idx="3">
                  <c:v>1.4873465632251288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0-45BB-AC67-C88D4DE1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39680"/>
        <c:axId val="992638040"/>
      </c:scatterChart>
      <c:valAx>
        <c:axId val="992639680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8040"/>
        <c:crosses val="autoZero"/>
        <c:crossBetween val="midCat"/>
      </c:valAx>
      <c:valAx>
        <c:axId val="99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Ard_Turn_ESC_Gb_Ta!$P$5:$P$12</c:f>
              <c:numCache>
                <c:formatCode>0</c:formatCode>
                <c:ptCount val="8"/>
                <c:pt idx="0">
                  <c:v>17142.857142857145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30000.000000000004</c:v>
                </c:pt>
                <c:pt idx="4">
                  <c:v>32258.06451612903</c:v>
                </c:pt>
                <c:pt idx="5">
                  <c:v>33898.305084745763</c:v>
                </c:pt>
                <c:pt idx="6">
                  <c:v>37735.84905660378</c:v>
                </c:pt>
                <c:pt idx="7">
                  <c:v>43010.752688172048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4016"/>
        <c:axId val="220725584"/>
      </c:scatterChart>
      <c:valAx>
        <c:axId val="220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5584"/>
        <c:crosses val="autoZero"/>
        <c:crossBetween val="midCat"/>
      </c:valAx>
      <c:valAx>
        <c:axId val="220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Ard_Turn_ESC_Gb_Ta!$L$4:$L$12</c:f>
              <c:numCache>
                <c:formatCode>General</c:formatCode>
                <c:ptCount val="9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Ard_Turn_ESC_Gb_Ta!$R$4:$R$12</c:f>
              <c:numCache>
                <c:formatCode>0</c:formatCode>
                <c:ptCount val="9"/>
                <c:pt idx="0">
                  <c:v>31.150318979266348</c:v>
                </c:pt>
                <c:pt idx="1">
                  <c:v>37.202380952380956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65.104166666666671</c:v>
                </c:pt>
                <c:pt idx="5">
                  <c:v>70.004480286738342</c:v>
                </c:pt>
                <c:pt idx="6">
                  <c:v>73.56403013182674</c:v>
                </c:pt>
                <c:pt idx="7">
                  <c:v>81.892033542976947</c:v>
                </c:pt>
                <c:pt idx="8">
                  <c:v>93.33930704898448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9504"/>
        <c:axId val="220727152"/>
      </c:scatterChart>
      <c:scatterChart>
        <c:scatterStyle val="lineMarker"/>
        <c:varyColors val="0"/>
        <c:ser>
          <c:idx val="1"/>
          <c:order val="1"/>
          <c:tx>
            <c:strRef>
              <c:f>Ard_Turn_ESC_Gb_Ta!$U$1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Ard_Turn_ESC_Gb_Ta!$U$3:$U$12</c:f>
              <c:numCache>
                <c:formatCode>0.00</c:formatCode>
                <c:ptCount val="10"/>
                <c:pt idx="0">
                  <c:v>4.5065999999999997</c:v>
                </c:pt>
                <c:pt idx="1">
                  <c:v>10.466200000000001</c:v>
                </c:pt>
                <c:pt idx="2">
                  <c:v>15.673500000000001</c:v>
                </c:pt>
                <c:pt idx="3">
                  <c:v>21.470100000000002</c:v>
                </c:pt>
                <c:pt idx="4">
                  <c:v>35.5152</c:v>
                </c:pt>
                <c:pt idx="5">
                  <c:v>59.519999999999996</c:v>
                </c:pt>
                <c:pt idx="6">
                  <c:v>73.970500000000001</c:v>
                </c:pt>
                <c:pt idx="7">
                  <c:v>86.4666</c:v>
                </c:pt>
                <c:pt idx="8">
                  <c:v>112.80800000000001</c:v>
                </c:pt>
                <c:pt idx="9">
                  <c:v>176.64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544"/>
        <c:axId val="220726368"/>
      </c:scatterChart>
      <c:valAx>
        <c:axId val="2207295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152"/>
        <c:crossesAt val="-40"/>
        <c:crossBetween val="midCat"/>
        <c:majorUnit val="20"/>
      </c:valAx>
      <c:valAx>
        <c:axId val="220727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9504"/>
        <c:crosses val="autoZero"/>
        <c:crossBetween val="midCat"/>
      </c:valAx>
      <c:valAx>
        <c:axId val="2207263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544"/>
        <c:crosses val="max"/>
        <c:crossBetween val="midCat"/>
        <c:majorUnit val="40"/>
      </c:valAx>
      <c:valAx>
        <c:axId val="22072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7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Ard_Turn_ESC_Gb_Ta!$R$3:$R$12</c:f>
              <c:numCache>
                <c:formatCode>0</c:formatCode>
                <c:ptCount val="10"/>
                <c:pt idx="0">
                  <c:v>16.866364421416236</c:v>
                </c:pt>
                <c:pt idx="1">
                  <c:v>31.150318979266348</c:v>
                </c:pt>
                <c:pt idx="2">
                  <c:v>37.202380952380956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65.104166666666671</c:v>
                </c:pt>
                <c:pt idx="6">
                  <c:v>70.004480286738342</c:v>
                </c:pt>
                <c:pt idx="7">
                  <c:v>73.56403013182674</c:v>
                </c:pt>
                <c:pt idx="8">
                  <c:v>81.892033542976947</c:v>
                </c:pt>
                <c:pt idx="9">
                  <c:v>93.33930704898448</c:v>
                </c:pt>
              </c:numCache>
            </c:numRef>
          </c:xVal>
          <c:yVal>
            <c:numRef>
              <c:f>Ard_Turn_ESC_Gb_Ta!$W$3:$W$12</c:f>
              <c:numCache>
                <c:formatCode>0.0000</c:formatCode>
                <c:ptCount val="10"/>
                <c:pt idx="0">
                  <c:v>4.3326409287000002E-3</c:v>
                </c:pt>
                <c:pt idx="1">
                  <c:v>1.2324595639900002E-2</c:v>
                </c:pt>
                <c:pt idx="2">
                  <c:v>1.93076995005E-2</c:v>
                </c:pt>
                <c:pt idx="3">
                  <c:v>2.7081067625700006E-2</c:v>
                </c:pt>
                <c:pt idx="4">
                  <c:v>4.5915855717900002E-2</c:v>
                </c:pt>
                <c:pt idx="5">
                  <c:v>7.8106820623499995E-2</c:v>
                </c:pt>
                <c:pt idx="6">
                  <c:v>9.7485259034500005E-2</c:v>
                </c:pt>
                <c:pt idx="7">
                  <c:v>0.11424280404870001</c:v>
                </c:pt>
                <c:pt idx="8">
                  <c:v>0.14956720095950002</c:v>
                </c:pt>
                <c:pt idx="9">
                  <c:v>0.23516731726350001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936"/>
        <c:axId val="220729896"/>
      </c:scatterChart>
      <c:valAx>
        <c:axId val="2207279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29896"/>
        <c:crosses val="autoZero"/>
        <c:crossBetween val="midCat"/>
      </c:valAx>
      <c:valAx>
        <c:axId val="22072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07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Ard_Turn_ESC_Gb_Ta!$AJ$1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Ard_Turn_ESC_Gb_Ta!$D$3:$D$12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Ard_Turn_ESC_Gb_Ta!$AJ$3:$AJ$12</c:f>
              <c:numCache>
                <c:formatCode>0.00</c:formatCode>
                <c:ptCount val="10"/>
                <c:pt idx="0">
                  <c:v>2981.8312148311707</c:v>
                </c:pt>
                <c:pt idx="1">
                  <c:v>13244.332048243799</c:v>
                </c:pt>
                <c:pt idx="2">
                  <c:v>16616.263834886224</c:v>
                </c:pt>
                <c:pt idx="3">
                  <c:v>20064.019440802986</c:v>
                </c:pt>
                <c:pt idx="4">
                  <c:v>25275.097592697159</c:v>
                </c:pt>
                <c:pt idx="5">
                  <c:v>30401.899376450201</c:v>
                </c:pt>
                <c:pt idx="6">
                  <c:v>32716.898893444188</c:v>
                </c:pt>
                <c:pt idx="7">
                  <c:v>34677.867024715182</c:v>
                </c:pt>
                <c:pt idx="8">
                  <c:v>37497.140052014016</c:v>
                </c:pt>
                <c:pt idx="9">
                  <c:v>41483.282233588077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2248"/>
        <c:axId val="220732640"/>
      </c:scatterChart>
      <c:valAx>
        <c:axId val="2207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640"/>
        <c:crosses val="autoZero"/>
        <c:crossBetween val="midCat"/>
      </c:valAx>
      <c:valAx>
        <c:axId val="22073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xVal>
          <c:yVal>
            <c:numRef>
              <c:f>Ard_Turn_ESC_Gb_Ta!$Y$3:$Y$12</c:f>
              <c:numCache>
                <c:formatCode>0.00000</c:formatCode>
                <c:ptCount val="10"/>
                <c:pt idx="0">
                  <c:v>0</c:v>
                </c:pt>
                <c:pt idx="1">
                  <c:v>1.5816242020167499E-3</c:v>
                </c:pt>
                <c:pt idx="2">
                  <c:v>2.9874216567006805E-3</c:v>
                </c:pt>
                <c:pt idx="3">
                  <c:v>4.3733141677998882E-3</c:v>
                </c:pt>
                <c:pt idx="4">
                  <c:v>7.0799142002928783E-3</c:v>
                </c:pt>
                <c:pt idx="5">
                  <c:v>1.0746086850218228E-2</c:v>
                </c:pt>
                <c:pt idx="6">
                  <c:v>1.2943956113655848E-2</c:v>
                </c:pt>
                <c:pt idx="7">
                  <c:v>1.4772280722212119E-2</c:v>
                </c:pt>
                <c:pt idx="8">
                  <c:v>1.7888650014872123E-2</c:v>
                </c:pt>
                <c:pt idx="9">
                  <c:v>2.5788232063459551E-2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1464"/>
        <c:axId val="220733032"/>
      </c:scatterChart>
      <c:valAx>
        <c:axId val="22073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33032"/>
        <c:crosses val="autoZero"/>
        <c:crossBetween val="midCat"/>
      </c:valAx>
      <c:valAx>
        <c:axId val="2207330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0731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Ard_Turn_ESC_Gb_Ta!$E$5:$E$12</c:f>
              <c:numCache>
                <c:formatCode>General</c:formatCode>
                <c:ptCount val="8"/>
                <c:pt idx="0">
                  <c:v>0.56999999999999995</c:v>
                </c:pt>
                <c:pt idx="1">
                  <c:v>0.77</c:v>
                </c:pt>
                <c:pt idx="2">
                  <c:v>1.1100000000000001</c:v>
                </c:pt>
                <c:pt idx="3">
                  <c:v>1.47</c:v>
                </c:pt>
                <c:pt idx="4">
                  <c:v>1.65</c:v>
                </c:pt>
                <c:pt idx="5">
                  <c:v>1.77</c:v>
                </c:pt>
                <c:pt idx="6">
                  <c:v>2</c:v>
                </c:pt>
                <c:pt idx="7">
                  <c:v>2.42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4208"/>
        <c:axId val="220733424"/>
      </c:scatterChart>
      <c:valAx>
        <c:axId val="2207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733424"/>
        <c:crosses val="autoZero"/>
        <c:crossBetween val="midCat"/>
      </c:valAx>
      <c:valAx>
        <c:axId val="220733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073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0.30990268484464434</c:v>
                </c:pt>
                <c:pt idx="1">
                  <c:v>0.20924168599574136</c:v>
                </c:pt>
                <c:pt idx="2">
                  <c:v>0.12748005371720922</c:v>
                </c:pt>
                <c:pt idx="3">
                  <c:v>8.5000000000000006E-2</c:v>
                </c:pt>
                <c:pt idx="4">
                  <c:v>7.5390951164720776E-2</c:v>
                </c:pt>
                <c:pt idx="5">
                  <c:v>6.9669875247334742E-2</c:v>
                </c:pt>
                <c:pt idx="6">
                  <c:v>5.9165446283499415E-2</c:v>
                </c:pt>
                <c:pt idx="7">
                  <c:v>4.4557807642882731E-2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152"/>
        <c:axId val="221713976"/>
      </c:scatterChart>
      <c:valAx>
        <c:axId val="2217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13976"/>
        <c:crosses val="autoZero"/>
        <c:crossBetween val="midCat"/>
      </c:valAx>
      <c:valAx>
        <c:axId val="2217139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1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2160"/>
        <c:axId val="178482944"/>
      </c:scatterChart>
      <c:valAx>
        <c:axId val="1784821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2944"/>
        <c:crosses val="autoZero"/>
        <c:crossBetween val="midCat"/>
      </c:valAx>
      <c:valAx>
        <c:axId val="17848294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0.30990268484464434</c:v>
                </c:pt>
                <c:pt idx="1">
                  <c:v>0.20924168599574136</c:v>
                </c:pt>
                <c:pt idx="2">
                  <c:v>0.12748005371720922</c:v>
                </c:pt>
                <c:pt idx="3">
                  <c:v>8.5000000000000006E-2</c:v>
                </c:pt>
                <c:pt idx="4">
                  <c:v>7.5390951164720776E-2</c:v>
                </c:pt>
                <c:pt idx="5">
                  <c:v>6.9669875247334742E-2</c:v>
                </c:pt>
                <c:pt idx="6">
                  <c:v>5.9165446283499415E-2</c:v>
                </c:pt>
                <c:pt idx="7">
                  <c:v>4.4557807642882731E-2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Ard_Turn_ESC_Gb_Ta!$AS$1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Ard_Turn_ESC_Gb_Ta!$AN$4:$AN$12</c:f>
              <c:numCache>
                <c:formatCode>0.0</c:formatCode>
                <c:ptCount val="9"/>
                <c:pt idx="0">
                  <c:v>9.4293797002160868</c:v>
                </c:pt>
                <c:pt idx="1">
                  <c:v>16.604195273343983</c:v>
                </c:pt>
                <c:pt idx="2">
                  <c:v>23.940349199014673</c:v>
                </c:pt>
                <c:pt idx="3">
                  <c:v>35.02851083535257</c:v>
                </c:pt>
                <c:pt idx="4">
                  <c:v>45.937348737746348</c:v>
                </c:pt>
                <c:pt idx="5">
                  <c:v>50.863217835131309</c:v>
                </c:pt>
                <c:pt idx="6">
                  <c:v>55.03577694275797</c:v>
                </c:pt>
                <c:pt idx="7">
                  <c:v>61.034642074399542</c:v>
                </c:pt>
                <c:pt idx="8">
                  <c:v>69.516378008191268</c:v>
                </c:pt>
              </c:numCache>
            </c:numRef>
          </c:xVal>
          <c:yVal>
            <c:numRef>
              <c:f>Ard_Turn_ESC_Gb_Ta!$AS$4:$AS$12</c:f>
              <c:numCache>
                <c:formatCode>0.000</c:formatCode>
                <c:ptCount val="9"/>
                <c:pt idx="0">
                  <c:v>0.12425332799821891</c:v>
                </c:pt>
                <c:pt idx="1">
                  <c:v>9.0506650066736249E-2</c:v>
                </c:pt>
                <c:pt idx="2">
                  <c:v>7.0835432567228518E-2</c:v>
                </c:pt>
                <c:pt idx="3">
                  <c:v>5.3319661919205556E-2</c:v>
                </c:pt>
                <c:pt idx="4">
                  <c:v>4.2886455617819064E-2</c:v>
                </c:pt>
                <c:pt idx="5">
                  <c:v>3.9404813979561595E-2</c:v>
                </c:pt>
                <c:pt idx="6">
                  <c:v>3.6869395995943639E-2</c:v>
                </c:pt>
                <c:pt idx="7">
                  <c:v>3.37475653977337E-2</c:v>
                </c:pt>
                <c:pt idx="8">
                  <c:v>3.0139347139318443E-2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544"/>
        <c:axId val="221722208"/>
      </c:scatterChart>
      <c:valAx>
        <c:axId val="22171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22208"/>
        <c:crosses val="autoZero"/>
        <c:crossBetween val="midCat"/>
      </c:valAx>
      <c:valAx>
        <c:axId val="221722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5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290026246719159E-2"/>
                  <c:y val="-0.61119896471274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Ard_Turn_ESC_Gb_Ta!$K$39:$K$42</c:f>
              <c:numCache>
                <c:formatCode>0.000</c:formatCode>
                <c:ptCount val="4"/>
                <c:pt idx="0">
                  <c:v>1.9154620972095491</c:v>
                </c:pt>
                <c:pt idx="1">
                  <c:v>1.8329594019237523</c:v>
                </c:pt>
                <c:pt idx="2">
                  <c:v>1.6500574665591152</c:v>
                </c:pt>
                <c:pt idx="3">
                  <c:v>1.5504631200923746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9-4192-B8F4-6B32C19C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2056"/>
        <c:axId val="1090609112"/>
      </c:scatterChart>
      <c:valAx>
        <c:axId val="109059205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09112"/>
        <c:crosses val="autoZero"/>
        <c:crossBetween val="midCat"/>
      </c:valAx>
      <c:valAx>
        <c:axId val="10906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6728"/>
        <c:axId val="196107512"/>
      </c:scatterChart>
      <c:valAx>
        <c:axId val="1961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7512"/>
        <c:crosses val="autoZero"/>
        <c:crossBetween val="midCat"/>
      </c:valAx>
      <c:valAx>
        <c:axId val="1961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1240"/>
        <c:axId val="196101632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3016"/>
        <c:axId val="194286152"/>
      </c:scatterChart>
      <c:valAx>
        <c:axId val="1961012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632"/>
        <c:crossesAt val="-40"/>
        <c:crossBetween val="midCat"/>
        <c:majorUnit val="20"/>
      </c:valAx>
      <c:valAx>
        <c:axId val="196101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240"/>
        <c:crosses val="autoZero"/>
        <c:crossBetween val="midCat"/>
      </c:valAx>
      <c:valAx>
        <c:axId val="1942861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3016"/>
        <c:crosses val="max"/>
        <c:crossBetween val="midCat"/>
        <c:majorUnit val="40"/>
      </c:valAx>
      <c:valAx>
        <c:axId val="19428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8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976"/>
        <c:axId val="194280664"/>
      </c:scatterChart>
      <c:valAx>
        <c:axId val="1942849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0664"/>
        <c:crosses val="autoZero"/>
        <c:crossBetween val="midCat"/>
      </c:valAx>
      <c:valAx>
        <c:axId val="19428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28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056"/>
        <c:axId val="194280272"/>
      </c:scatterChart>
      <c:valAx>
        <c:axId val="194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0272"/>
        <c:crosses val="autoZero"/>
        <c:crossBetween val="midCat"/>
      </c:valAx>
      <c:valAx>
        <c:axId val="19428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840"/>
        <c:axId val="194282232"/>
      </c:scatterChart>
      <c:valAx>
        <c:axId val="1942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2232"/>
        <c:crosses val="autoZero"/>
        <c:crossBetween val="midCat"/>
      </c:valAx>
      <c:valAx>
        <c:axId val="1942822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28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2624"/>
        <c:axId val="194283800"/>
      </c:scatterChart>
      <c:valAx>
        <c:axId val="1942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3800"/>
        <c:crosses val="autoZero"/>
        <c:crossBetween val="midCat"/>
      </c:valAx>
      <c:valAx>
        <c:axId val="1942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8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0.44829965165712371</c:v>
                </c:pt>
                <c:pt idx="1">
                  <c:v>0.30545327788158633</c:v>
                </c:pt>
                <c:pt idx="2">
                  <c:v>0.18420122211625375</c:v>
                </c:pt>
                <c:pt idx="3">
                  <c:v>0.12680096849683531</c:v>
                </c:pt>
                <c:pt idx="4">
                  <c:v>9.4905815433275503E-2</c:v>
                </c:pt>
                <c:pt idx="5">
                  <c:v>7.4517651644053051E-2</c:v>
                </c:pt>
                <c:pt idx="6">
                  <c:v>7.2055045004004295E-2</c:v>
                </c:pt>
                <c:pt idx="7">
                  <c:v>6.4983873177643273E-2</c:v>
                </c:pt>
                <c:pt idx="8">
                  <c:v>5.5190306704794551E-2</c:v>
                </c:pt>
                <c:pt idx="9">
                  <c:v>4.731146756474737E-2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096"/>
        <c:axId val="194279880"/>
      </c:scatterChart>
      <c:valAx>
        <c:axId val="19427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79880"/>
        <c:crosses val="autoZero"/>
        <c:crossBetween val="midCat"/>
      </c:valAx>
      <c:valAx>
        <c:axId val="194279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79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0.44829965165712371</c:v>
                </c:pt>
                <c:pt idx="1">
                  <c:v>0.30545327788158633</c:v>
                </c:pt>
                <c:pt idx="2">
                  <c:v>0.18420122211625375</c:v>
                </c:pt>
                <c:pt idx="3">
                  <c:v>0.12680096849683531</c:v>
                </c:pt>
                <c:pt idx="4">
                  <c:v>9.4905815433275503E-2</c:v>
                </c:pt>
                <c:pt idx="5">
                  <c:v>7.4517651644053051E-2</c:v>
                </c:pt>
                <c:pt idx="6">
                  <c:v>7.2055045004004295E-2</c:v>
                </c:pt>
                <c:pt idx="7">
                  <c:v>6.4983873177643273E-2</c:v>
                </c:pt>
                <c:pt idx="8">
                  <c:v>5.5190306704794551E-2</c:v>
                </c:pt>
                <c:pt idx="9">
                  <c:v>4.731146756474737E-2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192"/>
        <c:axId val="194284584"/>
      </c:scatterChart>
      <c:valAx>
        <c:axId val="1942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4584"/>
        <c:crosses val="autoZero"/>
        <c:crossBetween val="midCat"/>
      </c:valAx>
      <c:valAx>
        <c:axId val="1942845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841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1376"/>
        <c:axId val="178479808"/>
      </c:scatterChart>
      <c:valAx>
        <c:axId val="1784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79808"/>
        <c:crosses val="autoZero"/>
        <c:crossBetween val="midCat"/>
      </c:valAx>
      <c:valAx>
        <c:axId val="178479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DELTAV -Friction</a:t>
            </a:r>
            <a:r>
              <a:rPr lang="en-US" baseline="0"/>
              <a:t> Is Partly Driving Ng-Nt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DeltaV!$D$1</c:f>
              <c:strCache>
                <c:ptCount val="1"/>
                <c:pt idx="0">
                  <c:v>DELTAV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DeltaV!$B$2:$B$6</c:f>
              <c:numCache>
                <c:formatCode>General</c:formatCode>
                <c:ptCount val="5"/>
                <c:pt idx="0">
                  <c:v>5800</c:v>
                </c:pt>
                <c:pt idx="1">
                  <c:v>5553</c:v>
                </c:pt>
                <c:pt idx="2">
                  <c:v>6115</c:v>
                </c:pt>
                <c:pt idx="3">
                  <c:v>6435</c:v>
                </c:pt>
                <c:pt idx="4">
                  <c:v>8641</c:v>
                </c:pt>
              </c:numCache>
            </c:numRef>
          </c:xVal>
          <c:yVal>
            <c:numRef>
              <c:f>DeltaV!$D$2:$D$6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2-4AD9-A8DA-9ECEDA41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694128"/>
        <c:axId val="999696096"/>
      </c:scatterChart>
      <c:valAx>
        <c:axId val="999694128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96096"/>
        <c:crosses val="autoZero"/>
        <c:crossBetween val="midCat"/>
      </c:valAx>
      <c:valAx>
        <c:axId val="99969609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Measured TauT</a:t>
            </a:r>
          </a:p>
        </c:rich>
      </c:tx>
      <c:layout>
        <c:manualLayout>
          <c:xMode val="edge"/>
          <c:yMode val="edge"/>
          <c:x val="0.42145138624183109"/>
          <c:y val="3.9075144271538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55178716583925E-2"/>
          <c:y val="3.6121984821677153E-2"/>
          <c:w val="0.90581781838555753"/>
          <c:h val="0.83944691432981711"/>
        </c:manualLayout>
      </c:layout>
      <c:scatterChart>
        <c:scatterStyle val="lineMarker"/>
        <c:varyColors val="0"/>
        <c:ser>
          <c:idx val="4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Ard1_Turn1x_ESC1_G1b_T1a!$K$40:$K$43</c:f>
              <c:numCache>
                <c:formatCode>0.000</c:formatCode>
                <c:ptCount val="4"/>
                <c:pt idx="0">
                  <c:v>1.882712957701653</c:v>
                </c:pt>
                <c:pt idx="1">
                  <c:v>1.7924792483032321</c:v>
                </c:pt>
                <c:pt idx="2">
                  <c:v>1.5853003660342497</c:v>
                </c:pt>
                <c:pt idx="3">
                  <c:v>1.4665663367381319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97-494A-9C01-EFC5EAFB510D}"/>
            </c:ext>
          </c:extLst>
        </c:ser>
        <c:ser>
          <c:idx val="3"/>
          <c:order val="1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Ard2_Turn2_ESC2_G2b_T2a!$K$40:$K$43</c:f>
              <c:numCache>
                <c:formatCode>0.000</c:formatCode>
                <c:ptCount val="4"/>
                <c:pt idx="0">
                  <c:v>1.9003829308410203</c:v>
                </c:pt>
                <c:pt idx="1">
                  <c:v>1.8094510730786972</c:v>
                </c:pt>
                <c:pt idx="2">
                  <c:v>1.5999894842285645</c:v>
                </c:pt>
                <c:pt idx="3">
                  <c:v>1.5371364688749465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97-494A-9C01-EFC5EAFB510D}"/>
            </c:ext>
          </c:extLst>
        </c:ser>
        <c:ser>
          <c:idx val="2"/>
          <c:order val="2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Ard3_Turn3_ESC3_G3b_T3a!$K$41:$K$44</c:f>
              <c:numCache>
                <c:formatCode>0.000</c:formatCode>
                <c:ptCount val="4"/>
                <c:pt idx="0">
                  <c:v>1.8954991532453325</c:v>
                </c:pt>
                <c:pt idx="1">
                  <c:v>1.8061818995823704</c:v>
                </c:pt>
                <c:pt idx="2">
                  <c:v>1.6019759046196518</c:v>
                </c:pt>
                <c:pt idx="3">
                  <c:v>1.4856903500379366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97-494A-9C01-EFC5EAFB510D}"/>
            </c:ext>
          </c:extLst>
        </c:ser>
        <c:ser>
          <c:idx val="1"/>
          <c:order val="3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Ard4_Turn4_ESC4_G4b_T4a!$K$39:$K$42</c:f>
              <c:numCache>
                <c:formatCode>0.000</c:formatCode>
                <c:ptCount val="4"/>
                <c:pt idx="0">
                  <c:v>1.890562401520206</c:v>
                </c:pt>
                <c:pt idx="1">
                  <c:v>1.8022107032737655</c:v>
                </c:pt>
                <c:pt idx="2">
                  <c:v>1.6011083018869563</c:v>
                </c:pt>
                <c:pt idx="3">
                  <c:v>1.4873465632251288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7-494A-9C01-EFC5EAFB510D}"/>
            </c:ext>
          </c:extLst>
        </c:ser>
        <c:ser>
          <c:idx val="0"/>
          <c:order val="4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1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Ard_Turn_ESC_Gb_Ta!$K$39:$K$42</c:f>
              <c:numCache>
                <c:formatCode>0.000</c:formatCode>
                <c:ptCount val="4"/>
                <c:pt idx="0">
                  <c:v>1.9154620972095491</c:v>
                </c:pt>
                <c:pt idx="1">
                  <c:v>1.8329594019237523</c:v>
                </c:pt>
                <c:pt idx="2">
                  <c:v>1.6500574665591152</c:v>
                </c:pt>
                <c:pt idx="3">
                  <c:v>1.5504631200923746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7-494A-9C01-EFC5EAFB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2056"/>
        <c:axId val="1090609112"/>
      </c:scatterChart>
      <c:valAx>
        <c:axId val="109059205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log10(Ng%)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09112"/>
        <c:crosses val="autoZero"/>
        <c:crossBetween val="midCat"/>
      </c:valAx>
      <c:valAx>
        <c:axId val="10906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Constant,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87990879323251"/>
          <c:y val="0.61406048813399183"/>
          <c:w val="0.4676513338874933"/>
          <c:h val="0.20358883859882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752"/>
        <c:axId val="194976144"/>
      </c:scatterChart>
      <c:valAx>
        <c:axId val="1949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144"/>
        <c:crosses val="autoZero"/>
        <c:crossBetween val="midCat"/>
      </c:valAx>
      <c:valAx>
        <c:axId val="194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360"/>
        <c:axId val="19497653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320"/>
        <c:axId val="194976928"/>
      </c:scatterChart>
      <c:valAx>
        <c:axId val="1949753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536"/>
        <c:crossesAt val="-40"/>
        <c:crossBetween val="midCat"/>
        <c:majorUnit val="20"/>
      </c:valAx>
      <c:valAx>
        <c:axId val="194976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360"/>
        <c:crosses val="autoZero"/>
        <c:crossBetween val="midCat"/>
      </c:valAx>
      <c:valAx>
        <c:axId val="1949769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320"/>
        <c:crosses val="max"/>
        <c:crossBetween val="midCat"/>
        <c:majorUnit val="40"/>
      </c:valAx>
      <c:valAx>
        <c:axId val="194977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7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7128"/>
        <c:axId val="194962424"/>
      </c:scatterChart>
      <c:valAx>
        <c:axId val="1949671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62424"/>
        <c:crosses val="autoZero"/>
        <c:crossBetween val="midCat"/>
      </c:valAx>
      <c:valAx>
        <c:axId val="19496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2816"/>
        <c:axId val="194967520"/>
      </c:scatterChart>
      <c:valAx>
        <c:axId val="1949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7520"/>
        <c:crosses val="autoZero"/>
        <c:crossBetween val="midCat"/>
      </c:valAx>
      <c:valAx>
        <c:axId val="19496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8304"/>
        <c:axId val="194968696"/>
      </c:scatterChart>
      <c:valAx>
        <c:axId val="194968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4968696"/>
        <c:crosses val="autoZero"/>
        <c:crossBetween val="midCat"/>
      </c:valAx>
      <c:valAx>
        <c:axId val="194968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96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0.14165496911683709</c:v>
                </c:pt>
                <c:pt idx="1">
                  <c:v>7.4035208899620397E-2</c:v>
                </c:pt>
                <c:pt idx="2">
                  <c:v>5.7626891588378137E-2</c:v>
                </c:pt>
                <c:pt idx="3">
                  <c:v>4.5141971782597219E-2</c:v>
                </c:pt>
                <c:pt idx="4">
                  <c:v>4.0766780869900363E-2</c:v>
                </c:pt>
                <c:pt idx="5">
                  <c:v>3.6031907134570502E-2</c:v>
                </c:pt>
                <c:pt idx="6">
                  <c:v>3.4999999999999996E-2</c:v>
                </c:pt>
                <c:pt idx="7">
                  <c:v>3.2999417268911799E-2</c:v>
                </c:pt>
                <c:pt idx="8">
                  <c:v>3.0455731988635607E-2</c:v>
                </c:pt>
                <c:pt idx="9">
                  <c:v>2.8933303992720691E-2</c:v>
                </c:pt>
                <c:pt idx="10">
                  <c:v>2.7170646143068779E-2</c:v>
                </c:pt>
                <c:pt idx="11">
                  <c:v>2.5810807846379027E-2</c:v>
                </c:pt>
                <c:pt idx="12">
                  <c:v>2.5810807846379027E-2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3792"/>
        <c:axId val="194970656"/>
      </c:scatterChart>
      <c:valAx>
        <c:axId val="19497379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70656"/>
        <c:crosses val="autoZero"/>
        <c:crossBetween val="midCat"/>
      </c:valAx>
      <c:valAx>
        <c:axId val="19497065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97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3208"/>
        <c:axId val="194970264"/>
      </c:scatterChart>
      <c:valAx>
        <c:axId val="1949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0264"/>
        <c:crosses val="autoZero"/>
        <c:crossBetween val="midCat"/>
      </c:valAx>
      <c:valAx>
        <c:axId val="1949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4776"/>
        <c:axId val="194971048"/>
      </c:scatterChart>
      <c:valAx>
        <c:axId val="1949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1048"/>
        <c:crosses val="autoZero"/>
        <c:crossBetween val="midCat"/>
      </c:valAx>
      <c:valAx>
        <c:axId val="1949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200"/>
        <c:axId val="178483336"/>
      </c:scatterChart>
      <c:valAx>
        <c:axId val="17848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3336"/>
        <c:crosses val="autoZero"/>
        <c:crossBetween val="midCat"/>
      </c:valAx>
      <c:valAx>
        <c:axId val="1784833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8480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1.2626619916479564</c:v>
                </c:pt>
                <c:pt idx="1">
                  <c:v>1.9084671355946512</c:v>
                </c:pt>
                <c:pt idx="2">
                  <c:v>2.3076645847067137</c:v>
                </c:pt>
                <c:pt idx="3">
                  <c:v>2.6115229091099668</c:v>
                </c:pt>
                <c:pt idx="4">
                  <c:v>2.5871813670502823</c:v>
                </c:pt>
                <c:pt idx="5">
                  <c:v>2.7585435899814614</c:v>
                </c:pt>
                <c:pt idx="6">
                  <c:v>2.8019219690900816</c:v>
                </c:pt>
                <c:pt idx="7">
                  <c:v>2.7301160852941533</c:v>
                </c:pt>
                <c:pt idx="8" formatCode="0.000">
                  <c:v>2.8585264533141235</c:v>
                </c:pt>
                <c:pt idx="9">
                  <c:v>2.7979644521845879</c:v>
                </c:pt>
                <c:pt idx="10">
                  <c:v>2.7618409997461448</c:v>
                </c:pt>
                <c:pt idx="11">
                  <c:v>2.7648399918106876</c:v>
                </c:pt>
                <c:pt idx="12">
                  <c:v>2.7477133233992559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6736"/>
        <c:axId val="194963992"/>
      </c:scatterChart>
      <c:valAx>
        <c:axId val="194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992"/>
        <c:crosses val="autoZero"/>
        <c:crossBetween val="midCat"/>
      </c:valAx>
      <c:valAx>
        <c:axId val="19496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1832"/>
        <c:axId val="194972224"/>
      </c:scatterChart>
      <c:valAx>
        <c:axId val="19497183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4972224"/>
        <c:crosses val="autoZero"/>
        <c:crossBetween val="midCat"/>
        <c:minorUnit val="2"/>
      </c:valAx>
      <c:valAx>
        <c:axId val="19497222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4971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952"/>
        <c:axId val="194962032"/>
      </c:scatterChart>
      <c:valAx>
        <c:axId val="194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032"/>
        <c:crosses val="autoZero"/>
        <c:crossBetween val="midCat"/>
      </c:valAx>
      <c:valAx>
        <c:axId val="194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168"/>
        <c:axId val="194969088"/>
      </c:scatterChart>
      <c:valAx>
        <c:axId val="194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9088"/>
        <c:crosses val="autoZero"/>
        <c:crossBetween val="midCat"/>
      </c:valAx>
      <c:valAx>
        <c:axId val="1949690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F-4427-BCB4-7B3C0AC9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4200"/>
        <c:axId val="197675768"/>
      </c:scatterChart>
      <c:valAx>
        <c:axId val="19767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5768"/>
        <c:crosses val="autoZero"/>
        <c:crossBetween val="midCat"/>
      </c:valAx>
      <c:valAx>
        <c:axId val="1976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8-4C5D-9A1B-D245FFA2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9688"/>
        <c:axId val="197680080"/>
      </c:scatterChart>
      <c:valAx>
        <c:axId val="19767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0080"/>
        <c:crosses val="autoZero"/>
        <c:crossBetween val="midCat"/>
      </c:valAx>
      <c:valAx>
        <c:axId val="1976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1256"/>
        <c:axId val="197682432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5568"/>
        <c:axId val="197684000"/>
      </c:scatterChart>
      <c:valAx>
        <c:axId val="1976812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2432"/>
        <c:crosses val="autoZero"/>
        <c:crossBetween val="midCat"/>
      </c:valAx>
      <c:valAx>
        <c:axId val="197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1256"/>
        <c:crosses val="autoZero"/>
        <c:crossBetween val="midCat"/>
      </c:valAx>
      <c:valAx>
        <c:axId val="19768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5568"/>
        <c:crosses val="max"/>
        <c:crossBetween val="midCat"/>
      </c:valAx>
      <c:valAx>
        <c:axId val="1976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8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0-47A1-B0A1-CF90C42A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3216"/>
        <c:axId val="197684392"/>
      </c:scatterChart>
      <c:valAx>
        <c:axId val="1976832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684392"/>
        <c:crosses val="autoZero"/>
        <c:crossBetween val="midCat"/>
      </c:valAx>
      <c:valAx>
        <c:axId val="197684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8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9-410A-9B96-249A6015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5960"/>
        <c:axId val="197684784"/>
      </c:scatterChart>
      <c:valAx>
        <c:axId val="19768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684784"/>
        <c:crosses val="autoZero"/>
        <c:crossBetween val="midCat"/>
      </c:valAx>
      <c:valAx>
        <c:axId val="19768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85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3-4461-9C5E-F72795B5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0496"/>
        <c:axId val="198946856"/>
      </c:scatterChart>
      <c:valAx>
        <c:axId val="17782049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6856"/>
        <c:crosses val="autoZero"/>
        <c:crossBetween val="midCat"/>
      </c:valAx>
      <c:valAx>
        <c:axId val="1989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049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592"/>
        <c:axId val="178481768"/>
      </c:scatterChart>
      <c:valAx>
        <c:axId val="17848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1768"/>
        <c:crosses val="autoZero"/>
        <c:crossBetween val="midCat"/>
      </c:valAx>
      <c:valAx>
        <c:axId val="17848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2-4BE5-A55F-4C68F164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1168"/>
        <c:axId val="198947248"/>
      </c:scatterChart>
      <c:valAx>
        <c:axId val="1989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248"/>
        <c:crosses val="autoZero"/>
        <c:crossBetween val="midCat"/>
      </c:valAx>
      <c:valAx>
        <c:axId val="1989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9-424D-BA00-477BBA46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7640"/>
        <c:axId val="198949992"/>
      </c:scatterChart>
      <c:valAx>
        <c:axId val="19894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9992"/>
        <c:crosses val="autoZero"/>
        <c:crossBetween val="midCat"/>
      </c:valAx>
      <c:valAx>
        <c:axId val="1989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11" Type="http://schemas.openxmlformats.org/officeDocument/2006/relationships/chart" Target="../charts/chart82.xml"/><Relationship Id="rId5" Type="http://schemas.openxmlformats.org/officeDocument/2006/relationships/chart" Target="../charts/chart76.xml"/><Relationship Id="rId10" Type="http://schemas.openxmlformats.org/officeDocument/2006/relationships/chart" Target="../charts/chart81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8</xdr:row>
      <xdr:rowOff>76200</xdr:rowOff>
    </xdr:from>
    <xdr:to>
      <xdr:col>12</xdr:col>
      <xdr:colOff>595312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BCD1B-056B-4F5D-8FBA-461C4138A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7419760" cy="126755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8407B-C0C3-419F-9C28-13B43BE4C2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390252</xdr:colOff>
      <xdr:row>17</xdr:row>
      <xdr:rowOff>52797</xdr:rowOff>
    </xdr:from>
    <xdr:to>
      <xdr:col>19</xdr:col>
      <xdr:colOff>239485</xdr:colOff>
      <xdr:row>31</xdr:row>
      <xdr:rowOff>172546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108857</xdr:colOff>
      <xdr:row>57</xdr:row>
      <xdr:rowOff>138793</xdr:rowOff>
    </xdr:from>
    <xdr:to>
      <xdr:col>15</xdr:col>
      <xdr:colOff>476250</xdr:colOff>
      <xdr:row>72</xdr:row>
      <xdr:rowOff>24493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EC2C5D-E49D-4091-9BA7-3C4CE096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496661</xdr:colOff>
      <xdr:row>57</xdr:row>
      <xdr:rowOff>70757</xdr:rowOff>
    </xdr:from>
    <xdr:to>
      <xdr:col>15</xdr:col>
      <xdr:colOff>251732</xdr:colOff>
      <xdr:row>71</xdr:row>
      <xdr:rowOff>146957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A07E2A-625F-4B59-9829-DC78A3A6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58208</xdr:colOff>
      <xdr:row>1</xdr:row>
      <xdr:rowOff>67733</xdr:rowOff>
    </xdr:from>
    <xdr:to>
      <xdr:col>13</xdr:col>
      <xdr:colOff>365125</xdr:colOff>
      <xdr:row>17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23812</xdr:colOff>
      <xdr:row>56</xdr:row>
      <xdr:rowOff>73025</xdr:rowOff>
    </xdr:from>
    <xdr:to>
      <xdr:col>15</xdr:col>
      <xdr:colOff>420687</xdr:colOff>
      <xdr:row>70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49E197-7C36-4617-A082-5D63B3BA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517921</xdr:colOff>
      <xdr:row>57</xdr:row>
      <xdr:rowOff>104775</xdr:rowOff>
    </xdr:from>
    <xdr:to>
      <xdr:col>15</xdr:col>
      <xdr:colOff>279796</xdr:colOff>
      <xdr:row>71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33850A-8BEB-46B9-B820-46CD13593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82398</xdr:colOff>
      <xdr:row>55</xdr:row>
      <xdr:rowOff>93435</xdr:rowOff>
    </xdr:from>
    <xdr:to>
      <xdr:col>15</xdr:col>
      <xdr:colOff>469445</xdr:colOff>
      <xdr:row>70</xdr:row>
      <xdr:rowOff>1814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1335C9-FC6A-4B10-BC03-028C3D004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34017</xdr:colOff>
      <xdr:row>56</xdr:row>
      <xdr:rowOff>125184</xdr:rowOff>
    </xdr:from>
    <xdr:to>
      <xdr:col>15</xdr:col>
      <xdr:colOff>401410</xdr:colOff>
      <xdr:row>71</xdr:row>
      <xdr:rowOff>10884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76BAFA-4A83-4509-A971-BAF8D1C1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5" x14ac:dyDescent="0.25"/>
  <sheetData>
    <row r="1" spans="1:32" x14ac:dyDescent="0.25">
      <c r="A1" t="s">
        <v>292</v>
      </c>
      <c r="B1" t="s">
        <v>293</v>
      </c>
      <c r="C1" t="s">
        <v>304</v>
      </c>
      <c r="D1" t="s">
        <v>325</v>
      </c>
      <c r="E1" t="s">
        <v>326</v>
      </c>
      <c r="F1" t="s">
        <v>294</v>
      </c>
      <c r="G1" t="s">
        <v>295</v>
      </c>
      <c r="H1" t="s">
        <v>305</v>
      </c>
      <c r="I1" t="s">
        <v>314</v>
      </c>
      <c r="J1" t="s">
        <v>315</v>
      </c>
      <c r="K1" t="s">
        <v>296</v>
      </c>
      <c r="L1" t="s">
        <v>297</v>
      </c>
      <c r="M1" t="s">
        <v>306</v>
      </c>
      <c r="N1" t="s">
        <v>316</v>
      </c>
      <c r="O1" t="s">
        <v>317</v>
      </c>
      <c r="P1" t="s">
        <v>298</v>
      </c>
      <c r="Q1" t="s">
        <v>299</v>
      </c>
      <c r="R1" t="s">
        <v>307</v>
      </c>
      <c r="S1" t="s">
        <v>320</v>
      </c>
      <c r="T1" t="s">
        <v>319</v>
      </c>
      <c r="U1" t="s">
        <v>300</v>
      </c>
      <c r="V1" t="s">
        <v>301</v>
      </c>
      <c r="W1" t="s">
        <v>308</v>
      </c>
      <c r="X1" t="s">
        <v>318</v>
      </c>
      <c r="Y1" t="s">
        <v>321</v>
      </c>
      <c r="Z1" t="s">
        <v>302</v>
      </c>
      <c r="AA1" t="s">
        <v>303</v>
      </c>
      <c r="AB1" t="s">
        <v>309</v>
      </c>
      <c r="AC1" t="s">
        <v>323</v>
      </c>
      <c r="AD1" t="s">
        <v>324</v>
      </c>
      <c r="AE1" t="s">
        <v>310</v>
      </c>
      <c r="AF1" t="s">
        <v>311</v>
      </c>
    </row>
    <row r="2" spans="1:32" x14ac:dyDescent="0.25">
      <c r="A2">
        <f>CalPhotonTurnigy!D3</f>
        <v>10.076726574109877</v>
      </c>
      <c r="B2" s="154">
        <f>CalPhotonTurnigy!O3</f>
        <v>5.9999999999999995E-25</v>
      </c>
      <c r="C2" s="154">
        <f>C3</f>
        <v>1683.2891657203099</v>
      </c>
      <c r="D2" s="154">
        <f t="shared" ref="D2:D18" si="0">LN(A2)*$C$21+$B$21</f>
        <v>4719.8939848955088</v>
      </c>
      <c r="E2" s="154">
        <f>E3</f>
        <v>1055.3851558145041</v>
      </c>
      <c r="F2" s="87">
        <f>Ard0_Turn0_ESC0_G0b_T0a!D2</f>
        <v>6.0661220353948684</v>
      </c>
      <c r="G2" s="154">
        <f>Ard0_Turn0_ESC0_G0b_T0a!P2</f>
        <v>5.9999999999999995E-25</v>
      </c>
      <c r="H2" s="154">
        <f>H3</f>
        <v>2888.5237809565906</v>
      </c>
      <c r="I2" s="154">
        <f t="shared" ref="I2:I12" si="1">LN(F2)*$C$21+$B$21</f>
        <v>-1908.6802578632232</v>
      </c>
      <c r="J2" s="154">
        <f>J3</f>
        <v>1756.2524837821861</v>
      </c>
      <c r="K2" s="87">
        <f>Ard1_Turn1x_ESC1_G1b_T1a!D2</f>
        <v>5.3803300418278059</v>
      </c>
      <c r="L2" s="154">
        <f>Ard1_Turn1x_ESC1_G1b_T1a!P2</f>
        <v>5.9999999999999995E-25</v>
      </c>
      <c r="M2" s="154">
        <f>M3</f>
        <v>2862.9560668905519</v>
      </c>
      <c r="N2" s="154">
        <f t="shared" ref="N2:N9" si="2">LN(K2)*$C$21+$B$21</f>
        <v>-3475.6059285425108</v>
      </c>
      <c r="O2" s="154">
        <f>O3</f>
        <v>1977.8033061988792</v>
      </c>
      <c r="P2" s="87">
        <f>Ard2_Turn2_ESC2_G2b_T2a!D2</f>
        <v>5.7969930558608072</v>
      </c>
      <c r="Q2" s="154">
        <f>Ard2_Turn2_ESC2_G2b_T2a!P2</f>
        <v>5.9999999999999995E-25</v>
      </c>
      <c r="R2" s="154">
        <f>R3</f>
        <v>2676.0568181447202</v>
      </c>
      <c r="S2" s="154">
        <f t="shared" ref="S2:S13" si="3">LN(P2)*$C$21+$B$21</f>
        <v>-2501.3908218524557</v>
      </c>
      <c r="T2" s="154">
        <f>T3</f>
        <v>1793.7335530769128</v>
      </c>
      <c r="U2" s="87">
        <f>Ard3_Turn3_ESC3_G3b_T3a!D2</f>
        <v>6.6811957375597357</v>
      </c>
      <c r="V2" s="154">
        <f>Ard3_Turn3_ESC3_G3b_T3a!P2</f>
        <v>5.9999999999999995E-25</v>
      </c>
      <c r="W2" s="154">
        <f>W3</f>
        <v>3525.2595716631822</v>
      </c>
      <c r="X2" s="154">
        <f t="shared" ref="X2:X14" si="4">LN(U2)*$C$21+$B$21</f>
        <v>-647.28222051976991</v>
      </c>
      <c r="Y2" s="154">
        <f>Y3</f>
        <v>1678.1202657498468</v>
      </c>
      <c r="Z2" s="87">
        <f>Ard4_Turn4_ESC4_G4b_T4a!D2</f>
        <v>6.7090339239286205</v>
      </c>
      <c r="AA2" s="154">
        <f>Ard4_Turn4_ESC4_G4b_T4a!P2</f>
        <v>5.9999999999999995E-25</v>
      </c>
      <c r="AB2" s="154">
        <f>AB3</f>
        <v>2477.137024388659</v>
      </c>
      <c r="AC2" s="154">
        <f t="shared" ref="AC2:AC5" si="5">LN(Z2)*$C$21+$B$21</f>
        <v>-592.97470150013032</v>
      </c>
      <c r="AD2" s="154">
        <f>AD3</f>
        <v>1584.045073876445</v>
      </c>
      <c r="AE2">
        <f t="shared" ref="AE2:AE18" si="6">A2</f>
        <v>10.076726574109877</v>
      </c>
      <c r="AF2" s="154">
        <f t="shared" ref="AF2:AF18" si="7">B2</f>
        <v>5.9999999999999995E-25</v>
      </c>
    </row>
    <row r="3" spans="1:32" x14ac:dyDescent="0.25">
      <c r="A3">
        <f>CalPhotonTurnigy!D4</f>
        <v>15</v>
      </c>
      <c r="B3" s="154">
        <f>CalPhotonTurnigy!O4</f>
        <v>8287.2928176795576</v>
      </c>
      <c r="C3" s="154">
        <f>(B3-B2)/(A3-A2)</f>
        <v>1683.2891657203099</v>
      </c>
      <c r="D3" s="154">
        <f t="shared" si="0"/>
        <v>9915.8436765959632</v>
      </c>
      <c r="E3" s="154">
        <f>(D3-D2)/(A3-A2)</f>
        <v>1055.3851558145041</v>
      </c>
      <c r="F3" s="87">
        <f>Ard0_Turn0_ESC0_G0b_T0a!D3</f>
        <v>9</v>
      </c>
      <c r="G3" s="154">
        <f>Ard0_Turn0_ESC0_G0b_T0a!P3</f>
        <v>8474.5762711864409</v>
      </c>
      <c r="H3" s="154">
        <f>(G3-G2)/(F3-F2)</f>
        <v>2888.5237809565906</v>
      </c>
      <c r="I3" s="154">
        <f t="shared" si="1"/>
        <v>3243.9502045883637</v>
      </c>
      <c r="J3" s="154">
        <f>(I3-I2)/(F3-F2)</f>
        <v>1756.2524837821861</v>
      </c>
      <c r="K3" s="87">
        <f>Ard1_Turn1x_ESC1_G1b_T1a!D3</f>
        <v>8</v>
      </c>
      <c r="L3" s="154">
        <f>Ard1_Turn1x_ESC1_G1b_T1a!P3</f>
        <v>7500.0000000000009</v>
      </c>
      <c r="M3" s="154">
        <f>(L3-L2)/(K3-K2)</f>
        <v>2862.9560668905519</v>
      </c>
      <c r="N3" s="154">
        <f t="shared" si="2"/>
        <v>1705.5859758803344</v>
      </c>
      <c r="O3" s="154">
        <f>(N3-N2)/(K3-K2)</f>
        <v>1977.8033061988792</v>
      </c>
      <c r="P3" s="87">
        <f>Ard2_Turn2_ESC2_G2b_T2a!D3</f>
        <v>9</v>
      </c>
      <c r="Q3" s="154">
        <f>Ard2_Turn2_ESC2_G2b_T2a!P3</f>
        <v>8571.4285714285725</v>
      </c>
      <c r="R3" s="154">
        <f>(Q3-Q2)/(P3-P2)</f>
        <v>2676.0568181447202</v>
      </c>
      <c r="S3" s="154">
        <f t="shared" si="3"/>
        <v>3243.9502045883637</v>
      </c>
      <c r="T3" s="154">
        <f>(S3-S2)/(P3-P2)</f>
        <v>1793.7335530769128</v>
      </c>
      <c r="U3" s="87">
        <f>Ard3_Turn3_ESC3_G3b_T3a!D3</f>
        <v>9</v>
      </c>
      <c r="V3" s="154">
        <f>Ard3_Turn3_ESC3_G3b_T3a!P3</f>
        <v>8174.3869209809272</v>
      </c>
      <c r="W3" s="154">
        <f>(V3-V2)/(U3-U2)</f>
        <v>3525.2595716631822</v>
      </c>
      <c r="X3" s="154">
        <f t="shared" si="4"/>
        <v>3243.9502045883637</v>
      </c>
      <c r="Y3" s="154">
        <f>(X3-X2)/(U3-U2)</f>
        <v>1678.1202657498468</v>
      </c>
      <c r="Z3" s="87">
        <f>Ard4_Turn4_ESC4_G4b_T4a!D3</f>
        <v>10</v>
      </c>
      <c r="AA3" s="154">
        <f>Ard4_Turn4_ESC4_G4b_T4a!P3</f>
        <v>8152.1739130434789</v>
      </c>
      <c r="AB3" s="154">
        <f>(AA3-AA2)/(Z3-Z2)</f>
        <v>2477.137024388659</v>
      </c>
      <c r="AC3" s="154">
        <f t="shared" si="5"/>
        <v>4620.0638995952322</v>
      </c>
      <c r="AD3" s="154">
        <f>(AC3-AC2)/(Z3-Z2)</f>
        <v>1584.045073876445</v>
      </c>
      <c r="AE3">
        <f t="shared" si="6"/>
        <v>15</v>
      </c>
      <c r="AF3" s="154">
        <f t="shared" si="7"/>
        <v>8287.2928176795576</v>
      </c>
    </row>
    <row r="4" spans="1:32" x14ac:dyDescent="0.25">
      <c r="A4">
        <f>CalPhotonTurnigy!D5</f>
        <v>17</v>
      </c>
      <c r="B4" s="154">
        <f>CalPhotonTurnigy!O5</f>
        <v>9375</v>
      </c>
      <c r="C4" s="154">
        <f t="shared" ref="C4:C18" si="8">(B4-B3)/(A4-A3)</f>
        <v>543.85359116022119</v>
      </c>
      <c r="D4" s="154">
        <f t="shared" si="0"/>
        <v>11550.599486718238</v>
      </c>
      <c r="E4" s="154">
        <f t="shared" ref="E4:E18" si="9">(D4-D3)/(A4-A3)</f>
        <v>817.37790506113743</v>
      </c>
      <c r="F4" s="87">
        <f>Ard0_Turn0_ESC0_G0b_T0a!D4</f>
        <v>20</v>
      </c>
      <c r="G4" s="154">
        <f>Ard0_Turn0_ESC0_G0b_T0a!P4</f>
        <v>14851.485148514852</v>
      </c>
      <c r="H4" s="154">
        <f t="shared" ref="H4:H12" si="10">(G4-G3)/(F4-F3)</f>
        <v>579.71898884803738</v>
      </c>
      <c r="I4" s="154">
        <f t="shared" si="1"/>
        <v>13673.259224888672</v>
      </c>
      <c r="J4" s="154">
        <f t="shared" ref="J4:J12" si="11">(I4-I3)/(F4-F3)</f>
        <v>948.11900184548256</v>
      </c>
      <c r="K4" s="87">
        <f>Ard1_Turn1x_ESC1_G1b_T1a!D4</f>
        <v>12</v>
      </c>
      <c r="L4" s="154">
        <f>Ard1_Turn1x_ESC1_G1b_T1a!P4</f>
        <v>10830.324909747293</v>
      </c>
      <c r="M4" s="154">
        <f t="shared" ref="M4:M9" si="12">(L4-L3)/(K4-K3)</f>
        <v>832.58122743682293</v>
      </c>
      <c r="N4" s="154">
        <f t="shared" si="2"/>
        <v>7001.3657528810727</v>
      </c>
      <c r="O4" s="154">
        <f t="shared" ref="O4:O9" si="13">(N4-N3)/(K4-K3)</f>
        <v>1323.9449442501846</v>
      </c>
      <c r="P4" s="87">
        <f>Ard2_Turn2_ESC2_G2b_T2a!D4</f>
        <v>12</v>
      </c>
      <c r="Q4" s="154">
        <f>Ard2_Turn2_ESC2_G2b_T2a!P4</f>
        <v>9933.7748344370866</v>
      </c>
      <c r="R4" s="154">
        <f t="shared" ref="R4:R13" si="14">(Q4-Q3)/(P4-P3)</f>
        <v>454.11542100283805</v>
      </c>
      <c r="S4" s="154">
        <f t="shared" si="3"/>
        <v>7001.3657528810727</v>
      </c>
      <c r="T4" s="154">
        <f t="shared" ref="T4:T13" si="15">(S4-S3)/(P4-P3)</f>
        <v>1252.4718494309029</v>
      </c>
      <c r="U4" s="87">
        <f>Ard3_Turn3_ESC3_G3b_T3a!D4</f>
        <v>13</v>
      </c>
      <c r="V4" s="154">
        <f>Ard3_Turn3_ESC3_G3b_T3a!P4</f>
        <v>10309.278350515466</v>
      </c>
      <c r="W4" s="154">
        <f t="shared" ref="W4:W14" si="16">(V4-V3)/(U4-U3)</f>
        <v>533.72285738363462</v>
      </c>
      <c r="X4" s="154">
        <f t="shared" si="4"/>
        <v>8046.8035578051349</v>
      </c>
      <c r="Y4" s="154">
        <f t="shared" ref="Y4:Y14" si="17">(X4-X3)/(U4-U3)</f>
        <v>1200.7133383041928</v>
      </c>
      <c r="Z4" s="87">
        <f>Ard4_Turn4_ESC4_G4b_T4a!D4</f>
        <v>14</v>
      </c>
      <c r="AA4" s="154">
        <f>Ard4_Turn4_ESC4_G4b_T4a!P4</f>
        <v>11029.411764705883</v>
      </c>
      <c r="AB4" s="154">
        <f t="shared" ref="AB4:AB5" si="18">(AA4-AA3)/(Z4-Z3)</f>
        <v>719.30946291560099</v>
      </c>
      <c r="AC4" s="154">
        <f t="shared" si="5"/>
        <v>9014.727782104892</v>
      </c>
      <c r="AD4" s="154">
        <f t="shared" ref="AD4:AD5" si="19">(AC4-AC3)/(Z4-Z3)</f>
        <v>1098.6659706274149</v>
      </c>
      <c r="AE4">
        <f t="shared" si="6"/>
        <v>17</v>
      </c>
      <c r="AF4" s="154">
        <f t="shared" si="7"/>
        <v>9375</v>
      </c>
    </row>
    <row r="5" spans="1:32" x14ac:dyDescent="0.25">
      <c r="A5">
        <f>CalPhotonTurnigy!D6</f>
        <v>20</v>
      </c>
      <c r="B5" s="154">
        <f>CalPhotonTurnigy!O6</f>
        <v>11811.023622047245</v>
      </c>
      <c r="C5" s="154">
        <f t="shared" si="8"/>
        <v>812.00787401574837</v>
      </c>
      <c r="D5" s="154">
        <f t="shared" si="0"/>
        <v>13673.259224888672</v>
      </c>
      <c r="E5" s="154">
        <f t="shared" si="9"/>
        <v>707.55324605681142</v>
      </c>
      <c r="F5" s="87">
        <f>Ard0_Turn0_ESC0_G0b_T0a!D5</f>
        <v>25</v>
      </c>
      <c r="G5" s="154">
        <f>Ard0_Turn0_ESC0_G0b_T0a!P5</f>
        <v>16304.347826086958</v>
      </c>
      <c r="H5" s="154">
        <f t="shared" si="10"/>
        <v>290.57253551442119</v>
      </c>
      <c r="I5" s="154">
        <f t="shared" si="1"/>
        <v>16587.73714860357</v>
      </c>
      <c r="J5" s="154">
        <f t="shared" si="11"/>
        <v>582.89558474297951</v>
      </c>
      <c r="K5" s="87">
        <f>Ard1_Turn1x_ESC1_G1b_T1a!D5</f>
        <v>17</v>
      </c>
      <c r="L5" s="154">
        <f>Ard1_Turn1x_ESC1_G1b_T1a!P5</f>
        <v>12244.897959183674</v>
      </c>
      <c r="M5" s="154">
        <f t="shared" si="12"/>
        <v>282.9146098872763</v>
      </c>
      <c r="N5" s="154">
        <f t="shared" si="2"/>
        <v>11550.599486718238</v>
      </c>
      <c r="O5" s="154">
        <f t="shared" si="13"/>
        <v>909.84674676743305</v>
      </c>
      <c r="P5" s="87">
        <f>Ard2_Turn2_ESC2_G2b_T2a!D5</f>
        <v>24</v>
      </c>
      <c r="Q5" s="154">
        <f>Ard2_Turn2_ESC2_G2b_T2a!P5</f>
        <v>16129.032258064515</v>
      </c>
      <c r="R5" s="154">
        <f t="shared" si="14"/>
        <v>516.27145196895242</v>
      </c>
      <c r="S5" s="154">
        <f t="shared" si="3"/>
        <v>16054.56107817452</v>
      </c>
      <c r="T5" s="154">
        <f t="shared" si="15"/>
        <v>754.43294377445397</v>
      </c>
      <c r="U5" s="87">
        <f>Ard3_Turn3_ESC3_G3b_T3a!D5</f>
        <v>24</v>
      </c>
      <c r="V5" s="154">
        <f>Ard3_Turn3_ESC3_G3b_T3a!P5</f>
        <v>16042.780748663101</v>
      </c>
      <c r="W5" s="154">
        <f t="shared" si="16"/>
        <v>521.22749074069407</v>
      </c>
      <c r="X5" s="154">
        <f t="shared" si="4"/>
        <v>16054.56107817452</v>
      </c>
      <c r="Y5" s="154">
        <f t="shared" si="17"/>
        <v>727.97795639721687</v>
      </c>
      <c r="Z5" s="87">
        <f>Ard4_Turn4_ESC4_G4b_T4a!D5</f>
        <v>26</v>
      </c>
      <c r="AA5" s="154">
        <f>Ard4_Turn4_ESC4_G4b_T4a!P5</f>
        <v>16620.498614958451</v>
      </c>
      <c r="AB5" s="154">
        <f t="shared" si="18"/>
        <v>465.92390418771402</v>
      </c>
      <c r="AC5" s="154">
        <f t="shared" si="5"/>
        <v>17099.998883098575</v>
      </c>
      <c r="AD5" s="154">
        <f t="shared" si="19"/>
        <v>673.77259174947358</v>
      </c>
      <c r="AE5">
        <f t="shared" si="6"/>
        <v>20</v>
      </c>
      <c r="AF5" s="154">
        <f t="shared" si="7"/>
        <v>11811.023622047245</v>
      </c>
    </row>
    <row r="6" spans="1:32" x14ac:dyDescent="0.25">
      <c r="A6">
        <f>CalPhotonTurnigy!D7</f>
        <v>35</v>
      </c>
      <c r="B6" s="154">
        <f>CalPhotonTurnigy!O7</f>
        <v>19354.83870967742</v>
      </c>
      <c r="C6" s="154">
        <f t="shared" si="8"/>
        <v>502.92100584201165</v>
      </c>
      <c r="D6" s="154">
        <f t="shared" si="0"/>
        <v>20982.40103111323</v>
      </c>
      <c r="E6" s="154">
        <f t="shared" si="9"/>
        <v>487.27612041497048</v>
      </c>
      <c r="F6" s="87">
        <f>Ard0_Turn0_ESC0_G0b_T0a!D6</f>
        <v>35</v>
      </c>
      <c r="G6" s="154">
        <f>Ard0_Turn0_ESC0_G0b_T0a!P6</f>
        <v>20134.228187919463</v>
      </c>
      <c r="H6" s="154">
        <f t="shared" si="10"/>
        <v>382.98803618325053</v>
      </c>
      <c r="I6" s="154">
        <f t="shared" si="1"/>
        <v>20982.40103111323</v>
      </c>
      <c r="J6" s="154">
        <f t="shared" si="11"/>
        <v>439.46638825096596</v>
      </c>
      <c r="K6" s="87">
        <f>Ard1_Turn1x_ESC1_G1b_T1a!D6</f>
        <v>21</v>
      </c>
      <c r="L6" s="154">
        <f>Ard1_Turn1x_ESC1_G1b_T1a!P6</f>
        <v>14354.066985645934</v>
      </c>
      <c r="M6" s="154">
        <f t="shared" si="12"/>
        <v>527.29225661556484</v>
      </c>
      <c r="N6" s="154">
        <f t="shared" si="2"/>
        <v>14310.50755910563</v>
      </c>
      <c r="O6" s="154">
        <f t="shared" si="13"/>
        <v>689.97701809684804</v>
      </c>
      <c r="P6" s="87">
        <f>Ard2_Turn2_ESC2_G2b_T2a!D6</f>
        <v>28</v>
      </c>
      <c r="Q6" s="154">
        <f>Ard2_Turn2_ESC2_G2b_T2a!P6</f>
        <v>17341.040462427747</v>
      </c>
      <c r="R6" s="154">
        <f t="shared" si="14"/>
        <v>303.00205109080798</v>
      </c>
      <c r="S6" s="154">
        <f t="shared" si="3"/>
        <v>18067.923107398339</v>
      </c>
      <c r="T6" s="154">
        <f t="shared" si="15"/>
        <v>503.34050730595482</v>
      </c>
      <c r="U6" s="87">
        <f>Ard3_Turn3_ESC3_G3b_T3a!D6</f>
        <v>28</v>
      </c>
      <c r="V6" s="154">
        <f>Ard3_Turn3_ESC3_G3b_T3a!P6</f>
        <v>17341.040462427747</v>
      </c>
      <c r="W6" s="154">
        <f t="shared" si="16"/>
        <v>324.56492844116156</v>
      </c>
      <c r="X6" s="154">
        <f t="shared" si="4"/>
        <v>18067.923107398339</v>
      </c>
      <c r="Y6" s="154">
        <f t="shared" si="17"/>
        <v>503.34050730595482</v>
      </c>
      <c r="Z6" s="87">
        <f>Ard4_Turn4_ESC4_G4b_T4a!D6</f>
        <v>34</v>
      </c>
      <c r="AA6" s="154">
        <f>Ard4_Turn4_ESC4_G4b_T4a!P6</f>
        <v>19480.519480519481</v>
      </c>
      <c r="AB6" s="154">
        <f t="shared" ref="AB6:AB12" si="20">(AA6-AA5)/(Z6-Z5)</f>
        <v>357.50260819512869</v>
      </c>
      <c r="AC6" s="154">
        <f t="shared" ref="AC6:AC12" si="21">LN(Z6)*$C$21+$B$21</f>
        <v>20603.794812011685</v>
      </c>
      <c r="AD6" s="154">
        <f t="shared" ref="AD6:AD12" si="22">(AC6-AC5)/(Z6-Z5)</f>
        <v>437.9744911141388</v>
      </c>
      <c r="AE6">
        <f t="shared" si="6"/>
        <v>35</v>
      </c>
      <c r="AF6" s="154">
        <f t="shared" si="7"/>
        <v>19354.83870967742</v>
      </c>
    </row>
    <row r="7" spans="1:32" x14ac:dyDescent="0.25">
      <c r="A7">
        <f>CalPhotonTurnigy!D8</f>
        <v>54</v>
      </c>
      <c r="B7" s="154">
        <f>CalPhotonTurnigy!O8</f>
        <v>24793.388429752067</v>
      </c>
      <c r="C7" s="154">
        <f t="shared" si="8"/>
        <v>286.23945895129719</v>
      </c>
      <c r="D7" s="154">
        <f t="shared" si="0"/>
        <v>26646.120632175989</v>
      </c>
      <c r="E7" s="154">
        <f t="shared" si="9"/>
        <v>298.09050531909259</v>
      </c>
      <c r="F7" s="87">
        <f>Ard0_Turn0_ESC0_G0b_T0a!D7</f>
        <v>54</v>
      </c>
      <c r="G7" s="154">
        <f>Ard0_Turn0_ESC0_G0b_T0a!P7</f>
        <v>25104.602510460249</v>
      </c>
      <c r="H7" s="154">
        <f t="shared" si="10"/>
        <v>261.59864855477815</v>
      </c>
      <c r="I7" s="154">
        <f t="shared" si="1"/>
        <v>26646.120632175989</v>
      </c>
      <c r="J7" s="154">
        <f t="shared" si="11"/>
        <v>298.09050531909259</v>
      </c>
      <c r="K7" s="87">
        <f>Ard1_Turn1x_ESC1_G1b_T1a!D7</f>
        <v>27</v>
      </c>
      <c r="L7" s="154">
        <f>Ard1_Turn1x_ESC1_G1b_T1a!P7</f>
        <v>16949.152542372882</v>
      </c>
      <c r="M7" s="154">
        <f t="shared" si="12"/>
        <v>432.51425945449137</v>
      </c>
      <c r="N7" s="154">
        <f t="shared" si="2"/>
        <v>17592.925306882542</v>
      </c>
      <c r="O7" s="154">
        <f t="shared" si="13"/>
        <v>547.06962462948525</v>
      </c>
      <c r="P7" s="87">
        <f>Ard2_Turn2_ESC2_G2b_T2a!D7</f>
        <v>32</v>
      </c>
      <c r="Q7" s="154">
        <f>Ard2_Turn2_ESC2_G2b_T2a!P7</f>
        <v>18867.92452830189</v>
      </c>
      <c r="R7" s="154">
        <f t="shared" si="14"/>
        <v>381.72101646853571</v>
      </c>
      <c r="S7" s="154">
        <f t="shared" si="3"/>
        <v>19811.976626467229</v>
      </c>
      <c r="T7" s="154">
        <f t="shared" si="15"/>
        <v>436.01337976722243</v>
      </c>
      <c r="U7" s="87">
        <f>Ard3_Turn3_ESC3_G3b_T3a!D7</f>
        <v>36</v>
      </c>
      <c r="V7" s="154">
        <f>Ard3_Turn3_ESC3_G3b_T3a!P7</f>
        <v>20134.228187919463</v>
      </c>
      <c r="W7" s="154">
        <f t="shared" si="16"/>
        <v>349.14846568646453</v>
      </c>
      <c r="X7" s="154">
        <f t="shared" si="4"/>
        <v>21350.340855175251</v>
      </c>
      <c r="Y7" s="154">
        <f t="shared" si="17"/>
        <v>410.30221847211396</v>
      </c>
      <c r="Z7" s="87">
        <f>Ard4_Turn4_ESC4_G4b_T4a!D7</f>
        <v>51</v>
      </c>
      <c r="AA7" s="154">
        <f>Ard4_Turn4_ESC4_G4b_T4a!P7</f>
        <v>24096.385542168679</v>
      </c>
      <c r="AB7" s="154">
        <f t="shared" si="20"/>
        <v>271.52153303818812</v>
      </c>
      <c r="AC7" s="154">
        <f t="shared" si="21"/>
        <v>25899.574589012416</v>
      </c>
      <c r="AD7" s="154">
        <f t="shared" si="22"/>
        <v>311.51645747063122</v>
      </c>
      <c r="AE7">
        <f t="shared" si="6"/>
        <v>54</v>
      </c>
      <c r="AF7" s="154">
        <f t="shared" si="7"/>
        <v>24793.388429752067</v>
      </c>
    </row>
    <row r="8" spans="1:32" x14ac:dyDescent="0.25">
      <c r="A8">
        <f>CalPhotonTurnigy!D9</f>
        <v>64</v>
      </c>
      <c r="B8" s="154">
        <f>CalPhotonTurnigy!O9</f>
        <v>28037.383177570096</v>
      </c>
      <c r="C8" s="154">
        <f t="shared" si="8"/>
        <v>324.39947478180295</v>
      </c>
      <c r="D8" s="154">
        <f t="shared" si="0"/>
        <v>28865.171951760669</v>
      </c>
      <c r="E8" s="154">
        <f t="shared" si="9"/>
        <v>221.90513195846796</v>
      </c>
      <c r="F8" s="87">
        <f>Ard0_Turn0_ESC0_G0b_T0a!D8</f>
        <v>64</v>
      </c>
      <c r="G8" s="154">
        <f>Ard0_Turn0_ESC0_G0b_T0a!P8</f>
        <v>27649.76958525346</v>
      </c>
      <c r="H8" s="154">
        <f t="shared" si="10"/>
        <v>254.51670747932113</v>
      </c>
      <c r="I8" s="154">
        <f t="shared" si="1"/>
        <v>28865.171951760669</v>
      </c>
      <c r="J8" s="154">
        <f t="shared" si="11"/>
        <v>221.90513195846796</v>
      </c>
      <c r="K8" s="87">
        <f>Ard1_Turn1x_ESC1_G1b_T1a!D8</f>
        <v>42</v>
      </c>
      <c r="L8" s="154">
        <f>Ard1_Turn1x_ESC1_G1b_T1a!P8</f>
        <v>21660.649819494585</v>
      </c>
      <c r="M8" s="154">
        <f t="shared" si="12"/>
        <v>314.09981847478025</v>
      </c>
      <c r="N8" s="154">
        <f t="shared" si="2"/>
        <v>23363.702884399077</v>
      </c>
      <c r="O8" s="154">
        <f t="shared" si="13"/>
        <v>384.71850516776902</v>
      </c>
      <c r="P8" s="87">
        <f>Ard2_Turn2_ESC2_G2b_T2a!D8</f>
        <v>50</v>
      </c>
      <c r="Q8" s="154">
        <f>Ard2_Turn2_ESC2_G2b_T2a!P8</f>
        <v>24193.548387096776</v>
      </c>
      <c r="R8" s="154">
        <f t="shared" si="14"/>
        <v>295.86799215527145</v>
      </c>
      <c r="S8" s="154">
        <f t="shared" si="3"/>
        <v>25640.932473897017</v>
      </c>
      <c r="T8" s="154">
        <f t="shared" si="15"/>
        <v>323.83088041276602</v>
      </c>
      <c r="U8" s="87">
        <f>Ard3_Turn3_ESC3_G3b_T3a!D8</f>
        <v>52</v>
      </c>
      <c r="V8" s="154">
        <f>Ard3_Turn3_ESC3_G3b_T3a!P8</f>
        <v>24691.358024691359</v>
      </c>
      <c r="W8" s="154">
        <f t="shared" si="16"/>
        <v>284.82061479824347</v>
      </c>
      <c r="X8" s="154">
        <f t="shared" si="4"/>
        <v>26153.194208392022</v>
      </c>
      <c r="Y8" s="154">
        <f t="shared" si="17"/>
        <v>300.1783345760482</v>
      </c>
      <c r="Z8" s="87">
        <f>Ard4_Turn4_ESC4_G4b_T4a!D8</f>
        <v>76</v>
      </c>
      <c r="AA8" s="154">
        <f>Ard4_Turn4_ESC4_G4b_T4a!P8</f>
        <v>28985.507246376812</v>
      </c>
      <c r="AB8" s="154">
        <f t="shared" si="20"/>
        <v>195.56486816832535</v>
      </c>
      <c r="AC8" s="154">
        <f t="shared" si="21"/>
        <v>31109.70815747977</v>
      </c>
      <c r="AD8" s="154">
        <f t="shared" si="22"/>
        <v>208.40534273869417</v>
      </c>
      <c r="AE8">
        <f t="shared" si="6"/>
        <v>64</v>
      </c>
      <c r="AF8" s="154">
        <f t="shared" si="7"/>
        <v>28037.383177570096</v>
      </c>
    </row>
    <row r="9" spans="1:32" x14ac:dyDescent="0.25">
      <c r="A9">
        <f>CalPhotonTurnigy!D10</f>
        <v>89</v>
      </c>
      <c r="B9" s="154">
        <f>CalPhotonTurnigy!O10</f>
        <v>32085.561497326202</v>
      </c>
      <c r="C9" s="154">
        <f t="shared" si="8"/>
        <v>161.9271327902442</v>
      </c>
      <c r="D9" s="154">
        <f t="shared" si="0"/>
        <v>33172.079625071477</v>
      </c>
      <c r="E9" s="154">
        <f t="shared" si="9"/>
        <v>172.27630693243233</v>
      </c>
      <c r="F9" s="87">
        <f>Ard0_Turn0_ESC0_G0b_T0a!D9</f>
        <v>90</v>
      </c>
      <c r="G9" s="154">
        <f>Ard0_Turn0_ESC0_G0b_T0a!P9</f>
        <v>32258.06451612903</v>
      </c>
      <c r="H9" s="154">
        <f t="shared" si="10"/>
        <v>177.24211272598347</v>
      </c>
      <c r="I9" s="154">
        <f t="shared" si="1"/>
        <v>33318.014104183589</v>
      </c>
      <c r="J9" s="154">
        <f t="shared" si="11"/>
        <v>171.26315970857382</v>
      </c>
      <c r="K9" s="87">
        <f>Ard1_Turn1x_ESC1_G1b_T1a!D9</f>
        <v>67</v>
      </c>
      <c r="L9" s="154">
        <f>Ard1_Turn1x_ESC1_G1b_T1a!P9</f>
        <v>27649.76958525346</v>
      </c>
      <c r="M9" s="154">
        <f t="shared" si="12"/>
        <v>239.56479063035499</v>
      </c>
      <c r="N9" s="154">
        <f t="shared" si="2"/>
        <v>29463.4903018654</v>
      </c>
      <c r="O9" s="154">
        <f t="shared" si="13"/>
        <v>243.99149669865292</v>
      </c>
      <c r="P9" s="87">
        <f>Ard2_Turn2_ESC2_G2b_T2a!D9</f>
        <v>78</v>
      </c>
      <c r="Q9" s="154">
        <f>Ard2_Turn2_ESC2_G2b_T2a!P9</f>
        <v>30150.753768844224</v>
      </c>
      <c r="R9" s="154">
        <f t="shared" si="14"/>
        <v>212.75733506240886</v>
      </c>
      <c r="S9" s="154">
        <f t="shared" si="3"/>
        <v>31448.97398539276</v>
      </c>
      <c r="T9" s="154">
        <f t="shared" si="15"/>
        <v>207.43005398199082</v>
      </c>
      <c r="U9" s="87">
        <f>Ard3_Turn3_ESC3_G3b_T3a!D9</f>
        <v>73</v>
      </c>
      <c r="V9" s="154">
        <f>Ard3_Turn3_ESC3_G3b_T3a!P9</f>
        <v>29411.764705882353</v>
      </c>
      <c r="W9" s="154">
        <f t="shared" si="16"/>
        <v>224.7812705329045</v>
      </c>
      <c r="X9" s="154">
        <f t="shared" si="4"/>
        <v>30583.690760839134</v>
      </c>
      <c r="Y9" s="154">
        <f t="shared" si="17"/>
        <v>210.97602630700533</v>
      </c>
      <c r="Z9" s="87">
        <f>Ard4_Turn4_ESC4_G4b_T4a!D9</f>
        <v>91</v>
      </c>
      <c r="AA9" s="154">
        <f>Ard4_Turn4_ESC4_G4b_T4a!P9</f>
        <v>31746.031746031746</v>
      </c>
      <c r="AB9" s="154">
        <f t="shared" si="20"/>
        <v>184.03496664366224</v>
      </c>
      <c r="AC9" s="154">
        <f t="shared" si="21"/>
        <v>33462.336014616572</v>
      </c>
      <c r="AD9" s="154">
        <f t="shared" si="22"/>
        <v>156.84185714245348</v>
      </c>
      <c r="AE9">
        <f t="shared" si="6"/>
        <v>89</v>
      </c>
      <c r="AF9" s="154">
        <f t="shared" si="7"/>
        <v>32085.561497326202</v>
      </c>
    </row>
    <row r="10" spans="1:32" x14ac:dyDescent="0.25">
      <c r="A10">
        <f>CalPhotonTurnigy!D11</f>
        <v>101</v>
      </c>
      <c r="B10" s="154">
        <f>CalPhotonTurnigy!O11</f>
        <v>34090.909090909088</v>
      </c>
      <c r="C10" s="154">
        <f t="shared" si="8"/>
        <v>167.11229946524054</v>
      </c>
      <c r="D10" s="154">
        <f t="shared" si="0"/>
        <v>34824.089070463691</v>
      </c>
      <c r="E10" s="154">
        <f t="shared" si="9"/>
        <v>137.66745378268448</v>
      </c>
      <c r="F10" s="87">
        <f>Ard0_Turn0_ESC0_G0b_T0a!D10</f>
        <v>125</v>
      </c>
      <c r="G10" s="154">
        <f>Ard0_Turn0_ESC0_G0b_T0a!P10</f>
        <v>37037.037037037036</v>
      </c>
      <c r="H10" s="154">
        <f t="shared" si="10"/>
        <v>136.54207202594304</v>
      </c>
      <c r="I10" s="154">
        <f t="shared" si="1"/>
        <v>37608.605722905362</v>
      </c>
      <c r="J10" s="154">
        <f t="shared" si="11"/>
        <v>122.58833196347925</v>
      </c>
      <c r="K10" s="87">
        <f>Ard1_Turn1x_ESC1_G1b_T1a!D10</f>
        <v>79</v>
      </c>
      <c r="L10" s="154">
        <f>Ard1_Turn1x_ESC1_G1b_T1a!P10</f>
        <v>29702.970297029704</v>
      </c>
      <c r="M10" s="154">
        <f t="shared" ref="M10:M13" si="23">(L10-L9)/(K10-K9)</f>
        <v>171.100059314687</v>
      </c>
      <c r="N10" s="154">
        <f t="shared" ref="N10:N13" si="24">LN(K10)*$C$21+$B$21</f>
        <v>31615.358401071768</v>
      </c>
      <c r="O10" s="154">
        <f t="shared" ref="O10:O13" si="25">(N10-N9)/(K10-K9)</f>
        <v>179.32234160053062</v>
      </c>
      <c r="P10" s="87">
        <f>Ard2_Turn2_ESC2_G2b_T2a!D10</f>
        <v>115</v>
      </c>
      <c r="Q10" s="154">
        <f>Ard2_Turn2_ESC2_G2b_T2a!P10</f>
        <v>35294.117647058825</v>
      </c>
      <c r="R10" s="154">
        <f t="shared" si="14"/>
        <v>139.00983454634056</v>
      </c>
      <c r="S10" s="154">
        <f t="shared" si="3"/>
        <v>36519.558528552414</v>
      </c>
      <c r="T10" s="154">
        <f t="shared" si="15"/>
        <v>137.04282549080145</v>
      </c>
      <c r="U10" s="87">
        <f>Ard3_Turn3_ESC3_G3b_T3a!D10</f>
        <v>94</v>
      </c>
      <c r="V10" s="154">
        <f>Ard3_Turn3_ESC3_G3b_T3a!P10</f>
        <v>32432.43243243243</v>
      </c>
      <c r="W10" s="154">
        <f t="shared" si="16"/>
        <v>143.84132031190842</v>
      </c>
      <c r="X10" s="154">
        <f t="shared" si="4"/>
        <v>33885.973151228522</v>
      </c>
      <c r="Y10" s="154">
        <f t="shared" si="17"/>
        <v>157.25154239949467</v>
      </c>
      <c r="Z10" s="87">
        <f>Ard4_Turn4_ESC4_G4b_T4a!D10</f>
        <v>106</v>
      </c>
      <c r="AA10" s="154">
        <f>Ard4_Turn4_ESC4_G4b_T4a!P10</f>
        <v>33333.333333333336</v>
      </c>
      <c r="AB10" s="154">
        <f t="shared" si="20"/>
        <v>105.82010582010601</v>
      </c>
      <c r="AC10" s="154">
        <f t="shared" si="21"/>
        <v>35455.178008197705</v>
      </c>
      <c r="AD10" s="154">
        <f t="shared" si="22"/>
        <v>132.85613290540883</v>
      </c>
      <c r="AE10">
        <f t="shared" si="6"/>
        <v>101</v>
      </c>
      <c r="AF10" s="154">
        <f t="shared" si="7"/>
        <v>34090.909090909088</v>
      </c>
    </row>
    <row r="11" spans="1:32" x14ac:dyDescent="0.25">
      <c r="A11">
        <f>CalPhotonTurnigy!D12</f>
        <v>114</v>
      </c>
      <c r="B11" s="154">
        <f>CalPhotonTurnigy!O12</f>
        <v>36809.815950920245</v>
      </c>
      <c r="C11" s="154">
        <f t="shared" si="8"/>
        <v>209.14668153931976</v>
      </c>
      <c r="D11" s="154">
        <f t="shared" si="0"/>
        <v>36405.487934480509</v>
      </c>
      <c r="E11" s="154">
        <f t="shared" si="9"/>
        <v>121.6460664628321</v>
      </c>
      <c r="F11" s="87">
        <f>Ard0_Turn0_ESC0_G0b_T0a!D11</f>
        <v>155</v>
      </c>
      <c r="G11" s="154">
        <f>Ard0_Turn0_ESC0_G0b_T0a!P11</f>
        <v>41958.041958041955</v>
      </c>
      <c r="H11" s="154">
        <f t="shared" si="10"/>
        <v>164.0334973668306</v>
      </c>
      <c r="I11" s="154">
        <f t="shared" si="1"/>
        <v>40418.175452082287</v>
      </c>
      <c r="J11" s="154">
        <f t="shared" si="11"/>
        <v>93.652324305897494</v>
      </c>
      <c r="K11" s="87">
        <f>Ard1_Turn1x_ESC1_G1b_T1a!D11</f>
        <v>84</v>
      </c>
      <c r="L11" s="154">
        <f>Ard1_Turn1x_ESC1_G1b_T1a!P11</f>
        <v>30456.852791878177</v>
      </c>
      <c r="M11" s="154">
        <f t="shared" si="23"/>
        <v>150.7764989696945</v>
      </c>
      <c r="N11" s="154">
        <f t="shared" si="24"/>
        <v>32416.898209692517</v>
      </c>
      <c r="O11" s="154">
        <f t="shared" si="25"/>
        <v>160.30796172414995</v>
      </c>
      <c r="P11" s="87">
        <f>Ard2_Turn2_ESC2_G2b_T2a!D11</f>
        <v>140</v>
      </c>
      <c r="Q11" s="154">
        <f>Ard2_Turn2_ESC2_G2b_T2a!P11</f>
        <v>38709.677419354841</v>
      </c>
      <c r="R11" s="154">
        <f t="shared" si="14"/>
        <v>136.62239089184061</v>
      </c>
      <c r="S11" s="154">
        <f t="shared" si="3"/>
        <v>39088.791681700117</v>
      </c>
      <c r="T11" s="154">
        <f t="shared" si="15"/>
        <v>102.76932612590812</v>
      </c>
      <c r="U11" s="87">
        <f>Ard3_Turn3_ESC3_G3b_T3a!D11</f>
        <v>99</v>
      </c>
      <c r="V11" s="154">
        <f>Ard3_Turn3_ESC3_G3b_T3a!P11</f>
        <v>32967.032967032967</v>
      </c>
      <c r="W11" s="154">
        <f t="shared" si="16"/>
        <v>106.92010692010736</v>
      </c>
      <c r="X11" s="154">
        <f t="shared" si="4"/>
        <v>34562.860362607877</v>
      </c>
      <c r="Y11" s="154">
        <f t="shared" si="17"/>
        <v>135.377442275871</v>
      </c>
      <c r="Z11" s="87">
        <f>Ard4_Turn4_ESC4_G4b_T4a!D11</f>
        <v>132</v>
      </c>
      <c r="AA11" s="154">
        <f>Ard4_Turn4_ESC4_G4b_T4a!P11</f>
        <v>36809.815950920245</v>
      </c>
      <c r="AB11" s="154">
        <f t="shared" si="20"/>
        <v>133.71086990718882</v>
      </c>
      <c r="AC11" s="154">
        <f t="shared" si="21"/>
        <v>38320.275910900586</v>
      </c>
      <c r="AD11" s="154">
        <f t="shared" si="22"/>
        <v>110.19607318088002</v>
      </c>
      <c r="AE11">
        <f t="shared" si="6"/>
        <v>114</v>
      </c>
      <c r="AF11" s="154">
        <f t="shared" si="7"/>
        <v>36809.815950920245</v>
      </c>
    </row>
    <row r="12" spans="1:32" x14ac:dyDescent="0.25">
      <c r="A12">
        <f>CalPhotonTurnigy!D13</f>
        <v>125</v>
      </c>
      <c r="B12" s="154">
        <f>CalPhotonTurnigy!O13</f>
        <v>37500</v>
      </c>
      <c r="C12" s="154">
        <f t="shared" si="8"/>
        <v>62.744004461795903</v>
      </c>
      <c r="D12" s="154">
        <f t="shared" si="0"/>
        <v>37608.605722905362</v>
      </c>
      <c r="E12" s="154">
        <f t="shared" si="9"/>
        <v>109.37434440225942</v>
      </c>
      <c r="F12" s="87">
        <f>Ard0_Turn0_ESC0_G0b_T0a!D13</f>
        <v>180</v>
      </c>
      <c r="G12" s="154">
        <f>Ard0_Turn0_ESC0_G0b_T0a!P13</f>
        <v>43859.649122807015</v>
      </c>
      <c r="H12" s="154">
        <f t="shared" si="10"/>
        <v>76.064286590602421</v>
      </c>
      <c r="I12" s="154">
        <f t="shared" si="1"/>
        <v>42371.209429477036</v>
      </c>
      <c r="J12" s="154">
        <f t="shared" si="11"/>
        <v>78.121359095789956</v>
      </c>
      <c r="K12" s="87">
        <f>Ard1_Turn1x_ESC1_G1b_T1a!D12</f>
        <v>121</v>
      </c>
      <c r="L12" s="154">
        <f>Ard1_Turn1x_ESC1_G1b_T1a!P12</f>
        <v>36363.636363636368</v>
      </c>
      <c r="M12" s="154">
        <f t="shared" si="23"/>
        <v>159.64279923670787</v>
      </c>
      <c r="N12" s="154">
        <f t="shared" si="24"/>
        <v>37183.82031603904</v>
      </c>
      <c r="O12" s="154">
        <f t="shared" si="25"/>
        <v>128.83573260396008</v>
      </c>
      <c r="P12" s="87">
        <f>Ard2_Turn2_ESC2_G2b_T2a!D12</f>
        <v>155</v>
      </c>
      <c r="Q12" s="154">
        <f>Ard2_Turn2_ESC2_G2b_T2a!P12</f>
        <v>41958.041958041955</v>
      </c>
      <c r="R12" s="154">
        <f t="shared" si="14"/>
        <v>216.55763591247427</v>
      </c>
      <c r="S12" s="154">
        <f t="shared" si="3"/>
        <v>40418.175452082287</v>
      </c>
      <c r="T12" s="154">
        <f t="shared" si="15"/>
        <v>88.62558469214467</v>
      </c>
      <c r="U12" s="87">
        <f>Ard3_Turn3_ESC3_G3b_T3a!D12</f>
        <v>110</v>
      </c>
      <c r="V12" s="154">
        <f>Ard3_Turn3_ESC3_G3b_T3a!P12</f>
        <v>35087.719298245618</v>
      </c>
      <c r="W12" s="154">
        <f t="shared" si="16"/>
        <v>192.78966647387742</v>
      </c>
      <c r="X12" s="154">
        <f t="shared" si="4"/>
        <v>35938.974057614752</v>
      </c>
      <c r="Y12" s="154">
        <f t="shared" si="17"/>
        <v>125.10124500062507</v>
      </c>
      <c r="Z12" s="87">
        <f>Ard4_Turn4_ESC4_G4b_T4a!D12</f>
        <v>180</v>
      </c>
      <c r="AA12" s="154">
        <f>Ard4_Turn4_ESC4_G4b_T4a!P12</f>
        <v>43795.620437956204</v>
      </c>
      <c r="AB12" s="154">
        <f t="shared" si="20"/>
        <v>145.53759347991581</v>
      </c>
      <c r="AC12" s="154">
        <f t="shared" si="21"/>
        <v>42371.209429477036</v>
      </c>
      <c r="AD12" s="154">
        <f t="shared" si="22"/>
        <v>84.394448303676043</v>
      </c>
      <c r="AE12">
        <f t="shared" si="6"/>
        <v>125</v>
      </c>
      <c r="AF12" s="154">
        <f t="shared" si="7"/>
        <v>37500</v>
      </c>
    </row>
    <row r="13" spans="1:32" x14ac:dyDescent="0.25">
      <c r="A13">
        <f>CalPhotonTurnigy!D14</f>
        <v>130</v>
      </c>
      <c r="B13" s="154">
        <f>CalPhotonTurnigy!O14</f>
        <v>38961.038961038961</v>
      </c>
      <c r="C13" s="154">
        <f t="shared" si="8"/>
        <v>292.20779220779224</v>
      </c>
      <c r="D13" s="154">
        <f t="shared" si="0"/>
        <v>38120.86745740036</v>
      </c>
      <c r="E13" s="154">
        <f t="shared" si="9"/>
        <v>102.45234689899954</v>
      </c>
      <c r="F13" s="87"/>
      <c r="H13" s="154"/>
      <c r="I13" s="154"/>
      <c r="J13" s="154"/>
      <c r="K13" s="87">
        <f>Ard1_Turn1x_ESC1_G1b_T1a!D13</f>
        <v>175</v>
      </c>
      <c r="L13" s="154">
        <f>Ard1_Turn1x_ESC1_G1b_T1a!P13</f>
        <v>44117.647058823532</v>
      </c>
      <c r="M13" s="154">
        <f t="shared" si="23"/>
        <v>143.59279065161414</v>
      </c>
      <c r="N13" s="154">
        <f t="shared" si="24"/>
        <v>42003.269605415029</v>
      </c>
      <c r="O13" s="154">
        <f t="shared" si="25"/>
        <v>89.249060914370162</v>
      </c>
      <c r="P13" s="87">
        <f>Ard2_Turn2_ESC2_G2b_T2a!D13</f>
        <v>180</v>
      </c>
      <c r="Q13" s="154">
        <f>Ard2_Turn2_ESC2_G2b_T2a!P13</f>
        <v>44444.444444444445</v>
      </c>
      <c r="R13" s="154">
        <f t="shared" si="14"/>
        <v>99.456099456099622</v>
      </c>
      <c r="S13" s="154">
        <f t="shared" si="3"/>
        <v>42371.209429477036</v>
      </c>
      <c r="T13" s="154">
        <f t="shared" si="15"/>
        <v>78.121359095789956</v>
      </c>
      <c r="U13" s="87">
        <f>Ard3_Turn3_ESC3_G3b_T3a!D13</f>
        <v>132</v>
      </c>
      <c r="V13" s="154">
        <f>Ard3_Turn3_ESC3_G3b_T3a!P13</f>
        <v>37267.080745341613</v>
      </c>
      <c r="W13" s="154">
        <f t="shared" si="16"/>
        <v>99.061883958908851</v>
      </c>
      <c r="X13" s="154">
        <f t="shared" si="4"/>
        <v>38320.275910900586</v>
      </c>
      <c r="Y13" s="154">
        <f t="shared" si="17"/>
        <v>108.24099333117424</v>
      </c>
      <c r="Z13" s="87"/>
      <c r="AA13" s="154"/>
      <c r="AB13" s="154"/>
      <c r="AC13" s="154"/>
      <c r="AD13" s="154"/>
      <c r="AE13">
        <f t="shared" si="6"/>
        <v>130</v>
      </c>
      <c r="AF13" s="154">
        <f t="shared" si="7"/>
        <v>38961.038961038961</v>
      </c>
    </row>
    <row r="14" spans="1:32" x14ac:dyDescent="0.25">
      <c r="A14">
        <f>CalPhotonTurnigy!D15</f>
        <v>140</v>
      </c>
      <c r="B14" s="154">
        <f>CalPhotonTurnigy!O15</f>
        <v>41095.890410958906</v>
      </c>
      <c r="C14" s="154">
        <f t="shared" si="8"/>
        <v>213.48514499199445</v>
      </c>
      <c r="D14" s="154">
        <f t="shared" si="0"/>
        <v>39088.791681700117</v>
      </c>
      <c r="E14" s="154">
        <f t="shared" si="9"/>
        <v>96.792422429975701</v>
      </c>
      <c r="H14" s="154"/>
      <c r="I14" s="154"/>
      <c r="J14" s="154"/>
      <c r="K14" s="87"/>
      <c r="L14" s="154"/>
      <c r="M14" s="154"/>
      <c r="N14" s="154"/>
      <c r="O14" s="154"/>
      <c r="P14" s="87"/>
      <c r="Q14" s="154"/>
      <c r="R14" s="154"/>
      <c r="S14" s="154"/>
      <c r="T14" s="154"/>
      <c r="U14" s="87">
        <f>Ard3_Turn3_ESC3_G3b_T3a!D14</f>
        <v>180</v>
      </c>
      <c r="V14" s="154">
        <f>Ard3_Turn3_ESC3_G3b_T3a!P14</f>
        <v>43795.620437956204</v>
      </c>
      <c r="W14" s="154">
        <f t="shared" si="16"/>
        <v>136.01124359613732</v>
      </c>
      <c r="X14" s="154">
        <f t="shared" si="4"/>
        <v>42371.209429477036</v>
      </c>
      <c r="Y14" s="154">
        <f t="shared" si="17"/>
        <v>84.394448303676043</v>
      </c>
      <c r="Z14" s="87"/>
      <c r="AA14" s="154"/>
      <c r="AB14" s="154"/>
      <c r="AC14" s="154"/>
      <c r="AD14" s="154"/>
      <c r="AE14">
        <f t="shared" si="6"/>
        <v>140</v>
      </c>
      <c r="AF14" s="154">
        <f t="shared" si="7"/>
        <v>41095.890410958906</v>
      </c>
    </row>
    <row r="15" spans="1:32" x14ac:dyDescent="0.25">
      <c r="A15">
        <f>CalPhotonTurnigy!D16</f>
        <v>145</v>
      </c>
      <c r="B15" s="154">
        <f>CalPhotonTurnigy!O16</f>
        <v>42553.191489361707</v>
      </c>
      <c r="C15" s="154">
        <f t="shared" si="8"/>
        <v>291.46021568056022</v>
      </c>
      <c r="D15" s="154">
        <f t="shared" si="0"/>
        <v>39547.11940975512</v>
      </c>
      <c r="E15" s="154">
        <f t="shared" si="9"/>
        <v>91.665545611000567</v>
      </c>
      <c r="H15" s="154"/>
      <c r="I15" s="154"/>
      <c r="J15" s="154"/>
      <c r="K15" s="87"/>
      <c r="L15" s="154"/>
      <c r="M15" s="154"/>
      <c r="N15" s="154"/>
      <c r="O15" s="154"/>
      <c r="P15" s="87"/>
      <c r="Q15" s="154"/>
      <c r="R15" s="154"/>
      <c r="S15" s="154"/>
      <c r="T15" s="154"/>
      <c r="U15" s="87"/>
      <c r="V15" s="154"/>
      <c r="W15" s="154"/>
      <c r="X15" s="87"/>
      <c r="Y15" s="154"/>
      <c r="AE15">
        <f t="shared" si="6"/>
        <v>145</v>
      </c>
      <c r="AF15" s="154">
        <f t="shared" si="7"/>
        <v>42553.191489361707</v>
      </c>
    </row>
    <row r="16" spans="1:32" x14ac:dyDescent="0.25">
      <c r="A16">
        <f>CalPhotonTurnigy!D17</f>
        <v>155</v>
      </c>
      <c r="B16" s="154">
        <f>CalPhotonTurnigy!O17</f>
        <v>44444.444444444445</v>
      </c>
      <c r="C16" s="154">
        <f t="shared" si="8"/>
        <v>189.12529550827384</v>
      </c>
      <c r="D16" s="154">
        <f t="shared" si="0"/>
        <v>40418.175452082287</v>
      </c>
      <c r="E16" s="154">
        <f t="shared" si="9"/>
        <v>87.105604232716729</v>
      </c>
      <c r="H16" s="154"/>
      <c r="I16" s="154"/>
      <c r="J16" s="154"/>
      <c r="K16" s="87"/>
      <c r="L16" s="154"/>
      <c r="M16" s="154"/>
      <c r="N16" s="154"/>
      <c r="O16" s="154"/>
      <c r="P16" s="87"/>
      <c r="Q16" s="154"/>
      <c r="R16" s="154"/>
      <c r="S16" s="154"/>
      <c r="T16" s="154"/>
      <c r="X16" s="87"/>
      <c r="Y16" s="154"/>
      <c r="AE16">
        <f t="shared" si="6"/>
        <v>155</v>
      </c>
      <c r="AF16" s="154">
        <f t="shared" si="7"/>
        <v>44444.444444444445</v>
      </c>
    </row>
    <row r="17" spans="1:32" x14ac:dyDescent="0.25">
      <c r="A17">
        <f>CalPhotonTurnigy!D18</f>
        <v>166</v>
      </c>
      <c r="B17" s="154">
        <f>CalPhotonTurnigy!O18</f>
        <v>45454.545454545456</v>
      </c>
      <c r="C17" s="154">
        <f t="shared" si="8"/>
        <v>91.827364554637327</v>
      </c>
      <c r="D17" s="154">
        <f t="shared" si="0"/>
        <v>41313.672503724811</v>
      </c>
      <c r="E17" s="154">
        <f t="shared" si="9"/>
        <v>81.408822876593064</v>
      </c>
      <c r="H17" s="154"/>
      <c r="I17" s="154"/>
      <c r="J17" s="154"/>
      <c r="K17" s="87"/>
      <c r="L17" s="154"/>
      <c r="M17" s="154"/>
      <c r="N17" s="154"/>
      <c r="O17" s="154"/>
      <c r="P17" s="87"/>
      <c r="Q17" s="154"/>
      <c r="R17" s="154"/>
      <c r="S17" s="154"/>
      <c r="T17" s="154"/>
      <c r="X17" s="87"/>
      <c r="Y17" s="154"/>
      <c r="AE17">
        <f t="shared" si="6"/>
        <v>166</v>
      </c>
      <c r="AF17" s="154">
        <f t="shared" si="7"/>
        <v>45454.545454545456</v>
      </c>
    </row>
    <row r="18" spans="1:32" x14ac:dyDescent="0.25">
      <c r="A18">
        <f>CalPhotonTurnigy!D19</f>
        <v>180</v>
      </c>
      <c r="B18" s="154">
        <f>CalPhotonTurnigy!O19</f>
        <v>46875.000000000007</v>
      </c>
      <c r="C18" s="154">
        <f t="shared" si="8"/>
        <v>101.46103896103939</v>
      </c>
      <c r="D18" s="154">
        <f t="shared" si="0"/>
        <v>42371.209429477036</v>
      </c>
      <c r="E18" s="154">
        <f t="shared" si="9"/>
        <v>75.538351839444658</v>
      </c>
      <c r="H18" s="154"/>
      <c r="I18" s="154"/>
      <c r="J18" s="154"/>
      <c r="K18" s="87"/>
      <c r="L18" s="154"/>
      <c r="M18" s="154"/>
      <c r="N18" s="154"/>
      <c r="O18" s="154"/>
      <c r="P18" s="87"/>
      <c r="Q18" s="154"/>
      <c r="R18" s="154"/>
      <c r="S18" s="154"/>
      <c r="T18" s="154"/>
      <c r="X18" s="87"/>
      <c r="Y18" s="154"/>
      <c r="AE18">
        <f t="shared" si="6"/>
        <v>180</v>
      </c>
      <c r="AF18" s="154">
        <f t="shared" si="7"/>
        <v>46875.000000000007</v>
      </c>
    </row>
    <row r="19" spans="1:32" x14ac:dyDescent="0.25">
      <c r="K19" s="87"/>
      <c r="L19" s="154"/>
      <c r="M19" s="154"/>
      <c r="P19" s="154"/>
      <c r="T19" s="87"/>
      <c r="U19" s="154"/>
      <c r="AE19" s="87">
        <f t="shared" ref="AE19:AE29" si="26">F2</f>
        <v>6.0661220353948684</v>
      </c>
      <c r="AF19" s="154">
        <f t="shared" ref="AF19:AF29" si="27">G2</f>
        <v>5.9999999999999995E-25</v>
      </c>
    </row>
    <row r="20" spans="1:32" x14ac:dyDescent="0.25">
      <c r="K20" s="87"/>
      <c r="L20" s="154"/>
      <c r="M20" s="154"/>
      <c r="P20" s="154"/>
      <c r="T20" s="87"/>
      <c r="U20" s="154"/>
      <c r="AE20" s="87">
        <f t="shared" si="26"/>
        <v>9</v>
      </c>
      <c r="AF20" s="154">
        <f t="shared" si="27"/>
        <v>8474.5762711864409</v>
      </c>
    </row>
    <row r="21" spans="1:32" x14ac:dyDescent="0.25">
      <c r="A21" t="s">
        <v>312</v>
      </c>
      <c r="B21" s="137">
        <v>-25454</v>
      </c>
      <c r="C21" s="137">
        <v>13061</v>
      </c>
      <c r="D21" t="s">
        <v>313</v>
      </c>
      <c r="K21" s="87"/>
      <c r="L21" s="154"/>
      <c r="M21" s="154"/>
      <c r="P21" s="154"/>
      <c r="T21" s="87"/>
      <c r="U21" s="154"/>
      <c r="AE21" s="87">
        <f t="shared" si="26"/>
        <v>20</v>
      </c>
      <c r="AF21" s="154">
        <f t="shared" si="27"/>
        <v>14851.485148514852</v>
      </c>
    </row>
    <row r="22" spans="1:32" x14ac:dyDescent="0.25">
      <c r="K22" s="87"/>
      <c r="L22" s="154"/>
      <c r="M22" s="154"/>
      <c r="P22" s="154"/>
      <c r="T22" s="87"/>
      <c r="U22" s="154"/>
      <c r="AE22" s="87">
        <f t="shared" si="26"/>
        <v>25</v>
      </c>
      <c r="AF22" s="154">
        <f t="shared" si="27"/>
        <v>16304.347826086958</v>
      </c>
    </row>
    <row r="23" spans="1:32" x14ac:dyDescent="0.25">
      <c r="T23" s="87"/>
      <c r="U23" s="154"/>
      <c r="AE23" s="87">
        <f t="shared" si="26"/>
        <v>35</v>
      </c>
      <c r="AF23" s="154">
        <f t="shared" si="27"/>
        <v>20134.228187919463</v>
      </c>
    </row>
    <row r="24" spans="1:32" x14ac:dyDescent="0.25">
      <c r="AE24" s="87">
        <f t="shared" si="26"/>
        <v>54</v>
      </c>
      <c r="AF24" s="154">
        <f t="shared" si="27"/>
        <v>25104.602510460249</v>
      </c>
    </row>
    <row r="25" spans="1:32" x14ac:dyDescent="0.25">
      <c r="AE25" s="87">
        <f t="shared" si="26"/>
        <v>64</v>
      </c>
      <c r="AF25" s="154">
        <f t="shared" si="27"/>
        <v>27649.76958525346</v>
      </c>
    </row>
    <row r="26" spans="1:32" x14ac:dyDescent="0.25">
      <c r="AE26" s="87">
        <f t="shared" si="26"/>
        <v>90</v>
      </c>
      <c r="AF26" s="154">
        <f t="shared" si="27"/>
        <v>32258.06451612903</v>
      </c>
    </row>
    <row r="27" spans="1:32" x14ac:dyDescent="0.25">
      <c r="AE27" s="87">
        <f t="shared" si="26"/>
        <v>125</v>
      </c>
      <c r="AF27" s="154">
        <f t="shared" si="27"/>
        <v>37037.037037037036</v>
      </c>
    </row>
    <row r="28" spans="1:32" x14ac:dyDescent="0.25">
      <c r="AE28" s="87">
        <f t="shared" si="26"/>
        <v>155</v>
      </c>
      <c r="AF28" s="154">
        <f t="shared" si="27"/>
        <v>41958.041958041955</v>
      </c>
    </row>
    <row r="29" spans="1:32" x14ac:dyDescent="0.25">
      <c r="AE29" s="87">
        <f t="shared" si="26"/>
        <v>180</v>
      </c>
      <c r="AF29" s="154">
        <f t="shared" si="27"/>
        <v>43859.649122807015</v>
      </c>
    </row>
    <row r="30" spans="1:32" x14ac:dyDescent="0.25">
      <c r="AE30" s="87">
        <f t="shared" ref="AE30:AE42" si="28">K2</f>
        <v>5.3803300418278059</v>
      </c>
      <c r="AF30" s="154">
        <f t="shared" ref="AF30:AF42" si="29">L2</f>
        <v>5.9999999999999995E-25</v>
      </c>
    </row>
    <row r="31" spans="1:32" x14ac:dyDescent="0.25">
      <c r="AE31" s="87">
        <f t="shared" si="28"/>
        <v>8</v>
      </c>
      <c r="AF31" s="154">
        <f t="shared" si="29"/>
        <v>7500.0000000000009</v>
      </c>
    </row>
    <row r="32" spans="1:32" x14ac:dyDescent="0.25">
      <c r="AE32" s="87">
        <f t="shared" si="28"/>
        <v>12</v>
      </c>
      <c r="AF32" s="154">
        <f t="shared" si="29"/>
        <v>10830.324909747293</v>
      </c>
    </row>
    <row r="33" spans="31:32" x14ac:dyDescent="0.25">
      <c r="AE33" s="87">
        <f t="shared" si="28"/>
        <v>17</v>
      </c>
      <c r="AF33" s="154">
        <f t="shared" si="29"/>
        <v>12244.897959183674</v>
      </c>
    </row>
    <row r="34" spans="31:32" x14ac:dyDescent="0.25">
      <c r="AE34" s="87">
        <f t="shared" si="28"/>
        <v>21</v>
      </c>
      <c r="AF34" s="154">
        <f t="shared" si="29"/>
        <v>14354.066985645934</v>
      </c>
    </row>
    <row r="35" spans="31:32" x14ac:dyDescent="0.25">
      <c r="AE35" s="87">
        <f t="shared" si="28"/>
        <v>27</v>
      </c>
      <c r="AF35" s="154">
        <f t="shared" si="29"/>
        <v>16949.152542372882</v>
      </c>
    </row>
    <row r="36" spans="31:32" x14ac:dyDescent="0.25">
      <c r="AE36" s="87">
        <f t="shared" si="28"/>
        <v>42</v>
      </c>
      <c r="AF36" s="154">
        <f t="shared" si="29"/>
        <v>21660.649819494585</v>
      </c>
    </row>
    <row r="37" spans="31:32" x14ac:dyDescent="0.25">
      <c r="AE37" s="87">
        <f t="shared" si="28"/>
        <v>67</v>
      </c>
      <c r="AF37" s="154">
        <f t="shared" si="29"/>
        <v>27649.76958525346</v>
      </c>
    </row>
    <row r="38" spans="31:32" x14ac:dyDescent="0.25">
      <c r="AE38" s="87">
        <f t="shared" si="28"/>
        <v>79</v>
      </c>
      <c r="AF38" s="154">
        <f t="shared" si="29"/>
        <v>29702.970297029704</v>
      </c>
    </row>
    <row r="39" spans="31:32" x14ac:dyDescent="0.25">
      <c r="AE39" s="87">
        <f t="shared" si="28"/>
        <v>84</v>
      </c>
      <c r="AF39" s="154">
        <f t="shared" si="29"/>
        <v>30456.852791878177</v>
      </c>
    </row>
    <row r="40" spans="31:32" x14ac:dyDescent="0.25">
      <c r="AE40" s="87">
        <f t="shared" si="28"/>
        <v>121</v>
      </c>
      <c r="AF40" s="154">
        <f t="shared" si="29"/>
        <v>36363.636363636368</v>
      </c>
    </row>
    <row r="41" spans="31:32" x14ac:dyDescent="0.25">
      <c r="AE41" s="87">
        <f t="shared" si="28"/>
        <v>175</v>
      </c>
      <c r="AF41" s="154">
        <f t="shared" si="29"/>
        <v>44117.647058823532</v>
      </c>
    </row>
    <row r="42" spans="31:32" x14ac:dyDescent="0.25">
      <c r="AE42" s="87">
        <f t="shared" si="28"/>
        <v>0</v>
      </c>
      <c r="AF42" s="154">
        <f t="shared" si="29"/>
        <v>0</v>
      </c>
    </row>
    <row r="43" spans="31:32" x14ac:dyDescent="0.25">
      <c r="AE43" s="87">
        <f t="shared" ref="AE43:AE54" si="30">P2</f>
        <v>5.7969930558608072</v>
      </c>
      <c r="AF43" s="154">
        <f t="shared" ref="AF43:AF54" si="31">Q2</f>
        <v>5.9999999999999995E-25</v>
      </c>
    </row>
    <row r="44" spans="31:32" x14ac:dyDescent="0.25">
      <c r="AE44" s="87">
        <f t="shared" si="30"/>
        <v>9</v>
      </c>
      <c r="AF44" s="154">
        <f t="shared" si="31"/>
        <v>8571.4285714285725</v>
      </c>
    </row>
    <row r="45" spans="31:32" x14ac:dyDescent="0.25">
      <c r="AE45" s="87">
        <f t="shared" si="30"/>
        <v>12</v>
      </c>
      <c r="AF45" s="154">
        <f t="shared" si="31"/>
        <v>9933.7748344370866</v>
      </c>
    </row>
    <row r="46" spans="31:32" x14ac:dyDescent="0.25">
      <c r="AE46" s="87">
        <f t="shared" si="30"/>
        <v>24</v>
      </c>
      <c r="AF46" s="154">
        <f t="shared" si="31"/>
        <v>16129.032258064515</v>
      </c>
    </row>
    <row r="47" spans="31:32" x14ac:dyDescent="0.25">
      <c r="AE47" s="87">
        <f t="shared" si="30"/>
        <v>28</v>
      </c>
      <c r="AF47" s="154">
        <f t="shared" si="31"/>
        <v>17341.040462427747</v>
      </c>
    </row>
    <row r="48" spans="31:32" x14ac:dyDescent="0.25">
      <c r="AE48" s="87">
        <f t="shared" si="30"/>
        <v>32</v>
      </c>
      <c r="AF48" s="154">
        <f t="shared" si="31"/>
        <v>18867.92452830189</v>
      </c>
    </row>
    <row r="49" spans="31:32" x14ac:dyDescent="0.25">
      <c r="AE49" s="87">
        <f t="shared" si="30"/>
        <v>50</v>
      </c>
      <c r="AF49" s="154">
        <f t="shared" si="31"/>
        <v>24193.548387096776</v>
      </c>
    </row>
    <row r="50" spans="31:32" x14ac:dyDescent="0.25">
      <c r="AE50" s="87">
        <f t="shared" si="30"/>
        <v>78</v>
      </c>
      <c r="AF50" s="154">
        <f t="shared" si="31"/>
        <v>30150.753768844224</v>
      </c>
    </row>
    <row r="51" spans="31:32" x14ac:dyDescent="0.25">
      <c r="AE51" s="87">
        <f t="shared" si="30"/>
        <v>115</v>
      </c>
      <c r="AF51" s="154">
        <f t="shared" si="31"/>
        <v>35294.117647058825</v>
      </c>
    </row>
    <row r="52" spans="31:32" x14ac:dyDescent="0.25">
      <c r="AE52" s="87">
        <f t="shared" si="30"/>
        <v>140</v>
      </c>
      <c r="AF52" s="154">
        <f t="shared" si="31"/>
        <v>38709.677419354841</v>
      </c>
    </row>
    <row r="53" spans="31:32" x14ac:dyDescent="0.25">
      <c r="AE53" s="87">
        <f t="shared" si="30"/>
        <v>155</v>
      </c>
      <c r="AF53" s="154">
        <f t="shared" si="31"/>
        <v>41958.041958041955</v>
      </c>
    </row>
    <row r="54" spans="31:32" x14ac:dyDescent="0.25">
      <c r="AE54" s="87">
        <f t="shared" si="30"/>
        <v>180</v>
      </c>
      <c r="AF54" s="154">
        <f t="shared" si="31"/>
        <v>44444.444444444445</v>
      </c>
    </row>
    <row r="55" spans="31:32" x14ac:dyDescent="0.25">
      <c r="AE55" s="87">
        <f t="shared" ref="AE55:AE67" si="32">U2</f>
        <v>6.6811957375597357</v>
      </c>
      <c r="AF55" s="154">
        <f t="shared" ref="AF55:AF67" si="33">V2</f>
        <v>5.9999999999999995E-25</v>
      </c>
    </row>
    <row r="56" spans="31:32" x14ac:dyDescent="0.25">
      <c r="AE56" s="87">
        <f t="shared" si="32"/>
        <v>9</v>
      </c>
      <c r="AF56" s="154">
        <f t="shared" si="33"/>
        <v>8174.3869209809272</v>
      </c>
    </row>
    <row r="57" spans="31:32" x14ac:dyDescent="0.25">
      <c r="AE57" s="87">
        <f t="shared" si="32"/>
        <v>13</v>
      </c>
      <c r="AF57" s="154">
        <f t="shared" si="33"/>
        <v>10309.278350515466</v>
      </c>
    </row>
    <row r="58" spans="31:32" x14ac:dyDescent="0.25">
      <c r="AE58" s="87">
        <f t="shared" si="32"/>
        <v>24</v>
      </c>
      <c r="AF58" s="154">
        <f t="shared" si="33"/>
        <v>16042.780748663101</v>
      </c>
    </row>
    <row r="59" spans="31:32" x14ac:dyDescent="0.25">
      <c r="AE59" s="87">
        <f t="shared" si="32"/>
        <v>28</v>
      </c>
      <c r="AF59" s="154">
        <f t="shared" si="33"/>
        <v>17341.040462427747</v>
      </c>
    </row>
    <row r="60" spans="31:32" x14ac:dyDescent="0.25">
      <c r="AE60" s="87">
        <f t="shared" si="32"/>
        <v>36</v>
      </c>
      <c r="AF60" s="154">
        <f t="shared" si="33"/>
        <v>20134.228187919463</v>
      </c>
    </row>
    <row r="61" spans="31:32" x14ac:dyDescent="0.25">
      <c r="AE61" s="87">
        <f t="shared" si="32"/>
        <v>52</v>
      </c>
      <c r="AF61" s="154">
        <f t="shared" si="33"/>
        <v>24691.358024691359</v>
      </c>
    </row>
    <row r="62" spans="31:32" x14ac:dyDescent="0.25">
      <c r="AE62" s="87">
        <f t="shared" si="32"/>
        <v>73</v>
      </c>
      <c r="AF62" s="154">
        <f t="shared" si="33"/>
        <v>29411.764705882353</v>
      </c>
    </row>
    <row r="63" spans="31:32" x14ac:dyDescent="0.25">
      <c r="AE63" s="87">
        <f t="shared" si="32"/>
        <v>94</v>
      </c>
      <c r="AF63" s="154">
        <f t="shared" si="33"/>
        <v>32432.43243243243</v>
      </c>
    </row>
    <row r="64" spans="31:32" x14ac:dyDescent="0.25">
      <c r="AE64" s="87">
        <f t="shared" si="32"/>
        <v>99</v>
      </c>
      <c r="AF64" s="154">
        <f t="shared" si="33"/>
        <v>32967.032967032967</v>
      </c>
    </row>
    <row r="65" spans="31:32" x14ac:dyDescent="0.25">
      <c r="AE65" s="87">
        <f t="shared" si="32"/>
        <v>110</v>
      </c>
      <c r="AF65" s="154">
        <f t="shared" si="33"/>
        <v>35087.719298245618</v>
      </c>
    </row>
    <row r="66" spans="31:32" x14ac:dyDescent="0.25">
      <c r="AE66" s="87">
        <f t="shared" si="32"/>
        <v>132</v>
      </c>
      <c r="AF66" s="154">
        <f t="shared" si="33"/>
        <v>37267.080745341613</v>
      </c>
    </row>
    <row r="67" spans="31:32" x14ac:dyDescent="0.25">
      <c r="AE67" s="87">
        <f t="shared" si="32"/>
        <v>180</v>
      </c>
      <c r="AF67" s="154">
        <f t="shared" si="33"/>
        <v>43795.620437956204</v>
      </c>
    </row>
    <row r="68" spans="31:32" x14ac:dyDescent="0.25">
      <c r="AE68" s="87">
        <f t="shared" ref="AE68:AE80" si="34">Z2</f>
        <v>6.7090339239286205</v>
      </c>
      <c r="AF68" s="154">
        <f t="shared" ref="AF68:AF80" si="35">AA2</f>
        <v>5.9999999999999995E-25</v>
      </c>
    </row>
    <row r="69" spans="31:32" x14ac:dyDescent="0.25">
      <c r="AE69" s="87">
        <f t="shared" si="34"/>
        <v>10</v>
      </c>
      <c r="AF69" s="154">
        <f t="shared" si="35"/>
        <v>8152.1739130434789</v>
      </c>
    </row>
    <row r="70" spans="31:32" x14ac:dyDescent="0.25">
      <c r="AE70" s="87">
        <f t="shared" si="34"/>
        <v>14</v>
      </c>
      <c r="AF70" s="154">
        <f t="shared" si="35"/>
        <v>11029.411764705883</v>
      </c>
    </row>
    <row r="71" spans="31:32" x14ac:dyDescent="0.25">
      <c r="AE71" s="87">
        <f t="shared" si="34"/>
        <v>26</v>
      </c>
      <c r="AF71" s="154">
        <f t="shared" si="35"/>
        <v>16620.498614958451</v>
      </c>
    </row>
    <row r="72" spans="31:32" x14ac:dyDescent="0.25">
      <c r="AE72" s="87">
        <f t="shared" si="34"/>
        <v>34</v>
      </c>
      <c r="AF72" s="154">
        <f t="shared" si="35"/>
        <v>19480.519480519481</v>
      </c>
    </row>
    <row r="73" spans="31:32" x14ac:dyDescent="0.25">
      <c r="AE73" s="87">
        <f t="shared" si="34"/>
        <v>51</v>
      </c>
      <c r="AF73" s="154">
        <f t="shared" si="35"/>
        <v>24096.385542168679</v>
      </c>
    </row>
    <row r="74" spans="31:32" x14ac:dyDescent="0.25">
      <c r="AE74" s="87">
        <f t="shared" si="34"/>
        <v>76</v>
      </c>
      <c r="AF74" s="154">
        <f t="shared" si="35"/>
        <v>28985.507246376812</v>
      </c>
    </row>
    <row r="75" spans="31:32" x14ac:dyDescent="0.25">
      <c r="AE75" s="87">
        <f t="shared" si="34"/>
        <v>91</v>
      </c>
      <c r="AF75" s="154">
        <f t="shared" si="35"/>
        <v>31746.031746031746</v>
      </c>
    </row>
    <row r="76" spans="31:32" x14ac:dyDescent="0.25">
      <c r="AE76" s="87">
        <f t="shared" si="34"/>
        <v>106</v>
      </c>
      <c r="AF76" s="154">
        <f t="shared" si="35"/>
        <v>33333.333333333336</v>
      </c>
    </row>
    <row r="77" spans="31:32" x14ac:dyDescent="0.25">
      <c r="AE77" s="87">
        <f t="shared" si="34"/>
        <v>132</v>
      </c>
      <c r="AF77" s="154">
        <f t="shared" si="35"/>
        <v>36809.815950920245</v>
      </c>
    </row>
    <row r="78" spans="31:32" x14ac:dyDescent="0.25">
      <c r="AE78" s="87">
        <f t="shared" si="34"/>
        <v>180</v>
      </c>
      <c r="AF78" s="154">
        <f t="shared" si="35"/>
        <v>43795.620437956204</v>
      </c>
    </row>
    <row r="79" spans="31:32" x14ac:dyDescent="0.25">
      <c r="AE79" s="87">
        <f t="shared" si="34"/>
        <v>0</v>
      </c>
      <c r="AF79" s="154">
        <f t="shared" si="35"/>
        <v>0</v>
      </c>
    </row>
    <row r="80" spans="31:32" x14ac:dyDescent="0.25">
      <c r="AE80" s="87">
        <f t="shared" si="34"/>
        <v>0</v>
      </c>
      <c r="AF80" s="154">
        <f t="shared" si="35"/>
        <v>0</v>
      </c>
    </row>
    <row r="81" spans="23:23" x14ac:dyDescent="0.25">
      <c r="W81" s="87"/>
    </row>
    <row r="82" spans="23:23" x14ac:dyDescent="0.25">
      <c r="W82" s="87"/>
    </row>
    <row r="83" spans="23:23" x14ac:dyDescent="0.25">
      <c r="W83" s="87"/>
    </row>
    <row r="84" spans="23:23" x14ac:dyDescent="0.25">
      <c r="W84" s="87"/>
    </row>
    <row r="85" spans="23:23" x14ac:dyDescent="0.25">
      <c r="W85" s="8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topLeftCell="N1" zoomScale="70" zoomScaleNormal="70" workbookViewId="0">
      <pane ySplit="1" topLeftCell="A8" activePane="bottomLeft" state="frozen"/>
      <selection pane="bottomLeft" activeCell="AE48" sqref="AE48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5" x14ac:dyDescent="0.25">
      <c r="B1" t="s">
        <v>39</v>
      </c>
      <c r="C1" s="73" t="s">
        <v>46</v>
      </c>
      <c r="D1" s="74" t="s">
        <v>0</v>
      </c>
      <c r="E1" s="74" t="s">
        <v>1</v>
      </c>
      <c r="F1" s="74" t="s">
        <v>10</v>
      </c>
      <c r="G1" s="74" t="s">
        <v>11</v>
      </c>
      <c r="H1" s="74" t="s">
        <v>23</v>
      </c>
      <c r="I1" s="74" t="s">
        <v>97</v>
      </c>
      <c r="J1" s="4" t="s">
        <v>12</v>
      </c>
      <c r="K1" s="4" t="s">
        <v>7</v>
      </c>
      <c r="L1" s="4" t="s">
        <v>56</v>
      </c>
      <c r="M1" s="4" t="s">
        <v>24</v>
      </c>
      <c r="N1" s="4" t="s">
        <v>102</v>
      </c>
      <c r="O1" s="4" t="s">
        <v>25</v>
      </c>
      <c r="P1" s="4" t="s">
        <v>122</v>
      </c>
      <c r="Q1" s="4" t="s">
        <v>26</v>
      </c>
      <c r="R1" s="4" t="s">
        <v>89</v>
      </c>
      <c r="S1" s="4" t="s">
        <v>7</v>
      </c>
      <c r="T1" s="4" t="str">
        <f t="shared" ref="T1:T19" si="0">J1</f>
        <v>Charger Pwr, W</v>
      </c>
      <c r="U1" s="4" t="s">
        <v>156</v>
      </c>
      <c r="V1" s="4" t="s">
        <v>123</v>
      </c>
      <c r="W1" s="4" t="s">
        <v>135</v>
      </c>
      <c r="X1" s="4" t="s">
        <v>42</v>
      </c>
      <c r="Y1" s="4" t="s">
        <v>143</v>
      </c>
      <c r="Z1" s="4" t="s">
        <v>145</v>
      </c>
      <c r="AA1" s="4" t="s">
        <v>157</v>
      </c>
      <c r="AB1" s="4" t="s">
        <v>151</v>
      </c>
      <c r="AC1" s="4" t="s">
        <v>152</v>
      </c>
      <c r="AD1" s="4" t="s">
        <v>153</v>
      </c>
      <c r="AE1" s="4" t="s">
        <v>199</v>
      </c>
      <c r="AF1" s="4" t="s">
        <v>158</v>
      </c>
      <c r="AG1" s="4" t="s">
        <v>61</v>
      </c>
      <c r="AH1" s="4" t="s">
        <v>58</v>
      </c>
      <c r="AI1" s="4" t="s">
        <v>62</v>
      </c>
      <c r="AJ1" s="4" t="s">
        <v>59</v>
      </c>
      <c r="AK1" s="4" t="s">
        <v>94</v>
      </c>
      <c r="AL1" s="4" t="s">
        <v>95</v>
      </c>
      <c r="AM1" s="4" t="s">
        <v>90</v>
      </c>
      <c r="AN1" s="4" t="s">
        <v>91</v>
      </c>
      <c r="AO1" s="4" t="s">
        <v>78</v>
      </c>
      <c r="AP1" s="4" t="s">
        <v>124</v>
      </c>
      <c r="AQ1" s="4" t="s">
        <v>77</v>
      </c>
      <c r="AR1" s="4" t="s">
        <v>74</v>
      </c>
      <c r="AS1" s="4"/>
      <c r="AT1" s="4" t="s">
        <v>92</v>
      </c>
      <c r="AU1" s="4" t="s">
        <v>171</v>
      </c>
      <c r="AW1" s="4" t="s">
        <v>75</v>
      </c>
      <c r="AX1" s="4" t="s">
        <v>76</v>
      </c>
    </row>
    <row r="2" spans="2:50" x14ac:dyDescent="0.25">
      <c r="C2" s="102">
        <f>D2/180+1</f>
        <v>1.0000055555555556</v>
      </c>
      <c r="D2" s="99">
        <v>1E-3</v>
      </c>
      <c r="E2" s="99"/>
      <c r="F2" s="99"/>
      <c r="G2" s="99"/>
      <c r="H2" s="99"/>
      <c r="I2" s="99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86">
        <f t="shared" ref="AG2:AG8" si="5">D2/$AE$31*$AE$26</f>
        <v>2.7777777777777779E-5</v>
      </c>
      <c r="AH2" s="86">
        <f t="shared" ref="AH2:AH8" si="6">AG2/$AE$26*$AE$31</f>
        <v>1E-3</v>
      </c>
      <c r="AI2" s="87">
        <f t="shared" ref="AI2:AI19" si="7">MAX(($AE$34+$AF$34*LN($AH2)),0)</f>
        <v>0</v>
      </c>
      <c r="AJ2" s="87">
        <f>MAX(($AE$34+$AF$34*LN($AH2))/$AE$30,0)</f>
        <v>0</v>
      </c>
      <c r="AK2" s="87">
        <f t="shared" ref="AK2:AK19" si="8">($AE$35+$AF$35*AJ2*$AE$30)/$AE$30</f>
        <v>-10.046183440837153</v>
      </c>
      <c r="AL2" s="87">
        <f t="shared" ref="AL2:AL19" si="9">($AE$36+$AF$36*AK2*$AE$30)/$AE$30</f>
        <v>0.23225272009350995</v>
      </c>
      <c r="AN2">
        <f t="shared" ref="AN2:AN19" si="10">MAX($AE$35+$AF$35*AI2, 0)</f>
        <v>0</v>
      </c>
      <c r="AO2" s="110"/>
      <c r="AP2" s="110"/>
      <c r="AS2" s="110"/>
      <c r="AT2" s="110"/>
    </row>
    <row r="3" spans="2:50" x14ac:dyDescent="0.25">
      <c r="C3" s="102">
        <f>D3/180+1</f>
        <v>1.0559818143006103</v>
      </c>
      <c r="D3" s="100">
        <f>EXP((0-$AE$34)/$AF$34)</f>
        <v>10.076726574109877</v>
      </c>
      <c r="E3" s="98"/>
      <c r="F3" s="98">
        <v>13.82</v>
      </c>
      <c r="G3" s="98">
        <v>0.32200000000000001</v>
      </c>
      <c r="H3" s="128">
        <v>1.0000000000000001E+32</v>
      </c>
      <c r="I3" s="9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10">
        <v>0</v>
      </c>
      <c r="X3" s="110">
        <v>0</v>
      </c>
      <c r="Y3" s="86">
        <f>$AE$48*(O3/$AE$30/100)^2</f>
        <v>7.5021579327112167E-58</v>
      </c>
      <c r="Z3" s="110">
        <f t="shared" ref="Z3:Z13" si="17">SQRT(Y3^3/4/$X$46/$X$47)</f>
        <v>2.0154592931120451E-85</v>
      </c>
      <c r="AB3">
        <f t="shared" ref="AB3:AB19" si="18">SQRT(Y3/$AE$40/$AE$41)</f>
        <v>5.3730121684699729E-28</v>
      </c>
      <c r="AC3" s="4">
        <f t="shared" ref="AC3:AC17" si="19">AB3*1/1.6/1000*3600</f>
        <v>1.2089277379057438E-27</v>
      </c>
      <c r="AD3" s="4">
        <f t="shared" ref="AD3:AD19" si="20">P3/60*PI()*$AA$47/1000</f>
        <v>0</v>
      </c>
      <c r="AE3" s="138">
        <f>AD3/AB3</f>
        <v>0</v>
      </c>
      <c r="AG3" s="86">
        <f t="shared" si="5"/>
        <v>0.27990907150305216</v>
      </c>
      <c r="AH3" s="86">
        <f t="shared" si="6"/>
        <v>10.076726574109877</v>
      </c>
      <c r="AI3" s="87">
        <f t="shared" si="7"/>
        <v>0</v>
      </c>
      <c r="AJ3" s="87">
        <f t="shared" ref="AJ3:AJ19" si="21">MAX(($AE$34+$AF$34*LN(AH3))/$AE$30,0)</f>
        <v>0</v>
      </c>
      <c r="AK3" s="87">
        <f t="shared" si="8"/>
        <v>-10.046183440837153</v>
      </c>
      <c r="AL3" s="87">
        <f t="shared" si="9"/>
        <v>0.23225272009350995</v>
      </c>
      <c r="AN3">
        <f t="shared" si="10"/>
        <v>0</v>
      </c>
      <c r="AO3" s="110"/>
      <c r="AP3" s="110"/>
      <c r="AQ3" s="110"/>
      <c r="AS3" s="110"/>
      <c r="AT3" s="110"/>
    </row>
    <row r="4" spans="2:50" ht="15" customHeight="1" x14ac:dyDescent="0.25">
      <c r="C4" s="102">
        <f>D4/180+1</f>
        <v>1.0833333333333333</v>
      </c>
      <c r="D4" s="72">
        <v>15</v>
      </c>
      <c r="E4" s="98"/>
      <c r="F4" s="72">
        <v>13.78</v>
      </c>
      <c r="G4" s="96">
        <v>0.379</v>
      </c>
      <c r="H4" s="72">
        <v>7240</v>
      </c>
      <c r="I4" s="9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2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30">
        <f t="shared" ref="W4:W19" si="23">$V4/$O4*5252</f>
        <v>6.5658566569958454E-4</v>
      </c>
      <c r="X4" s="130">
        <f t="shared" ref="X4:X19" si="24">W4-$W$4</f>
        <v>0</v>
      </c>
      <c r="Y4" s="86">
        <f t="shared" ref="Y4:Y17" si="25">$AE$48*(O4/$AE$30/100)^2</f>
        <v>0.14312288110694146</v>
      </c>
      <c r="Z4" s="110">
        <f t="shared" si="17"/>
        <v>0.53107802608707022</v>
      </c>
      <c r="AA4" s="88">
        <f>Z4/U4*100</f>
        <v>68.740845748928322</v>
      </c>
      <c r="AB4">
        <f t="shared" si="18"/>
        <v>7.421287525511012</v>
      </c>
      <c r="AC4" s="4">
        <f t="shared" si="19"/>
        <v>16.697896932399779</v>
      </c>
      <c r="AD4" s="4">
        <f t="shared" si="20"/>
        <v>1.7278759594743859E-27</v>
      </c>
      <c r="AE4" s="138">
        <f t="shared" ref="AE4:AE19" si="26">AD4/AB4</f>
        <v>2.3282697962243533E-28</v>
      </c>
      <c r="AG4" s="86">
        <f t="shared" si="5"/>
        <v>0.41666666666666663</v>
      </c>
      <c r="AH4" s="86">
        <f t="shared" si="6"/>
        <v>15</v>
      </c>
      <c r="AI4" s="87">
        <f t="shared" si="7"/>
        <v>6193.6380340466058</v>
      </c>
      <c r="AJ4" s="87">
        <f t="shared" si="21"/>
        <v>13.441054761385862</v>
      </c>
      <c r="AK4" s="87">
        <f t="shared" si="8"/>
        <v>3.0962873406135314</v>
      </c>
      <c r="AL4" s="87">
        <f t="shared" si="9"/>
        <v>13.629561535587357</v>
      </c>
      <c r="AN4">
        <f t="shared" si="10"/>
        <v>1426.7692065547162</v>
      </c>
      <c r="AO4" s="110">
        <f t="shared" ref="AO4:AO19" si="27">MAX($AE$37+$AI4*($AF$37+$AI4*$AG$37), 0)</f>
        <v>0</v>
      </c>
      <c r="AP4" s="110">
        <f>AI4*AO4/5252</f>
        <v>0</v>
      </c>
      <c r="AQ4" s="126">
        <f t="shared" ref="AQ4:AQ19" si="28">MAX($AF$37+$AG$37*2*AI4,1E-32)</f>
        <v>5.4627781792346842E-7</v>
      </c>
      <c r="AR4" s="86"/>
      <c r="AS4" s="110"/>
      <c r="AU4" s="86"/>
      <c r="AW4" s="111">
        <f t="shared" ref="AW4:AW19" si="29">$X$37/$X$36</f>
        <v>1.0526315789473683E-4</v>
      </c>
      <c r="AX4" s="87"/>
    </row>
    <row r="5" spans="2:50" ht="15" customHeight="1" x14ac:dyDescent="0.25">
      <c r="C5" s="102">
        <f t="shared" ref="C5:C30" si="30">D5/180+1</f>
        <v>1.0944444444444446</v>
      </c>
      <c r="D5" s="120">
        <v>17</v>
      </c>
      <c r="E5" s="121">
        <v>0.159</v>
      </c>
      <c r="F5" s="72">
        <v>13.82</v>
      </c>
      <c r="G5" s="96">
        <v>0.497</v>
      </c>
      <c r="H5" s="72">
        <v>6400</v>
      </c>
      <c r="I5" s="12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2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38">
        <f t="shared" si="0"/>
        <v>6.8685400000000003</v>
      </c>
      <c r="U5" s="87">
        <f t="shared" si="15"/>
        <v>2.4184999999999999</v>
      </c>
      <c r="V5">
        <f t="shared" si="16"/>
        <v>3.2432617070000001E-3</v>
      </c>
      <c r="W5" s="130">
        <f t="shared" si="23"/>
        <v>1.8169184517508267E-3</v>
      </c>
      <c r="X5" s="130">
        <f t="shared" si="24"/>
        <v>1.1603327860512421E-3</v>
      </c>
      <c r="Y5" s="86">
        <f t="shared" si="25"/>
        <v>0.18315815265408242</v>
      </c>
      <c r="Z5" s="127">
        <f t="shared" si="17"/>
        <v>0.76883670544130134</v>
      </c>
      <c r="AA5" s="88">
        <f t="shared" ref="AA5:AA19" si="32">Z5/U5*100</f>
        <v>31.789816226640539</v>
      </c>
      <c r="AB5">
        <f t="shared" si="18"/>
        <v>8.3953315132343338</v>
      </c>
      <c r="AC5" s="155">
        <f t="shared" si="19"/>
        <v>18.889495904777249</v>
      </c>
      <c r="AD5" s="155">
        <f t="shared" si="20"/>
        <v>10.600466009045316</v>
      </c>
      <c r="AE5" s="138">
        <f t="shared" si="26"/>
        <v>1.2626619916479564</v>
      </c>
      <c r="AF5" s="131"/>
      <c r="AG5" s="86">
        <f t="shared" si="5"/>
        <v>0.47222222222222221</v>
      </c>
      <c r="AH5" s="86">
        <f t="shared" si="6"/>
        <v>17</v>
      </c>
      <c r="AI5" s="87">
        <f t="shared" si="7"/>
        <v>8142.287725194481</v>
      </c>
      <c r="AJ5" s="87">
        <f t="shared" si="21"/>
        <v>17.669895236967189</v>
      </c>
      <c r="AK5" s="87">
        <f t="shared" si="8"/>
        <v>7.2311869728514129</v>
      </c>
      <c r="AL5" s="87">
        <f t="shared" si="9"/>
        <v>17.844638610162221</v>
      </c>
      <c r="AM5" s="88">
        <f t="shared" ref="AM5:AM19" si="33">AN5/$AE$30</f>
        <v>7.2311869728514129</v>
      </c>
      <c r="AN5" s="154">
        <f t="shared" si="10"/>
        <v>3332.1309570899311</v>
      </c>
      <c r="AO5" s="110">
        <f t="shared" si="27"/>
        <v>4.2385969866061413E-7</v>
      </c>
      <c r="AP5" s="110">
        <f t="shared" ref="AP5:AP19" si="34">AI5*AO5/5252</f>
        <v>6.5711873983414897E-7</v>
      </c>
      <c r="AQ5" s="126">
        <f t="shared" si="28"/>
        <v>5.7065996888827122E-7</v>
      </c>
      <c r="AR5" s="86">
        <f>$X$40/AQ5</f>
        <v>6.5585146225885127E-2</v>
      </c>
      <c r="AS5" s="110"/>
      <c r="AT5" s="133">
        <f t="shared" ref="AT5:AT19" si="35">$AE$42*$AE$41*$AE$46^2*$AE$40*PI()/240*($AB5-$AE$47)/$AE$43*$AE$44</f>
        <v>1.7860847354598791E-7</v>
      </c>
      <c r="AU5" s="131" t="str">
        <f>IF(AT5&lt;0,-$AE$45/AT5,"")</f>
        <v/>
      </c>
      <c r="AW5" s="110">
        <f t="shared" si="29"/>
        <v>1.0526315789473683E-4</v>
      </c>
      <c r="AX5" s="87">
        <f t="shared" ref="AX5:AX19" si="36">$X$39/$X$36/$X$34/AQ5</f>
        <v>127.41971906685956</v>
      </c>
    </row>
    <row r="6" spans="2:50" ht="13.9" customHeight="1" x14ac:dyDescent="0.25">
      <c r="C6" s="102">
        <f>D6/180+1</f>
        <v>1.1111111111111112</v>
      </c>
      <c r="D6" s="72">
        <v>20</v>
      </c>
      <c r="E6" s="72">
        <v>0.21099999999999999</v>
      </c>
      <c r="F6" s="72">
        <v>13.8</v>
      </c>
      <c r="G6" s="72">
        <v>0.69399999999999995</v>
      </c>
      <c r="H6" s="72">
        <v>5080</v>
      </c>
      <c r="I6" s="72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2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38">
        <f>J6</f>
        <v>9.5771999999999995</v>
      </c>
      <c r="U6" s="87">
        <f t="shared" si="15"/>
        <v>5.1271599999999991</v>
      </c>
      <c r="V6">
        <f t="shared" si="16"/>
        <v>6.8756343575199991E-3</v>
      </c>
      <c r="W6" s="130">
        <f t="shared" si="23"/>
        <v>3.0573837460021792E-3</v>
      </c>
      <c r="X6" s="130">
        <f t="shared" si="24"/>
        <v>2.4007980803025944E-3</v>
      </c>
      <c r="Y6" s="86">
        <f t="shared" si="25"/>
        <v>0.29070920131096234</v>
      </c>
      <c r="Z6" s="127">
        <f t="shared" si="17"/>
        <v>1.537385901702744</v>
      </c>
      <c r="AA6" s="88">
        <f>Z6/U6*100</f>
        <v>29.985136053931306</v>
      </c>
      <c r="AB6">
        <f t="shared" si="18"/>
        <v>10.576795607224359</v>
      </c>
      <c r="AC6" s="155">
        <f>AB6*1/1.6/1000*3600</f>
        <v>23.797790116254806</v>
      </c>
      <c r="AD6" s="155">
        <f t="shared" si="20"/>
        <v>20.185466816289562</v>
      </c>
      <c r="AE6" s="138">
        <f>AD6/AB6</f>
        <v>1.9084671355946512</v>
      </c>
      <c r="AF6" s="131"/>
      <c r="AG6" s="86">
        <f t="shared" si="5"/>
        <v>0.55555555555555558</v>
      </c>
      <c r="AH6" s="86">
        <f t="shared" si="6"/>
        <v>20</v>
      </c>
      <c r="AI6" s="87">
        <f t="shared" si="7"/>
        <v>10672.525096174351</v>
      </c>
      <c r="AJ6" s="87">
        <f t="shared" si="21"/>
        <v>23.16086175385059</v>
      </c>
      <c r="AK6" s="87">
        <f t="shared" si="8"/>
        <v>12.600175366335458</v>
      </c>
      <c r="AL6" s="87">
        <f t="shared" si="9"/>
        <v>23.317733945921322</v>
      </c>
      <c r="AM6" s="88">
        <f t="shared" si="33"/>
        <v>12.600175366335453</v>
      </c>
      <c r="AN6" s="154">
        <f t="shared" si="10"/>
        <v>5806.1608088073772</v>
      </c>
      <c r="AO6" s="110">
        <f t="shared" si="27"/>
        <v>1.4843816451516282E-3</v>
      </c>
      <c r="AP6" s="110">
        <f>AI6*AO6/5252</f>
        <v>3.0163938233399323E-3</v>
      </c>
      <c r="AQ6" s="126">
        <f t="shared" si="28"/>
        <v>6.0231913771490417E-7</v>
      </c>
      <c r="AR6" s="86">
        <f>$X$40/AQ6</f>
        <v>6.2137852114059124E-2</v>
      </c>
      <c r="AS6" s="110"/>
      <c r="AT6" s="133">
        <f>$AE$42*$AE$41*$AE$46^2*$AE$40*PI()/240*($AB6-$AE$47)/$AE$43*$AE$44</f>
        <v>7.0518652428335448E-8</v>
      </c>
      <c r="AU6" s="131" t="str">
        <f t="shared" ref="AU6:AU19" si="37">IF(AT6&lt;0,-$AE$45/AT6,"")</f>
        <v/>
      </c>
      <c r="AW6" s="110">
        <f t="shared" si="29"/>
        <v>1.0526315789473683E-4</v>
      </c>
      <c r="AX6" s="87">
        <f t="shared" si="36"/>
        <v>120.72226891927805</v>
      </c>
    </row>
    <row r="7" spans="2:50" ht="13.9" customHeight="1" x14ac:dyDescent="0.25">
      <c r="C7" s="102">
        <f t="shared" si="30"/>
        <v>1.1944444444444444</v>
      </c>
      <c r="D7" s="72">
        <v>35</v>
      </c>
      <c r="E7" s="72">
        <v>0.49199999999999999</v>
      </c>
      <c r="F7" s="72">
        <v>13.7</v>
      </c>
      <c r="G7" s="72">
        <v>1.7889999999999999</v>
      </c>
      <c r="H7" s="72">
        <v>3100</v>
      </c>
      <c r="I7" s="72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2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38">
        <f t="shared" si="0"/>
        <v>24.509299999999996</v>
      </c>
      <c r="U7" s="87">
        <f t="shared" si="15"/>
        <v>20.059259999999995</v>
      </c>
      <c r="V7">
        <f t="shared" si="16"/>
        <v>2.6899908963719996E-2</v>
      </c>
      <c r="W7" s="130">
        <f t="shared" si="23"/>
        <v>7.2993799636686327E-3</v>
      </c>
      <c r="X7" s="130">
        <f t="shared" si="24"/>
        <v>6.6427942979690483E-3</v>
      </c>
      <c r="Y7" s="86">
        <f t="shared" si="25"/>
        <v>0.78066159549544434</v>
      </c>
      <c r="Z7" s="127">
        <f t="shared" si="17"/>
        <v>6.7653294387971092</v>
      </c>
      <c r="AA7" s="88">
        <f t="shared" si="32"/>
        <v>33.726714937625367</v>
      </c>
      <c r="AB7">
        <f t="shared" si="18"/>
        <v>17.332297317645079</v>
      </c>
      <c r="AC7" s="155">
        <f t="shared" si="19"/>
        <v>38.997668964701418</v>
      </c>
      <c r="AD7" s="155">
        <f t="shared" si="20"/>
        <v>39.997128691536716</v>
      </c>
      <c r="AE7" s="138">
        <f t="shared" si="26"/>
        <v>2.3076645847067137</v>
      </c>
      <c r="AF7" s="131"/>
      <c r="AG7" s="86">
        <f t="shared" si="5"/>
        <v>0.97222222222222221</v>
      </c>
      <c r="AH7" s="86">
        <f t="shared" si="6"/>
        <v>35</v>
      </c>
      <c r="AI7" s="87">
        <f t="shared" si="7"/>
        <v>19385.114973551928</v>
      </c>
      <c r="AJ7" s="87">
        <f t="shared" si="21"/>
        <v>42.068391869687346</v>
      </c>
      <c r="AK7" s="87">
        <f t="shared" si="8"/>
        <v>31.087687433518074</v>
      </c>
      <c r="AL7" s="87">
        <f t="shared" si="9"/>
        <v>42.163726644934563</v>
      </c>
      <c r="AM7" s="88">
        <f t="shared" si="33"/>
        <v>31.087687433518067</v>
      </c>
      <c r="AN7" s="154">
        <f t="shared" si="10"/>
        <v>14325.206369365125</v>
      </c>
      <c r="AO7" s="110">
        <f t="shared" si="27"/>
        <v>7.2070419454749604E-3</v>
      </c>
      <c r="AP7" s="110">
        <f t="shared" si="34"/>
        <v>2.6601168456253519E-2</v>
      </c>
      <c r="AQ7" s="126">
        <f t="shared" si="28"/>
        <v>7.1133395071574516E-7</v>
      </c>
      <c r="AR7" s="86">
        <f t="shared" ref="AR7:AR19" si="38">$X$40/AQ7</f>
        <v>5.2614974256658793E-2</v>
      </c>
      <c r="AS7" s="110"/>
      <c r="AT7" s="133">
        <f t="shared" si="35"/>
        <v>-2.6421111619407201E-7</v>
      </c>
      <c r="AU7" s="131">
        <f t="shared" si="37"/>
        <v>0.14165496911683709</v>
      </c>
      <c r="AW7" s="110">
        <f t="shared" si="29"/>
        <v>1.0526315789473683E-4</v>
      </c>
      <c r="AX7" s="87">
        <f t="shared" si="36"/>
        <v>102.22109157770704</v>
      </c>
    </row>
    <row r="8" spans="2:50" ht="13.9" customHeight="1" x14ac:dyDescent="0.25">
      <c r="C8" s="102">
        <f t="shared" si="30"/>
        <v>1.3</v>
      </c>
      <c r="D8" s="72">
        <v>54</v>
      </c>
      <c r="E8" s="72">
        <v>0.69099999999999995</v>
      </c>
      <c r="F8" s="72">
        <v>13.15</v>
      </c>
      <c r="G8" s="72">
        <v>3.26</v>
      </c>
      <c r="H8" s="72">
        <v>2420</v>
      </c>
      <c r="I8" s="72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2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38">
        <f t="shared" si="0"/>
        <v>42.869</v>
      </c>
      <c r="U8" s="87">
        <f t="shared" si="15"/>
        <v>38.418959999999998</v>
      </c>
      <c r="V8">
        <f t="shared" si="16"/>
        <v>5.1520670577120002E-2</v>
      </c>
      <c r="W8" s="130">
        <f t="shared" si="23"/>
        <v>1.0913657995465047E-2</v>
      </c>
      <c r="X8" s="130">
        <f t="shared" si="24"/>
        <v>1.0257072329765462E-2</v>
      </c>
      <c r="Y8" s="86">
        <f t="shared" si="25"/>
        <v>1.2810187030788909</v>
      </c>
      <c r="Z8" s="127">
        <f t="shared" si="17"/>
        <v>14.220927850579555</v>
      </c>
      <c r="AA8" s="88">
        <f t="shared" si="32"/>
        <v>37.015389928773594</v>
      </c>
      <c r="AB8">
        <f t="shared" si="18"/>
        <v>22.202529621776751</v>
      </c>
      <c r="AC8" s="155">
        <f t="shared" si="19"/>
        <v>49.955691648997693</v>
      </c>
      <c r="AD8" s="155">
        <f t="shared" si="20"/>
        <v>57.982414747462627</v>
      </c>
      <c r="AE8" s="138">
        <f t="shared" si="26"/>
        <v>2.6115229091099668</v>
      </c>
      <c r="AF8" s="131"/>
      <c r="AG8" s="86">
        <f t="shared" si="5"/>
        <v>1.5</v>
      </c>
      <c r="AH8" s="86">
        <f t="shared" si="6"/>
        <v>54</v>
      </c>
      <c r="AI8" s="87">
        <f t="shared" si="7"/>
        <v>26136.340681404661</v>
      </c>
      <c r="AJ8" s="87">
        <f t="shared" si="21"/>
        <v>56.719489325964972</v>
      </c>
      <c r="AK8" s="87">
        <f t="shared" si="8"/>
        <v>45.413320626270703</v>
      </c>
      <c r="AL8" s="87">
        <f t="shared" si="9"/>
        <v>56.767139888331641</v>
      </c>
      <c r="AM8" s="88">
        <f t="shared" si="33"/>
        <v>45.413320626270711</v>
      </c>
      <c r="AN8" s="154">
        <f t="shared" si="10"/>
        <v>20926.458144585544</v>
      </c>
      <c r="AO8" s="110">
        <f t="shared" si="27"/>
        <v>1.2294568083529682E-2</v>
      </c>
      <c r="AP8" s="110">
        <f t="shared" si="34"/>
        <v>6.1183362521297822E-2</v>
      </c>
      <c r="AQ8" s="126">
        <f t="shared" si="28"/>
        <v>7.9580752498314336E-7</v>
      </c>
      <c r="AR8" s="86">
        <f t="shared" si="38"/>
        <v>4.7029986937594102E-2</v>
      </c>
      <c r="AS8" s="110"/>
      <c r="AT8" s="133">
        <f t="shared" si="35"/>
        <v>-5.0552727629283731E-7</v>
      </c>
      <c r="AU8" s="131">
        <f t="shared" si="37"/>
        <v>7.4035208899620397E-2</v>
      </c>
      <c r="AW8" s="110">
        <f t="shared" si="29"/>
        <v>1.0526315789473683E-4</v>
      </c>
      <c r="AX8" s="87">
        <f t="shared" si="36"/>
        <v>91.370501830812074</v>
      </c>
    </row>
    <row r="9" spans="2:50" ht="13.9" customHeight="1" x14ac:dyDescent="0.25">
      <c r="B9">
        <v>64</v>
      </c>
      <c r="C9" s="102">
        <f t="shared" si="30"/>
        <v>1.3555555555555556</v>
      </c>
      <c r="D9" s="120">
        <v>64</v>
      </c>
      <c r="E9" s="120">
        <v>0.77700000000000002</v>
      </c>
      <c r="F9" s="72">
        <v>13.37</v>
      </c>
      <c r="G9" s="120">
        <v>4.43</v>
      </c>
      <c r="H9" s="72">
        <v>2140</v>
      </c>
      <c r="I9" s="12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2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38">
        <f t="shared" si="0"/>
        <v>59.229099999999995</v>
      </c>
      <c r="U9" s="87">
        <f t="shared" si="15"/>
        <v>54.779059999999994</v>
      </c>
      <c r="V9">
        <f t="shared" si="16"/>
        <v>7.3459924599319992E-2</v>
      </c>
      <c r="W9" s="130">
        <f t="shared" si="23"/>
        <v>1.3760611022510751E-2</v>
      </c>
      <c r="X9" s="130">
        <f t="shared" si="24"/>
        <v>1.3104025356811166E-2</v>
      </c>
      <c r="Y9" s="86">
        <f t="shared" si="25"/>
        <v>1.6381688210130181</v>
      </c>
      <c r="Z9" s="127">
        <f t="shared" si="17"/>
        <v>20.565189274091257</v>
      </c>
      <c r="AA9" s="88">
        <f t="shared" si="32"/>
        <v>37.542063106032231</v>
      </c>
      <c r="AB9">
        <f t="shared" si="18"/>
        <v>25.107533497523242</v>
      </c>
      <c r="AC9" s="155">
        <f t="shared" si="19"/>
        <v>56.4919503694273</v>
      </c>
      <c r="AD9" s="155">
        <f t="shared" si="20"/>
        <v>64.957742837382938</v>
      </c>
      <c r="AE9" s="138">
        <f t="shared" si="26"/>
        <v>2.5871813670502823</v>
      </c>
      <c r="AF9" s="131"/>
      <c r="AG9" s="86"/>
      <c r="AH9" s="131">
        <v>70.201599999999999</v>
      </c>
      <c r="AI9" s="132">
        <f t="shared" si="7"/>
        <v>30221.412724320267</v>
      </c>
      <c r="AJ9" s="132">
        <f t="shared" si="21"/>
        <v>65.584663030208915</v>
      </c>
      <c r="AK9" s="132">
        <f t="shared" si="8"/>
        <v>54.081560466735283</v>
      </c>
      <c r="AL9" s="132">
        <f t="shared" si="9"/>
        <v>65.603460543758075</v>
      </c>
      <c r="AM9" s="153">
        <f t="shared" si="33"/>
        <v>54.081560466735276</v>
      </c>
      <c r="AN9" s="8">
        <f t="shared" si="10"/>
        <v>24920.783063071616</v>
      </c>
      <c r="AO9" s="130">
        <f t="shared" si="27"/>
        <v>1.5649900883462433E-2</v>
      </c>
      <c r="AP9" s="130">
        <f t="shared" si="34"/>
        <v>9.0053715478641008E-2</v>
      </c>
      <c r="AQ9" s="133">
        <f t="shared" si="28"/>
        <v>8.4692130069405188E-7</v>
      </c>
      <c r="AR9" s="131">
        <f t="shared" si="38"/>
        <v>4.4191611988180078E-2</v>
      </c>
      <c r="AS9" s="130"/>
      <c r="AT9" s="133">
        <f t="shared" si="35"/>
        <v>-6.494679215414137E-7</v>
      </c>
      <c r="AU9" s="131">
        <f t="shared" si="37"/>
        <v>5.7626891588378137E-2</v>
      </c>
      <c r="AW9" s="130">
        <f t="shared" si="29"/>
        <v>1.0526315789473683E-4</v>
      </c>
      <c r="AX9" s="132">
        <f t="shared" si="36"/>
        <v>85.856068159884231</v>
      </c>
    </row>
    <row r="10" spans="2:50" ht="13.9" customHeight="1" x14ac:dyDescent="0.25">
      <c r="C10" s="102">
        <f t="shared" si="30"/>
        <v>1.4944444444444445</v>
      </c>
      <c r="D10" s="72">
        <v>89</v>
      </c>
      <c r="E10" s="72">
        <v>0.94299999999999995</v>
      </c>
      <c r="F10" s="72">
        <v>13.18</v>
      </c>
      <c r="G10" s="72">
        <v>6.68</v>
      </c>
      <c r="H10" s="72">
        <v>1870</v>
      </c>
      <c r="I10" s="72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2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38">
        <f t="shared" si="0"/>
        <v>88.042400000000001</v>
      </c>
      <c r="U10" s="87">
        <f t="shared" si="15"/>
        <v>83.592359999999999</v>
      </c>
      <c r="V10">
        <f t="shared" si="16"/>
        <v>0.11209919379192</v>
      </c>
      <c r="W10" s="130">
        <f t="shared" si="23"/>
        <v>1.834921810061594E-2</v>
      </c>
      <c r="X10" s="130">
        <f t="shared" si="24"/>
        <v>1.7692632434916356E-2</v>
      </c>
      <c r="Y10" s="86">
        <f t="shared" si="25"/>
        <v>2.1453738833570353</v>
      </c>
      <c r="Z10" s="127">
        <f t="shared" si="17"/>
        <v>30.821176420307573</v>
      </c>
      <c r="AA10" s="88">
        <f t="shared" si="32"/>
        <v>36.870805442396374</v>
      </c>
      <c r="AB10">
        <f t="shared" si="18"/>
        <v>28.732685392887557</v>
      </c>
      <c r="AC10" s="155">
        <f t="shared" si="19"/>
        <v>64.648542133996997</v>
      </c>
      <c r="AD10" s="155">
        <f t="shared" si="20"/>
        <v>79.260365113503937</v>
      </c>
      <c r="AE10" s="138">
        <f t="shared" si="26"/>
        <v>2.7585435899814614</v>
      </c>
      <c r="AF10" s="131"/>
      <c r="AG10" s="86">
        <f t="shared" ref="AG10:AG19" si="39">D10/$AE$31*$AE$26</f>
        <v>2.4722222222222223</v>
      </c>
      <c r="AH10" s="86">
        <f t="shared" ref="AH10:AH19" si="40">AG10/$AE$26*$AE$31</f>
        <v>89</v>
      </c>
      <c r="AI10" s="87">
        <f t="shared" si="7"/>
        <v>33915.366696916011</v>
      </c>
      <c r="AJ10" s="87">
        <f t="shared" si="21"/>
        <v>73.601056199904534</v>
      </c>
      <c r="AK10" s="87">
        <f t="shared" si="8"/>
        <v>61.919874860633549</v>
      </c>
      <c r="AL10" s="87">
        <f t="shared" si="9"/>
        <v>73.593763149277294</v>
      </c>
      <c r="AM10" s="88">
        <f t="shared" si="33"/>
        <v>61.919874860633534</v>
      </c>
      <c r="AN10" s="154">
        <f t="shared" si="10"/>
        <v>28532.678335779932</v>
      </c>
      <c r="AO10" s="110">
        <f t="shared" si="27"/>
        <v>1.886375641999986E-2</v>
      </c>
      <c r="AP10" s="110">
        <f t="shared" si="34"/>
        <v>0.1218147784207157</v>
      </c>
      <c r="AQ10" s="126">
        <f t="shared" si="28"/>
        <v>8.9314127744308335E-7</v>
      </c>
      <c r="AR10" s="86">
        <f t="shared" si="38"/>
        <v>4.1904700241761475E-2</v>
      </c>
      <c r="AS10" s="110"/>
      <c r="AT10" s="133">
        <f t="shared" si="35"/>
        <v>-8.2909133178858665E-7</v>
      </c>
      <c r="AU10" s="131">
        <f t="shared" si="37"/>
        <v>4.5141971782597219E-2</v>
      </c>
      <c r="AW10" s="110">
        <f t="shared" si="29"/>
        <v>1.0526315789473683E-4</v>
      </c>
      <c r="AX10" s="87">
        <f t="shared" si="36"/>
        <v>81.413024741855679</v>
      </c>
    </row>
    <row r="11" spans="2:50" ht="13.9" customHeight="1" x14ac:dyDescent="0.25">
      <c r="C11" s="102">
        <f>D11/180+1</f>
        <v>1.5611111111111111</v>
      </c>
      <c r="D11" s="72">
        <v>101</v>
      </c>
      <c r="E11" s="72">
        <v>1.018</v>
      </c>
      <c r="F11" s="72">
        <v>13.08</v>
      </c>
      <c r="G11" s="72">
        <v>7.79</v>
      </c>
      <c r="H11" s="72">
        <v>1760</v>
      </c>
      <c r="I11" s="72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2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38">
        <f>J11</f>
        <v>101.89320000000001</v>
      </c>
      <c r="U11" s="87">
        <f t="shared" si="15"/>
        <v>97.443160000000006</v>
      </c>
      <c r="V11">
        <f t="shared" si="16"/>
        <v>0.13067342130952</v>
      </c>
      <c r="W11" s="130">
        <f t="shared" si="23"/>
        <v>2.0131373055716242E-2</v>
      </c>
      <c r="X11" s="130">
        <f t="shared" si="24"/>
        <v>1.9474787390016658E-2</v>
      </c>
      <c r="Y11" s="86">
        <f t="shared" si="25"/>
        <v>2.4219259855085276</v>
      </c>
      <c r="Z11" s="127">
        <f t="shared" si="17"/>
        <v>36.968857361565192</v>
      </c>
      <c r="AA11" s="88">
        <f>Z11/U11*100</f>
        <v>37.938894183609392</v>
      </c>
      <c r="AB11">
        <f t="shared" si="18"/>
        <v>30.52847822994303</v>
      </c>
      <c r="AC11" s="155">
        <f>AB11*1/1.6/1000*3600</f>
        <v>68.689076017371818</v>
      </c>
      <c r="AD11" s="155">
        <f t="shared" si="20"/>
        <v>85.53841383536566</v>
      </c>
      <c r="AE11" s="138">
        <f>AD11/AB11</f>
        <v>2.8019219690900816</v>
      </c>
      <c r="AF11" s="131"/>
      <c r="AG11" s="86">
        <f t="shared" si="39"/>
        <v>2.8055555555555554</v>
      </c>
      <c r="AH11" s="86">
        <f t="shared" si="40"/>
        <v>101</v>
      </c>
      <c r="AI11" s="87">
        <f t="shared" si="7"/>
        <v>35884.582940469918</v>
      </c>
      <c r="AJ11" s="87">
        <f t="shared" si="21"/>
        <v>77.87452895067257</v>
      </c>
      <c r="AK11" s="87">
        <f t="shared" si="8"/>
        <v>66.098415292121516</v>
      </c>
      <c r="AL11" s="87">
        <f t="shared" si="9"/>
        <v>77.853327236547941</v>
      </c>
      <c r="AM11" s="88">
        <f t="shared" si="33"/>
        <v>66.098415292121501</v>
      </c>
      <c r="AN11" s="154">
        <f t="shared" si="10"/>
        <v>30458.149766609586</v>
      </c>
      <c r="AO11" s="110">
        <f t="shared" si="27"/>
        <v>2.064680496984065E-2</v>
      </c>
      <c r="AP11" s="110">
        <f>AI11*AO11/5252</f>
        <v>0.14107044657196369</v>
      </c>
      <c r="AQ11" s="126">
        <f t="shared" si="28"/>
        <v>9.1778076392994913E-7</v>
      </c>
      <c r="AR11" s="86">
        <f>$X$40/AQ11</f>
        <v>4.0779692684486224E-2</v>
      </c>
      <c r="AS11" s="110"/>
      <c r="AT11" s="133">
        <f t="shared" si="35"/>
        <v>-9.1807144704991769E-7</v>
      </c>
      <c r="AU11" s="131">
        <f t="shared" si="37"/>
        <v>4.0766780869900363E-2</v>
      </c>
      <c r="AW11" s="110">
        <f t="shared" si="29"/>
        <v>1.0526315789473683E-4</v>
      </c>
      <c r="AX11" s="87">
        <f t="shared" si="36"/>
        <v>79.227344673347588</v>
      </c>
    </row>
    <row r="12" spans="2:50" ht="13.9" customHeight="1" x14ac:dyDescent="0.25">
      <c r="C12" s="102">
        <f>D12/180+1</f>
        <v>1.6333333333333333</v>
      </c>
      <c r="D12" s="72">
        <v>114</v>
      </c>
      <c r="E12" s="72">
        <v>1.077</v>
      </c>
      <c r="F12" s="72">
        <v>13</v>
      </c>
      <c r="G12" s="72">
        <v>9.17</v>
      </c>
      <c r="H12" s="72">
        <v>1630</v>
      </c>
      <c r="I12" s="72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2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38">
        <f>J12</f>
        <v>119.21</v>
      </c>
      <c r="U12" s="87">
        <f t="shared" si="15"/>
        <v>114.75995999999999</v>
      </c>
      <c r="V12">
        <f t="shared" si="16"/>
        <v>0.15389563107911999</v>
      </c>
      <c r="W12" s="130">
        <f t="shared" si="23"/>
        <v>2.1957726045281456E-2</v>
      </c>
      <c r="X12" s="130">
        <f t="shared" si="24"/>
        <v>2.1301140379581873E-2</v>
      </c>
      <c r="Y12" s="86">
        <f t="shared" si="25"/>
        <v>2.8236508459901453</v>
      </c>
      <c r="Z12" s="127">
        <f t="shared" si="17"/>
        <v>46.538375322133696</v>
      </c>
      <c r="AA12" s="88">
        <f>Z12/U12*100</f>
        <v>40.552798486626955</v>
      </c>
      <c r="AB12">
        <f t="shared" si="18"/>
        <v>32.963264837239102</v>
      </c>
      <c r="AC12" s="155">
        <f>AB12*1/1.6/1000*3600</f>
        <v>74.167345883787974</v>
      </c>
      <c r="AD12" s="155">
        <f t="shared" si="20"/>
        <v>89.993539555957625</v>
      </c>
      <c r="AE12" s="138">
        <f>AD12/AB12</f>
        <v>2.7301160852941533</v>
      </c>
      <c r="AF12" s="131"/>
      <c r="AG12" s="86">
        <f t="shared" si="39"/>
        <v>3.1666666666666665</v>
      </c>
      <c r="AH12" s="86">
        <f t="shared" si="40"/>
        <v>114</v>
      </c>
      <c r="AI12" s="87">
        <f t="shared" si="7"/>
        <v>37769.630474093603</v>
      </c>
      <c r="AJ12" s="87">
        <f t="shared" si="21"/>
        <v>81.965343910793408</v>
      </c>
      <c r="AK12" s="87">
        <f t="shared" si="8"/>
        <v>70.098355552774535</v>
      </c>
      <c r="AL12" s="87">
        <f t="shared" si="9"/>
        <v>81.93082802058089</v>
      </c>
      <c r="AM12" s="88">
        <f t="shared" si="33"/>
        <v>70.098355552774535</v>
      </c>
      <c r="AN12" s="154">
        <f t="shared" si="10"/>
        <v>32301.322238718505</v>
      </c>
      <c r="AO12" s="110">
        <f t="shared" si="27"/>
        <v>2.2399096021018378E-2</v>
      </c>
      <c r="AP12" s="110">
        <f>AI12*AO12/5252</f>
        <v>0.16108255515377085</v>
      </c>
      <c r="AQ12" s="126">
        <f t="shared" si="28"/>
        <v>9.4136710361400359E-7</v>
      </c>
      <c r="AR12" s="86">
        <f>$X$40/AQ12</f>
        <v>3.9757940723773949E-2</v>
      </c>
      <c r="AS12" s="110"/>
      <c r="AT12" s="133">
        <f t="shared" si="35"/>
        <v>-1.038713198416508E-6</v>
      </c>
      <c r="AU12" s="131">
        <f t="shared" si="37"/>
        <v>3.6031907134570502E-2</v>
      </c>
      <c r="AW12" s="110">
        <f t="shared" si="29"/>
        <v>1.0526315789473683E-4</v>
      </c>
      <c r="AX12" s="87">
        <f t="shared" si="36"/>
        <v>77.242270990023428</v>
      </c>
    </row>
    <row r="13" spans="2:50" ht="13.9" customHeight="1" x14ac:dyDescent="0.25">
      <c r="C13" s="102">
        <f t="shared" si="30"/>
        <v>1.6944444444444444</v>
      </c>
      <c r="D13" s="72">
        <v>125</v>
      </c>
      <c r="E13" s="72">
        <v>1.1279999999999999</v>
      </c>
      <c r="F13" s="72">
        <v>12.92</v>
      </c>
      <c r="G13" s="72">
        <v>10.7</v>
      </c>
      <c r="H13" s="72">
        <v>1600</v>
      </c>
      <c r="I13" s="72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2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38">
        <f t="shared" si="0"/>
        <v>138.244</v>
      </c>
      <c r="U13" s="87">
        <f t="shared" si="15"/>
        <v>133.79396</v>
      </c>
      <c r="V13">
        <f t="shared" si="16"/>
        <v>0.17942064382712</v>
      </c>
      <c r="W13" s="130">
        <f t="shared" si="23"/>
        <v>2.5128459236800915E-2</v>
      </c>
      <c r="X13" s="130">
        <f t="shared" si="24"/>
        <v>2.4471873571101331E-2</v>
      </c>
      <c r="Y13" s="86">
        <f t="shared" si="25"/>
        <v>2.9305304424653187</v>
      </c>
      <c r="Z13" s="127">
        <f t="shared" si="17"/>
        <v>49.205549148243286</v>
      </c>
      <c r="AA13" s="88">
        <f t="shared" si="32"/>
        <v>36.777107986222461</v>
      </c>
      <c r="AB13">
        <f t="shared" si="18"/>
        <v>33.581326052937335</v>
      </c>
      <c r="AC13" s="155">
        <f t="shared" si="19"/>
        <v>75.557983619108995</v>
      </c>
      <c r="AD13" s="155">
        <f t="shared" si="20"/>
        <v>95.993108859688135</v>
      </c>
      <c r="AE13" s="143">
        <f t="shared" si="26"/>
        <v>2.8585264533141235</v>
      </c>
      <c r="AF13" s="139">
        <f>$AS$33/($AE$41*$AE$46*$AE$40*($AB13-$AE$47)^2/4/$AE13)/(PI()*$AE$46/60/($AB13-$AE$47))</f>
        <v>-1.8659325492808581</v>
      </c>
      <c r="AG13" s="86">
        <f t="shared" si="39"/>
        <v>3.4722222222222223</v>
      </c>
      <c r="AH13" s="86">
        <f t="shared" si="40"/>
        <v>125</v>
      </c>
      <c r="AI13" s="87">
        <f t="shared" si="7"/>
        <v>39203.762160497106</v>
      </c>
      <c r="AJ13" s="87">
        <f t="shared" si="21"/>
        <v>85.077608855245458</v>
      </c>
      <c r="AK13" s="87">
        <f t="shared" si="8"/>
        <v>73.141483627373418</v>
      </c>
      <c r="AL13" s="87">
        <f t="shared" si="9"/>
        <v>85.032963627992174</v>
      </c>
      <c r="AM13" s="88">
        <f t="shared" si="33"/>
        <v>73.141483627373418</v>
      </c>
      <c r="AN13" s="154">
        <f t="shared" si="10"/>
        <v>33703.595655493671</v>
      </c>
      <c r="AO13" s="110">
        <f t="shared" si="27"/>
        <v>2.3762007679769385E-2</v>
      </c>
      <c r="AP13" s="110">
        <f t="shared" si="34"/>
        <v>0.17737244812139846</v>
      </c>
      <c r="AQ13" s="126">
        <f t="shared" si="28"/>
        <v>9.5931143472705205E-7</v>
      </c>
      <c r="AR13" s="86">
        <f t="shared" si="38"/>
        <v>3.9014251420285827E-2</v>
      </c>
      <c r="AS13" s="110"/>
      <c r="AT13" s="133">
        <f t="shared" si="35"/>
        <v>-1.0693376429941808E-6</v>
      </c>
      <c r="AU13" s="116">
        <f t="shared" si="37"/>
        <v>3.4999999999999996E-2</v>
      </c>
      <c r="AW13" s="110">
        <f t="shared" si="29"/>
        <v>1.0526315789473683E-4</v>
      </c>
      <c r="AX13" s="87">
        <f t="shared" si="36"/>
        <v>75.797421240095076</v>
      </c>
    </row>
    <row r="14" spans="2:50" ht="13.9" customHeight="1" x14ac:dyDescent="0.25">
      <c r="C14" s="102">
        <f t="shared" si="30"/>
        <v>1.7222222222222223</v>
      </c>
      <c r="D14" s="72">
        <v>130</v>
      </c>
      <c r="E14" s="72">
        <v>1.1579999999999999</v>
      </c>
      <c r="F14" s="72">
        <v>12.87</v>
      </c>
      <c r="G14" s="72">
        <v>11.2</v>
      </c>
      <c r="H14" s="72">
        <v>1540</v>
      </c>
      <c r="I14" s="72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2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38">
        <f t="shared" si="0"/>
        <v>144.14399999999998</v>
      </c>
      <c r="U14" s="87">
        <f t="shared" si="15"/>
        <v>139.69395999999998</v>
      </c>
      <c r="V14">
        <f t="shared" si="16"/>
        <v>0.18733267362711997</v>
      </c>
      <c r="W14" s="130">
        <f t="shared" si="23"/>
        <v>2.5252694181833939E-2</v>
      </c>
      <c r="X14" s="130">
        <f t="shared" si="24"/>
        <v>2.4596108516134356E-2</v>
      </c>
      <c r="Y14" s="86">
        <f t="shared" si="25"/>
        <v>3.1633318994397097</v>
      </c>
      <c r="Z14" s="127">
        <f t="shared" ref="Z14:Z19" si="41">SQRT(Y14^3/4/$X$46/$X$47)</f>
        <v>55.183833729216865</v>
      </c>
      <c r="AA14" s="88">
        <f t="shared" si="32"/>
        <v>39.50337847764991</v>
      </c>
      <c r="AB14">
        <f t="shared" si="18"/>
        <v>34.889689405649172</v>
      </c>
      <c r="AC14" s="155">
        <f t="shared" si="19"/>
        <v>78.501801162710635</v>
      </c>
      <c r="AD14" s="155">
        <f t="shared" si="20"/>
        <v>97.620110704767598</v>
      </c>
      <c r="AE14" s="138">
        <f t="shared" si="26"/>
        <v>2.7979644521845879</v>
      </c>
      <c r="AF14" s="131"/>
      <c r="AG14" s="86">
        <f t="shared" si="39"/>
        <v>3.6111111111111112</v>
      </c>
      <c r="AH14" s="86">
        <f t="shared" si="40"/>
        <v>130</v>
      </c>
      <c r="AI14" s="87">
        <f t="shared" si="7"/>
        <v>39814.384655018715</v>
      </c>
      <c r="AJ14" s="87">
        <f t="shared" si="21"/>
        <v>86.402744477037146</v>
      </c>
      <c r="AK14" s="87">
        <f t="shared" si="8"/>
        <v>74.437182253711057</v>
      </c>
      <c r="AL14" s="87">
        <f t="shared" si="9"/>
        <v>86.353786395455103</v>
      </c>
      <c r="AM14" s="88">
        <f t="shared" si="33"/>
        <v>74.437182253711057</v>
      </c>
      <c r="AN14" s="154">
        <f t="shared" si="10"/>
        <v>34300.653582510058</v>
      </c>
      <c r="AO14" s="110">
        <f t="shared" si="27"/>
        <v>2.4350117493973571E-2</v>
      </c>
      <c r="AP14" s="110">
        <f t="shared" si="34"/>
        <v>0.18459347758948288</v>
      </c>
      <c r="AQ14" s="126">
        <f t="shared" si="28"/>
        <v>9.6695174581609167E-7</v>
      </c>
      <c r="AR14" s="86">
        <f t="shared" si="38"/>
        <v>3.8705982658119815E-2</v>
      </c>
      <c r="AS14" s="110"/>
      <c r="AT14" s="133">
        <f t="shared" si="35"/>
        <v>-1.1341660126845786E-6</v>
      </c>
      <c r="AU14" s="131">
        <f t="shared" si="37"/>
        <v>3.2999417268911799E-2</v>
      </c>
      <c r="AW14" s="110">
        <f t="shared" si="29"/>
        <v>1.0526315789473683E-4</v>
      </c>
      <c r="AX14" s="87">
        <f t="shared" si="36"/>
        <v>75.198512472902621</v>
      </c>
    </row>
    <row r="15" spans="2:50" ht="13.9" customHeight="1" x14ac:dyDescent="0.25">
      <c r="C15" s="102">
        <f>D15/180+1</f>
        <v>1.7777777777777777</v>
      </c>
      <c r="D15" s="72">
        <v>140</v>
      </c>
      <c r="E15" s="72">
        <v>1.2090000000000001</v>
      </c>
      <c r="F15" s="72">
        <v>12.75</v>
      </c>
      <c r="G15" s="72">
        <v>12.03</v>
      </c>
      <c r="H15" s="72">
        <v>1460</v>
      </c>
      <c r="I15" s="72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2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38">
        <f>J15</f>
        <v>153.38249999999999</v>
      </c>
      <c r="U15" s="87">
        <f t="shared" si="15"/>
        <v>148.93245999999999</v>
      </c>
      <c r="V15">
        <f t="shared" si="16"/>
        <v>0.19972170537412001</v>
      </c>
      <c r="W15" s="130">
        <f t="shared" si="23"/>
        <v>2.5524167651205371E-2</v>
      </c>
      <c r="X15" s="130">
        <f t="shared" si="24"/>
        <v>2.4867581985505788E-2</v>
      </c>
      <c r="Y15" s="86">
        <f t="shared" si="25"/>
        <v>3.5194961215571485</v>
      </c>
      <c r="Z15" s="127">
        <f t="shared" si="41"/>
        <v>64.761285917840539</v>
      </c>
      <c r="AA15" s="88">
        <f>Z15/U15*100</f>
        <v>43.483660927806163</v>
      </c>
      <c r="AB15">
        <f t="shared" si="18"/>
        <v>36.801453208698454</v>
      </c>
      <c r="AC15" s="155">
        <f>AB15*1/1.6/1000*3600</f>
        <v>82.803269719571503</v>
      </c>
      <c r="AD15" s="155">
        <f t="shared" si="20"/>
        <v>101.6397623220227</v>
      </c>
      <c r="AE15" s="138">
        <f>AD15/AB15</f>
        <v>2.7618409997461448</v>
      </c>
      <c r="AF15" s="131"/>
      <c r="AG15" s="86">
        <f t="shared" si="39"/>
        <v>3.8888888888888888</v>
      </c>
      <c r="AH15" s="86">
        <f t="shared" si="40"/>
        <v>140</v>
      </c>
      <c r="AI15" s="87">
        <f t="shared" si="7"/>
        <v>40968.162625439392</v>
      </c>
      <c r="AJ15" s="87">
        <f t="shared" si="21"/>
        <v>88.906602919790345</v>
      </c>
      <c r="AK15" s="87">
        <f t="shared" si="8"/>
        <v>76.885419167328067</v>
      </c>
      <c r="AL15" s="87">
        <f t="shared" si="9"/>
        <v>88.849495652158367</v>
      </c>
      <c r="AM15" s="88">
        <f t="shared" si="33"/>
        <v>76.885419167328067</v>
      </c>
      <c r="AN15" s="154">
        <f t="shared" si="10"/>
        <v>35428.801152304775</v>
      </c>
      <c r="AO15" s="110">
        <f t="shared" si="27"/>
        <v>2.5474093347173737E-2</v>
      </c>
      <c r="AP15" s="110">
        <f>AI15*AO15/5252</f>
        <v>0.19871035776516324</v>
      </c>
      <c r="AQ15" s="126">
        <f t="shared" si="28"/>
        <v>9.8138819829005542E-7</v>
      </c>
      <c r="AR15" s="86">
        <f>$X$40/AQ15</f>
        <v>3.8136608500089784E-2</v>
      </c>
      <c r="AS15" s="110"/>
      <c r="AT15" s="133">
        <f t="shared" si="35"/>
        <v>-1.2288923976203212E-6</v>
      </c>
      <c r="AU15" s="131">
        <f t="shared" si="37"/>
        <v>3.0455731988635607E-2</v>
      </c>
      <c r="AW15" s="110">
        <f t="shared" si="29"/>
        <v>1.0526315789473683E-4</v>
      </c>
      <c r="AX15" s="87">
        <f t="shared" si="36"/>
        <v>74.092324571601836</v>
      </c>
    </row>
    <row r="16" spans="2:50" ht="13.9" customHeight="1" x14ac:dyDescent="0.25">
      <c r="C16" s="102">
        <f>D16/180+1</f>
        <v>1.8055555555555556</v>
      </c>
      <c r="D16" s="72">
        <v>145</v>
      </c>
      <c r="E16" s="72">
        <v>1.248</v>
      </c>
      <c r="F16" s="72">
        <v>12.87</v>
      </c>
      <c r="G16" s="72">
        <v>12.77</v>
      </c>
      <c r="H16" s="72">
        <v>1410</v>
      </c>
      <c r="I16" s="72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2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38">
        <f>J16</f>
        <v>164.34989999999999</v>
      </c>
      <c r="U16" s="87">
        <f t="shared" si="15"/>
        <v>159.89985999999999</v>
      </c>
      <c r="V16">
        <f t="shared" si="16"/>
        <v>0.21442923005691999</v>
      </c>
      <c r="W16" s="130">
        <f t="shared" si="23"/>
        <v>2.6465284432085175E-2</v>
      </c>
      <c r="X16" s="130">
        <f t="shared" si="24"/>
        <v>2.5808698766385592E-2</v>
      </c>
      <c r="Y16" s="86">
        <f t="shared" si="25"/>
        <v>3.7735314786535983</v>
      </c>
      <c r="Z16" s="127">
        <f t="shared" si="41"/>
        <v>71.897980684079002</v>
      </c>
      <c r="AA16" s="88">
        <f>Z16/U16*100</f>
        <v>44.964380008887439</v>
      </c>
      <c r="AB16">
        <f t="shared" si="18"/>
        <v>38.106469279928895</v>
      </c>
      <c r="AC16" s="155">
        <f>AB16*1/1.6/1000*3600</f>
        <v>85.739555879840012</v>
      </c>
      <c r="AD16" s="155">
        <f t="shared" si="20"/>
        <v>105.35829021185282</v>
      </c>
      <c r="AE16" s="138">
        <f>AD16/AB16</f>
        <v>2.7648399918106876</v>
      </c>
      <c r="AF16" s="131"/>
      <c r="AG16" s="86">
        <f t="shared" si="39"/>
        <v>4.0277777777777777</v>
      </c>
      <c r="AH16" s="86">
        <f t="shared" si="40"/>
        <v>145</v>
      </c>
      <c r="AI16" s="87">
        <f t="shared" si="7"/>
        <v>41514.495099187916</v>
      </c>
      <c r="AJ16" s="87">
        <f t="shared" si="21"/>
        <v>90.092220267334881</v>
      </c>
      <c r="AK16" s="87">
        <f t="shared" si="8"/>
        <v>78.044698823925387</v>
      </c>
      <c r="AL16" s="87">
        <f t="shared" si="9"/>
        <v>90.031254228702039</v>
      </c>
      <c r="AM16" s="88">
        <f t="shared" si="33"/>
        <v>78.044698823925387</v>
      </c>
      <c r="AN16" s="154">
        <f t="shared" si="10"/>
        <v>35962.997218064818</v>
      </c>
      <c r="AO16" s="110">
        <f t="shared" si="27"/>
        <v>2.601212492442927E-2</v>
      </c>
      <c r="AP16" s="110">
        <f>AI16*AO16/5252</f>
        <v>0.20561314407743386</v>
      </c>
      <c r="AQ16" s="126">
        <f t="shared" si="28"/>
        <v>9.8822409132533155E-7</v>
      </c>
      <c r="AR16" s="86">
        <f>$X$40/AQ16</f>
        <v>3.7872804188169816E-2</v>
      </c>
      <c r="AS16" s="110"/>
      <c r="AT16" s="133">
        <f t="shared" si="35"/>
        <v>-1.2935549121597903E-6</v>
      </c>
      <c r="AU16" s="131">
        <f t="shared" si="37"/>
        <v>2.8933303992720691E-2</v>
      </c>
      <c r="AW16" s="110">
        <f t="shared" si="29"/>
        <v>1.0526315789473683E-4</v>
      </c>
      <c r="AX16" s="87">
        <f t="shared" si="36"/>
        <v>73.579801946468137</v>
      </c>
    </row>
    <row r="17" spans="1:50" ht="13.9" customHeight="1" x14ac:dyDescent="0.25">
      <c r="C17" s="102">
        <f t="shared" si="30"/>
        <v>1.8611111111111112</v>
      </c>
      <c r="D17" s="72">
        <v>155</v>
      </c>
      <c r="E17" s="72">
        <v>1.298</v>
      </c>
      <c r="F17" s="72">
        <v>12.77</v>
      </c>
      <c r="G17" s="72">
        <v>14.39</v>
      </c>
      <c r="H17" s="72">
        <v>1350</v>
      </c>
      <c r="I17" s="72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2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38">
        <f t="shared" si="0"/>
        <v>183.7603</v>
      </c>
      <c r="U17" s="87">
        <f t="shared" si="15"/>
        <v>179.31026</v>
      </c>
      <c r="V17">
        <f t="shared" si="16"/>
        <v>0.24045900348572002</v>
      </c>
      <c r="W17" s="130">
        <f t="shared" si="23"/>
        <v>2.8415040441907537E-2</v>
      </c>
      <c r="X17" s="130">
        <f t="shared" si="24"/>
        <v>2.7758454776207954E-2</v>
      </c>
      <c r="Y17" s="86">
        <f t="shared" si="25"/>
        <v>4.1164103883189131</v>
      </c>
      <c r="Z17" s="127">
        <f t="shared" si="41"/>
        <v>81.916752247606425</v>
      </c>
      <c r="AA17" s="88">
        <f t="shared" si="32"/>
        <v>45.684364211845114</v>
      </c>
      <c r="AB17">
        <f t="shared" si="18"/>
        <v>39.800090136814624</v>
      </c>
      <c r="AC17" s="155">
        <f t="shared" si="19"/>
        <v>89.550202807832903</v>
      </c>
      <c r="AD17" s="155">
        <f t="shared" si="20"/>
        <v>109.35923794141685</v>
      </c>
      <c r="AE17" s="138">
        <f t="shared" si="26"/>
        <v>2.7477133233992559</v>
      </c>
      <c r="AF17" s="131"/>
      <c r="AG17" s="86">
        <f t="shared" si="39"/>
        <v>4.3055555555555554</v>
      </c>
      <c r="AH17" s="86">
        <f t="shared" si="40"/>
        <v>155</v>
      </c>
      <c r="AI17" s="87">
        <f t="shared" si="7"/>
        <v>42552.804966229378</v>
      </c>
      <c r="AJ17" s="87">
        <f t="shared" si="21"/>
        <v>92.34549688851861</v>
      </c>
      <c r="AK17" s="87">
        <f t="shared" si="8"/>
        <v>80.247920422390152</v>
      </c>
      <c r="AL17" s="87">
        <f t="shared" si="9"/>
        <v>92.27719722027858</v>
      </c>
      <c r="AM17" s="88">
        <f t="shared" si="33"/>
        <v>80.247920422390152</v>
      </c>
      <c r="AN17" s="154">
        <f t="shared" si="10"/>
        <v>36978.241730637383</v>
      </c>
      <c r="AO17" s="110">
        <f t="shared" si="27"/>
        <v>2.7044952442657005E-2</v>
      </c>
      <c r="AP17" s="110">
        <f t="shared" si="34"/>
        <v>0.21912387406956063</v>
      </c>
      <c r="AQ17" s="126">
        <f t="shared" si="28"/>
        <v>1.0012157686090697E-6</v>
      </c>
      <c r="AR17" s="86">
        <f t="shared" si="38"/>
        <v>3.7381370408090163E-2</v>
      </c>
      <c r="AS17" s="110"/>
      <c r="AT17" s="133">
        <f t="shared" si="35"/>
        <v>-1.3774724865843461E-6</v>
      </c>
      <c r="AU17" s="131">
        <f t="shared" si="37"/>
        <v>2.7170646143068779E-2</v>
      </c>
      <c r="AW17" s="110">
        <f t="shared" si="29"/>
        <v>1.0526315789473683E-4</v>
      </c>
      <c r="AX17" s="87">
        <f t="shared" si="36"/>
        <v>72.625037677405643</v>
      </c>
    </row>
    <row r="18" spans="1:50" ht="13.9" customHeight="1" x14ac:dyDescent="0.25">
      <c r="C18" s="102">
        <f>D18/180+1</f>
        <v>1.9222222222222223</v>
      </c>
      <c r="D18" s="72">
        <v>166</v>
      </c>
      <c r="E18" s="72">
        <v>1.3580000000000001</v>
      </c>
      <c r="F18" s="72">
        <v>12.58</v>
      </c>
      <c r="G18" s="72">
        <v>16.38</v>
      </c>
      <c r="H18" s="72">
        <v>1320</v>
      </c>
      <c r="I18" s="72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2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38">
        <f>J18</f>
        <v>206.06039999999999</v>
      </c>
      <c r="U18" s="87">
        <f t="shared" si="15"/>
        <v>201.61035999999999</v>
      </c>
      <c r="V18">
        <f t="shared" si="16"/>
        <v>0.27036392818791999</v>
      </c>
      <c r="W18" s="130">
        <f t="shared" si="23"/>
        <v>3.1238929718545028E-2</v>
      </c>
      <c r="X18" s="130">
        <f t="shared" si="24"/>
        <v>3.0582344052845444E-2</v>
      </c>
      <c r="Y18" s="116">
        <f>$Z$45</f>
        <v>4.4249528005034611</v>
      </c>
      <c r="Z18" s="127">
        <f t="shared" si="41"/>
        <v>91.297248929319878</v>
      </c>
      <c r="AA18" s="88">
        <f>Z18/U18*100</f>
        <v>45.284006699516773</v>
      </c>
      <c r="AB18">
        <f t="shared" si="18"/>
        <v>41.264733453849395</v>
      </c>
      <c r="AC18" s="155">
        <f>AB18*1/1.6/1000*3600</f>
        <v>92.845650271161119</v>
      </c>
      <c r="AD18" s="155">
        <f t="shared" si="20"/>
        <v>113.67604996542015</v>
      </c>
      <c r="AE18" s="145">
        <f>AD18/AB18</f>
        <v>2.7547990850966189</v>
      </c>
      <c r="AF18" s="131"/>
      <c r="AG18" s="86">
        <f t="shared" si="39"/>
        <v>4.6111111111111116</v>
      </c>
      <c r="AH18" s="86">
        <f t="shared" si="40"/>
        <v>166</v>
      </c>
      <c r="AI18" s="87">
        <f t="shared" si="7"/>
        <v>43620.248826836629</v>
      </c>
      <c r="AJ18" s="87">
        <f t="shared" si="21"/>
        <v>94.661998322128099</v>
      </c>
      <c r="AK18" s="87">
        <f t="shared" si="8"/>
        <v>82.512962336650034</v>
      </c>
      <c r="AL18" s="87">
        <f t="shared" si="9"/>
        <v>94.586159249565085</v>
      </c>
      <c r="AM18" s="88">
        <f t="shared" si="33"/>
        <v>82.512962336650034</v>
      </c>
      <c r="AN18" s="154">
        <f t="shared" si="10"/>
        <v>38021.973044728336</v>
      </c>
      <c r="AO18" s="110">
        <f t="shared" si="27"/>
        <v>2.8120822570969206E-2</v>
      </c>
      <c r="AP18" s="110">
        <f>AI18*AO18/5252</f>
        <v>0.23355622196515621</v>
      </c>
      <c r="AQ18" s="126">
        <f t="shared" si="28"/>
        <v>1.014571980078996E-6</v>
      </c>
      <c r="AR18" s="86">
        <f>$X$40/AQ18</f>
        <v>3.6889267828865355E-2</v>
      </c>
      <c r="AS18" s="110"/>
      <c r="AT18" s="133">
        <f t="shared" si="35"/>
        <v>-1.4500444049467012E-6</v>
      </c>
      <c r="AU18" s="131">
        <f t="shared" si="37"/>
        <v>2.5810807846379027E-2</v>
      </c>
      <c r="AW18" s="110">
        <f t="shared" si="29"/>
        <v>1.0526315789473683E-4</v>
      </c>
      <c r="AX18" s="87">
        <f t="shared" si="36"/>
        <v>71.668974056217053</v>
      </c>
    </row>
    <row r="19" spans="1:50" ht="13.9" customHeight="1" x14ac:dyDescent="0.25">
      <c r="A19">
        <f>E19*5/3.3</f>
        <v>2.1015151515151516</v>
      </c>
      <c r="C19" s="102">
        <f t="shared" si="30"/>
        <v>2</v>
      </c>
      <c r="D19" s="72">
        <v>180</v>
      </c>
      <c r="E19" s="72">
        <v>1.387</v>
      </c>
      <c r="F19" s="72">
        <v>12.5</v>
      </c>
      <c r="G19" s="72">
        <v>17.559999999999999</v>
      </c>
      <c r="H19" s="72">
        <v>1280</v>
      </c>
      <c r="I19" s="72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2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38">
        <f t="shared" si="0"/>
        <v>219.49999999999997</v>
      </c>
      <c r="U19" s="87">
        <f t="shared" si="15"/>
        <v>215.04995999999997</v>
      </c>
      <c r="V19">
        <f t="shared" si="16"/>
        <v>0.28838672745911997</v>
      </c>
      <c r="W19" s="130">
        <f t="shared" si="23"/>
        <v>3.2311617975793024E-2</v>
      </c>
      <c r="X19" s="130">
        <f t="shared" si="24"/>
        <v>3.1655032310093437E-2</v>
      </c>
      <c r="Y19" s="116">
        <f>$Z$45</f>
        <v>4.4249528005034611</v>
      </c>
      <c r="Z19" s="127">
        <f t="shared" si="41"/>
        <v>91.297248929319878</v>
      </c>
      <c r="AA19" s="88">
        <f t="shared" si="32"/>
        <v>42.453971593075345</v>
      </c>
      <c r="AB19">
        <f t="shared" si="18"/>
        <v>41.264733453849395</v>
      </c>
      <c r="AC19" s="155">
        <f>AB19*1/1.6/1000*3600</f>
        <v>92.845650271161119</v>
      </c>
      <c r="AD19" s="155">
        <f t="shared" si="20"/>
        <v>116.74837564016123</v>
      </c>
      <c r="AE19" s="145">
        <f t="shared" si="26"/>
        <v>2.8292531144235542</v>
      </c>
      <c r="AF19" s="131"/>
      <c r="AG19" s="86">
        <f t="shared" si="39"/>
        <v>5</v>
      </c>
      <c r="AH19" s="86">
        <f t="shared" si="40"/>
        <v>180</v>
      </c>
      <c r="AI19" s="87">
        <f t="shared" si="7"/>
        <v>44880.846275693781</v>
      </c>
      <c r="AJ19" s="87">
        <f t="shared" si="21"/>
        <v>97.397669869127128</v>
      </c>
      <c r="AK19" s="87">
        <f t="shared" si="8"/>
        <v>85.187862782511587</v>
      </c>
      <c r="AL19" s="87">
        <f t="shared" si="9"/>
        <v>97.312927139701031</v>
      </c>
      <c r="AM19" s="88">
        <f t="shared" si="33"/>
        <v>85.187862782511587</v>
      </c>
      <c r="AN19" s="154">
        <f t="shared" si="10"/>
        <v>39254.567170181341</v>
      </c>
      <c r="AO19" s="110">
        <f t="shared" si="27"/>
        <v>2.9409731130840132E-2</v>
      </c>
      <c r="AP19" s="110">
        <f t="shared" si="34"/>
        <v>0.25132018695596375</v>
      </c>
      <c r="AQ19" s="126">
        <f t="shared" si="28"/>
        <v>1.0303449932806531E-6</v>
      </c>
      <c r="AR19" s="86">
        <f t="shared" si="38"/>
        <v>3.6324549300354322E-2</v>
      </c>
      <c r="AS19" s="110"/>
      <c r="AT19" s="133">
        <f t="shared" si="35"/>
        <v>-1.4500444049467012E-6</v>
      </c>
      <c r="AU19" s="131">
        <f t="shared" si="37"/>
        <v>2.5810807846379027E-2</v>
      </c>
      <c r="AW19" s="110">
        <f t="shared" si="29"/>
        <v>1.0526315789473683E-4</v>
      </c>
      <c r="AX19" s="87">
        <f t="shared" si="36"/>
        <v>70.571831175618797</v>
      </c>
    </row>
    <row r="20" spans="1:50" ht="13.9" customHeight="1" thickBot="1" x14ac:dyDescent="0.3">
      <c r="C20" s="103">
        <f t="shared" si="30"/>
        <v>2</v>
      </c>
      <c r="D20" s="104">
        <v>180</v>
      </c>
      <c r="E20" s="104"/>
      <c r="F20" s="104"/>
      <c r="G20" s="104"/>
      <c r="H20" s="104"/>
      <c r="I20" s="104"/>
      <c r="O20" s="3"/>
      <c r="P20" s="3"/>
      <c r="Q20" s="3"/>
      <c r="R20" s="3"/>
      <c r="T20" s="4"/>
      <c r="AC20" s="4"/>
      <c r="AD20" s="88"/>
      <c r="AG20" s="86"/>
      <c r="AH20" s="86"/>
      <c r="AI20" s="87"/>
      <c r="AJ20" s="87"/>
      <c r="AK20" s="87"/>
      <c r="AL20" s="87"/>
      <c r="AO20" s="110"/>
      <c r="AP20" s="110"/>
      <c r="AQ20" s="126"/>
      <c r="AR20" s="86"/>
      <c r="AS20" s="110"/>
      <c r="AU20" s="126"/>
      <c r="AV20" s="86"/>
      <c r="AW20" s="111"/>
      <c r="AX20" s="87"/>
    </row>
    <row r="21" spans="1:50" ht="13.9" customHeight="1" x14ac:dyDescent="0.25"/>
    <row r="22" spans="1:50" ht="13.9" customHeight="1" x14ac:dyDescent="0.25">
      <c r="C22" s="106">
        <f t="shared" si="30"/>
        <v>1.05</v>
      </c>
      <c r="D22" s="72">
        <v>9</v>
      </c>
      <c r="E22" s="105"/>
      <c r="F22" s="72">
        <v>13.8</v>
      </c>
      <c r="G22" s="72">
        <v>0.42399999999999999</v>
      </c>
      <c r="H22" s="72">
        <v>6160</v>
      </c>
      <c r="I22" s="105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30">
        <f t="shared" ref="W22:W30" si="51">$V22/$O22*5252</f>
        <v>4.230922058383821E-3</v>
      </c>
      <c r="X22" s="130">
        <f t="shared" ref="X22:X30" si="52">W22-$W$4</f>
        <v>3.5743363926842367E-3</v>
      </c>
      <c r="AN22" s="137" t="s">
        <v>205</v>
      </c>
      <c r="AO22" s="137"/>
      <c r="AP22" s="137"/>
      <c r="AQ22" s="137"/>
      <c r="AR22" s="137"/>
    </row>
    <row r="23" spans="1:50" ht="13.9" customHeight="1" x14ac:dyDescent="0.25">
      <c r="C23" s="106">
        <f t="shared" si="30"/>
        <v>1.0722222222222222</v>
      </c>
      <c r="D23" s="72">
        <v>13</v>
      </c>
      <c r="E23" s="105"/>
      <c r="F23" s="72">
        <v>13.8</v>
      </c>
      <c r="G23" s="72">
        <v>0.56499999999999995</v>
      </c>
      <c r="H23" s="72">
        <v>5080</v>
      </c>
      <c r="I23" s="105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30">
        <f t="shared" si="51"/>
        <v>4.6494396639814237E-3</v>
      </c>
      <c r="X23" s="130">
        <f t="shared" si="52"/>
        <v>3.9928539982818393E-3</v>
      </c>
      <c r="AM23" s="5" t="s">
        <v>118</v>
      </c>
      <c r="AN23" s="137" t="s">
        <v>89</v>
      </c>
      <c r="AO23" s="137" t="s">
        <v>125</v>
      </c>
      <c r="AP23" s="137" t="s">
        <v>126</v>
      </c>
      <c r="AQ23" s="137" t="s">
        <v>117</v>
      </c>
      <c r="AR23" s="137" t="s">
        <v>150</v>
      </c>
      <c r="AS23" s="137" t="s">
        <v>159</v>
      </c>
    </row>
    <row r="24" spans="1:50" ht="13.9" customHeight="1" x14ac:dyDescent="0.25">
      <c r="C24" s="106">
        <f t="shared" si="30"/>
        <v>1.1444444444444444</v>
      </c>
      <c r="D24" s="72">
        <v>26</v>
      </c>
      <c r="E24" s="105"/>
      <c r="F24" s="72">
        <v>13.75</v>
      </c>
      <c r="G24" s="72">
        <v>1.32</v>
      </c>
      <c r="H24" s="72">
        <v>3180</v>
      </c>
      <c r="I24" s="105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30">
        <f t="shared" si="51"/>
        <v>6.7750595849508004E-3</v>
      </c>
      <c r="X24" s="130">
        <f t="shared" si="52"/>
        <v>6.1184739192512161E-3</v>
      </c>
      <c r="AM24" s="5"/>
      <c r="AN24" s="137"/>
      <c r="AO24" s="137" t="s">
        <v>138</v>
      </c>
      <c r="AP24" s="137" t="s">
        <v>139</v>
      </c>
      <c r="AQ24" s="137"/>
      <c r="AR24" s="137"/>
      <c r="AS24" s="137"/>
    </row>
    <row r="25" spans="1:50" ht="13.9" customHeight="1" thickBot="1" x14ac:dyDescent="0.3">
      <c r="C25" s="106">
        <f t="shared" si="30"/>
        <v>1.2</v>
      </c>
      <c r="D25" s="72">
        <v>36</v>
      </c>
      <c r="E25" s="105"/>
      <c r="F25" s="72">
        <v>13.71</v>
      </c>
      <c r="G25" s="72">
        <v>2.08</v>
      </c>
      <c r="H25" s="72">
        <v>2650</v>
      </c>
      <c r="I25" s="105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30">
        <f t="shared" si="51"/>
        <v>8.8706620372876483E-3</v>
      </c>
      <c r="X25" s="130">
        <f t="shared" si="52"/>
        <v>8.2140763715880631E-3</v>
      </c>
      <c r="AD25" s="5" t="s">
        <v>52</v>
      </c>
      <c r="AE25" s="5"/>
      <c r="AF25" s="5"/>
      <c r="AG25" s="5"/>
      <c r="AM25" s="5">
        <f t="shared" ref="AM25:AM33" si="53">AN25*$AE$30</f>
        <v>7372.8</v>
      </c>
      <c r="AN25" s="137">
        <v>16</v>
      </c>
      <c r="AO25" s="137">
        <v>3.3218574470251366E-4</v>
      </c>
      <c r="AP25" s="137">
        <v>7.3801227827272476E-4</v>
      </c>
      <c r="AQ25" s="152">
        <v>0.34399999999999997</v>
      </c>
      <c r="AR25" s="165">
        <f t="shared" ref="AR25:AR33" si="54">$AE$45/AQ25</f>
        <v>1.0879888809533816E-7</v>
      </c>
      <c r="AS25" s="137" t="s">
        <v>187</v>
      </c>
    </row>
    <row r="26" spans="1:50" ht="13.9" customHeight="1" x14ac:dyDescent="0.25">
      <c r="C26" s="106">
        <f t="shared" si="30"/>
        <v>1.3111111111111111</v>
      </c>
      <c r="D26" s="72">
        <v>56</v>
      </c>
      <c r="E26" s="105"/>
      <c r="F26" s="72">
        <v>13.6</v>
      </c>
      <c r="G26" s="72">
        <v>3.8</v>
      </c>
      <c r="H26" s="72">
        <v>2070</v>
      </c>
      <c r="I26" s="105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30">
        <f t="shared" si="51"/>
        <v>1.255747204905024E-2</v>
      </c>
      <c r="X26" s="130">
        <f t="shared" si="52"/>
        <v>1.1900886383350654E-2</v>
      </c>
      <c r="AD26" s="61" t="s">
        <v>15</v>
      </c>
      <c r="AE26" s="62">
        <f>X51</f>
        <v>5</v>
      </c>
      <c r="AF26" s="63"/>
      <c r="AG26" s="29"/>
      <c r="AI26" s="17" t="s">
        <v>120</v>
      </c>
      <c r="AJ26" s="28"/>
      <c r="AK26" s="28"/>
      <c r="AL26" s="29"/>
      <c r="AM26" s="5">
        <f t="shared" si="53"/>
        <v>9216</v>
      </c>
      <c r="AN26" s="137">
        <v>20</v>
      </c>
      <c r="AO26" s="137">
        <v>7.4483427705766901E-4</v>
      </c>
      <c r="AP26" s="137">
        <v>6.978697406499287E-4</v>
      </c>
      <c r="AQ26" s="152">
        <v>0.27100000000000002</v>
      </c>
      <c r="AR26" s="165">
        <f t="shared" si="54"/>
        <v>1.3810633765607499E-7</v>
      </c>
      <c r="AS26" s="137" t="s">
        <v>187</v>
      </c>
    </row>
    <row r="27" spans="1:50" ht="13.9" customHeight="1" x14ac:dyDescent="0.25">
      <c r="C27" s="106">
        <f t="shared" si="30"/>
        <v>1.3555555555555556</v>
      </c>
      <c r="D27" s="72">
        <v>64</v>
      </c>
      <c r="E27" s="105"/>
      <c r="F27" s="72">
        <v>13.55</v>
      </c>
      <c r="G27" s="72">
        <v>4.38</v>
      </c>
      <c r="H27" s="72">
        <v>2000</v>
      </c>
      <c r="I27" s="105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30">
        <f t="shared" si="51"/>
        <v>1.39332609562952E-2</v>
      </c>
      <c r="X27" s="130">
        <f t="shared" si="52"/>
        <v>1.3276675290595615E-2</v>
      </c>
      <c r="AD27" s="64" t="s">
        <v>14</v>
      </c>
      <c r="AE27" s="65">
        <f>X50</f>
        <v>0</v>
      </c>
      <c r="AF27" s="45"/>
      <c r="AG27" s="31"/>
      <c r="AI27" s="19" t="s">
        <v>114</v>
      </c>
      <c r="AJ27" s="30">
        <v>25</v>
      </c>
      <c r="AK27" s="30" t="s">
        <v>83</v>
      </c>
      <c r="AL27" s="31"/>
      <c r="AM27" s="5">
        <f t="shared" si="53"/>
        <v>11520</v>
      </c>
      <c r="AN27" s="137">
        <v>25</v>
      </c>
      <c r="AO27" s="137">
        <v>1.8196732395486779E-3</v>
      </c>
      <c r="AP27" s="137">
        <v>8.2156541787077825E-4</v>
      </c>
      <c r="AQ27" s="152">
        <v>0.185</v>
      </c>
      <c r="AR27" s="165">
        <f t="shared" si="54"/>
        <v>2.0230712164754772E-7</v>
      </c>
      <c r="AS27" s="137" t="s">
        <v>187</v>
      </c>
    </row>
    <row r="28" spans="1:50" ht="13.9" customHeight="1" x14ac:dyDescent="0.25">
      <c r="C28" s="106">
        <f t="shared" si="30"/>
        <v>1.4944444444444445</v>
      </c>
      <c r="D28" s="72">
        <v>89</v>
      </c>
      <c r="E28" s="105"/>
      <c r="F28" s="72">
        <v>13.42</v>
      </c>
      <c r="G28" s="72">
        <v>6.3</v>
      </c>
      <c r="H28" s="72">
        <v>1760</v>
      </c>
      <c r="I28" s="105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30">
        <f t="shared" si="51"/>
        <v>1.7466870597880702E-2</v>
      </c>
      <c r="X28" s="130">
        <f t="shared" si="52"/>
        <v>1.6810284932181119E-2</v>
      </c>
      <c r="AB28" s="127"/>
      <c r="AD28" s="64" t="s">
        <v>17</v>
      </c>
      <c r="AE28" s="65">
        <f>AA35</f>
        <v>5</v>
      </c>
      <c r="AF28" s="30"/>
      <c r="AG28" s="31"/>
      <c r="AI28" s="19" t="s">
        <v>130</v>
      </c>
      <c r="AJ28" s="30">
        <v>2.1797</v>
      </c>
      <c r="AK28" s="30" t="s">
        <v>84</v>
      </c>
      <c r="AL28" s="31"/>
      <c r="AM28" s="5">
        <f t="shared" si="53"/>
        <v>16588.8</v>
      </c>
      <c r="AN28" s="137">
        <v>36</v>
      </c>
      <c r="AO28" s="137">
        <v>7.5397784789642732E-3</v>
      </c>
      <c r="AP28" s="137">
        <v>2.7131440751281396E-3</v>
      </c>
      <c r="AQ28" s="152">
        <v>0.121</v>
      </c>
      <c r="AR28" s="165">
        <f t="shared" si="54"/>
        <v>3.0931254136195313E-7</v>
      </c>
      <c r="AS28" s="137" t="s">
        <v>187</v>
      </c>
    </row>
    <row r="29" spans="1:50" ht="13.9" customHeight="1" x14ac:dyDescent="0.25">
      <c r="C29" s="106">
        <f t="shared" si="30"/>
        <v>1.7944444444444443</v>
      </c>
      <c r="D29" s="72">
        <v>143</v>
      </c>
      <c r="E29" s="105"/>
      <c r="F29" s="72">
        <v>13.1</v>
      </c>
      <c r="G29" s="72">
        <v>11.7</v>
      </c>
      <c r="H29" s="72">
        <v>1430</v>
      </c>
      <c r="I29" s="105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30">
        <f t="shared" si="51"/>
        <v>2.5727794880141638E-2</v>
      </c>
      <c r="X29" s="130">
        <f t="shared" si="52"/>
        <v>2.5071209214442055E-2</v>
      </c>
      <c r="AC29" s="88"/>
      <c r="AD29" s="64" t="s">
        <v>16</v>
      </c>
      <c r="AE29" s="65">
        <f>AA34</f>
        <v>0</v>
      </c>
      <c r="AF29" s="30"/>
      <c r="AG29" s="31"/>
      <c r="AI29" s="19" t="s">
        <v>115</v>
      </c>
      <c r="AJ29" s="30">
        <f>($AJ$27/25.4)^2*$AJ$28/1000*2.2/3</f>
        <v>1.5484983053299442E-3</v>
      </c>
      <c r="AK29" s="30" t="s">
        <v>86</v>
      </c>
      <c r="AL29" s="157" t="s">
        <v>132</v>
      </c>
      <c r="AM29" s="5">
        <f t="shared" si="53"/>
        <v>20736</v>
      </c>
      <c r="AN29" s="137">
        <v>45</v>
      </c>
      <c r="AO29" s="137">
        <v>1.7146093021340732E-2</v>
      </c>
      <c r="AP29" s="137">
        <v>7.1180011608729891E-3</v>
      </c>
      <c r="AQ29" s="152">
        <v>9.6000000000000002E-2</v>
      </c>
      <c r="AR29" s="165">
        <f t="shared" si="54"/>
        <v>3.8986268234162836E-7</v>
      </c>
      <c r="AS29" s="137" t="s">
        <v>187</v>
      </c>
    </row>
    <row r="30" spans="1:50" ht="13.9" customHeight="1" x14ac:dyDescent="0.25">
      <c r="C30" s="106">
        <f t="shared" si="30"/>
        <v>1.9166666666666665</v>
      </c>
      <c r="D30" s="72">
        <v>165</v>
      </c>
      <c r="E30" s="105"/>
      <c r="F30" s="72">
        <v>12.72</v>
      </c>
      <c r="G30" s="72">
        <v>16.86</v>
      </c>
      <c r="H30" s="72">
        <v>1280</v>
      </c>
      <c r="I30" s="105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30">
        <f t="shared" si="51"/>
        <v>3.2222855292761705E-2</v>
      </c>
      <c r="X30" s="130">
        <f t="shared" si="52"/>
        <v>3.1566269627062118E-2</v>
      </c>
      <c r="AD30" s="64" t="s">
        <v>27</v>
      </c>
      <c r="AE30" s="65">
        <f>X44/100</f>
        <v>460.8</v>
      </c>
      <c r="AF30" s="30"/>
      <c r="AG30" s="31"/>
      <c r="AI30" s="19" t="s">
        <v>127</v>
      </c>
      <c r="AJ30" s="158">
        <f>3/8/2*25.4</f>
        <v>4.7624999999999993</v>
      </c>
      <c r="AK30" s="30" t="s">
        <v>83</v>
      </c>
      <c r="AL30" s="31" t="s">
        <v>128</v>
      </c>
      <c r="AM30" s="5">
        <f t="shared" si="53"/>
        <v>23040</v>
      </c>
      <c r="AN30" s="137">
        <v>50</v>
      </c>
      <c r="AO30" s="137">
        <v>2.4979887676232684E-2</v>
      </c>
      <c r="AP30" s="137">
        <v>1.1143313366134135E-2</v>
      </c>
      <c r="AQ30" s="152">
        <v>7.0999999999999994E-2</v>
      </c>
      <c r="AR30" s="165">
        <f t="shared" si="54"/>
        <v>5.2713827471544122E-7</v>
      </c>
      <c r="AS30" s="137" t="s">
        <v>187</v>
      </c>
    </row>
    <row r="31" spans="1:50" ht="13.9" customHeight="1" x14ac:dyDescent="0.25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4" t="s">
        <v>18</v>
      </c>
      <c r="AE31" s="65">
        <f>Z51</f>
        <v>180</v>
      </c>
      <c r="AF31" s="30"/>
      <c r="AG31" s="31"/>
      <c r="AI31" s="19" t="s">
        <v>129</v>
      </c>
      <c r="AJ31" s="158">
        <f>3/4*25.4</f>
        <v>19.049999999999997</v>
      </c>
      <c r="AK31" s="30" t="s">
        <v>83</v>
      </c>
      <c r="AL31" s="31" t="s">
        <v>128</v>
      </c>
      <c r="AM31" s="5">
        <f t="shared" si="53"/>
        <v>23961.600000000002</v>
      </c>
      <c r="AN31" s="137">
        <v>52</v>
      </c>
      <c r="AO31" s="137">
        <v>2.8687189497277076E-2</v>
      </c>
      <c r="AP31" s="137">
        <v>1.3128852647530663E-2</v>
      </c>
      <c r="AQ31" s="152">
        <v>6.4000000000000001E-2</v>
      </c>
      <c r="AR31" s="165">
        <f t="shared" si="54"/>
        <v>5.8479402351244256E-7</v>
      </c>
      <c r="AS31" s="137" t="s">
        <v>187</v>
      </c>
    </row>
    <row r="32" spans="1:50" ht="13.9" customHeight="1" thickBot="1" x14ac:dyDescent="0.3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4" t="s">
        <v>13</v>
      </c>
      <c r="AE32" s="65">
        <f>Z50</f>
        <v>0</v>
      </c>
      <c r="AF32" s="30"/>
      <c r="AG32" s="31"/>
      <c r="AI32" s="19" t="s">
        <v>131</v>
      </c>
      <c r="AJ32" s="30">
        <f>PI()*(AJ30/25.4)^2/4*3/4*0.3</f>
        <v>6.2126221909368446E-3</v>
      </c>
      <c r="AK32" s="30" t="s">
        <v>134</v>
      </c>
      <c r="AL32" s="31" t="s">
        <v>128</v>
      </c>
      <c r="AM32" s="5">
        <f t="shared" si="53"/>
        <v>25344</v>
      </c>
      <c r="AN32" s="137">
        <v>55</v>
      </c>
      <c r="AO32" s="137">
        <v>3.4912727705496999E-2</v>
      </c>
      <c r="AP32" s="137">
        <v>1.6549422883591874E-2</v>
      </c>
      <c r="AQ32" s="152">
        <v>5.6000000000000001E-2</v>
      </c>
      <c r="AR32" s="165">
        <f t="shared" si="54"/>
        <v>6.6833602687136296E-7</v>
      </c>
      <c r="AS32" s="137" t="s">
        <v>187</v>
      </c>
    </row>
    <row r="33" spans="2:50" ht="13.9" customHeight="1" x14ac:dyDescent="0.25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4" t="s">
        <v>108</v>
      </c>
      <c r="AE33" s="65">
        <f>X59</f>
        <v>0</v>
      </c>
      <c r="AF33" s="66">
        <f>X58</f>
        <v>28856.545332842587</v>
      </c>
      <c r="AG33" s="67">
        <f>X57</f>
        <v>296.43735274450484</v>
      </c>
      <c r="AI33" s="19" t="s">
        <v>121</v>
      </c>
      <c r="AJ33" s="30">
        <f>($AJ$30/25.4)^2*$AJ$32/2</f>
        <v>1.0920624945006168E-4</v>
      </c>
      <c r="AK33" s="30" t="s">
        <v>86</v>
      </c>
      <c r="AL33" s="31" t="s">
        <v>133</v>
      </c>
      <c r="AM33" s="5">
        <f t="shared" si="53"/>
        <v>28569.600000000002</v>
      </c>
      <c r="AN33" s="137">
        <v>62</v>
      </c>
      <c r="AO33" s="137">
        <v>5.2819357330458824E-2</v>
      </c>
      <c r="AP33" s="137">
        <v>2.6818816528704516E-2</v>
      </c>
      <c r="AQ33" s="116">
        <v>3.5000000000000003E-2</v>
      </c>
      <c r="AR33" s="165">
        <f t="shared" si="54"/>
        <v>1.0693376429941806E-6</v>
      </c>
      <c r="AS33" s="117">
        <f>-AR33/$AE$44</f>
        <v>-1.4495941088429112E-6</v>
      </c>
      <c r="AT33" s="126"/>
    </row>
    <row r="34" spans="2:50" x14ac:dyDescent="0.25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71</v>
      </c>
      <c r="Z34" s="24" t="s">
        <v>16</v>
      </c>
      <c r="AA34" s="25">
        <v>0</v>
      </c>
      <c r="AC34" s="30"/>
      <c r="AD34" s="64" t="s">
        <v>21</v>
      </c>
      <c r="AE34" s="65">
        <f>X61</f>
        <v>-35967.664913818211</v>
      </c>
      <c r="AF34" s="66">
        <f>X60</f>
        <v>15568.877907324113</v>
      </c>
      <c r="AG34" s="31"/>
      <c r="AI34" s="19" t="s">
        <v>85</v>
      </c>
      <c r="AJ34" s="30">
        <f>AJ29+AJ33</f>
        <v>1.6577045547800059E-3</v>
      </c>
      <c r="AK34" s="30" t="s">
        <v>86</v>
      </c>
      <c r="AL34" s="31"/>
    </row>
    <row r="35" spans="2:50" ht="13.9" customHeight="1" thickBot="1" x14ac:dyDescent="0.3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4" t="s">
        <v>109</v>
      </c>
      <c r="AE35" s="65">
        <f>AA60</f>
        <v>-4629.28132953776</v>
      </c>
      <c r="AF35" s="68">
        <f>AA59</f>
        <v>0.977785673428475</v>
      </c>
      <c r="AG35" s="31"/>
      <c r="AI35" s="19" t="s">
        <v>85</v>
      </c>
      <c r="AJ35" s="30">
        <f>AJ34/144</f>
        <v>1.1511837185972264E-5</v>
      </c>
      <c r="AK35" s="30" t="s">
        <v>87</v>
      </c>
      <c r="AL35" s="31"/>
    </row>
    <row r="36" spans="2:50" ht="13.9" customHeight="1" thickBot="1" x14ac:dyDescent="0.3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6" t="s">
        <v>63</v>
      </c>
      <c r="X36" s="20">
        <v>3.9899999999999998E-2</v>
      </c>
      <c r="Y36" t="s">
        <v>70</v>
      </c>
      <c r="AC36" s="30"/>
      <c r="AD36" s="64" t="s">
        <v>110</v>
      </c>
      <c r="AE36" s="65">
        <f>AA58</f>
        <v>4826.0670942612087</v>
      </c>
      <c r="AF36" s="68">
        <f>AA57</f>
        <v>1.0193904204377491</v>
      </c>
      <c r="AG36" s="31"/>
      <c r="AI36" s="21" t="s">
        <v>85</v>
      </c>
      <c r="AJ36" s="32">
        <f>AJ35/2048.5*6.66</f>
        <v>3.7426817504796325E-8</v>
      </c>
      <c r="AK36" s="32" t="s">
        <v>88</v>
      </c>
      <c r="AL36" s="33"/>
    </row>
    <row r="37" spans="2:50" ht="15" customHeight="1" x14ac:dyDescent="0.3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6" t="s">
        <v>64</v>
      </c>
      <c r="X37" s="112">
        <v>4.1999999999999996E-6</v>
      </c>
      <c r="Y37" t="s">
        <v>69</v>
      </c>
      <c r="AC37" s="85" t="s">
        <v>50</v>
      </c>
      <c r="AD37" s="64" t="s">
        <v>82</v>
      </c>
      <c r="AE37" s="109">
        <f>X67</f>
        <v>-4.2312897208109457E-3</v>
      </c>
      <c r="AF37" s="109">
        <f>X66</f>
        <v>4.6878096548586503E-7</v>
      </c>
      <c r="AG37" s="119">
        <f>X65</f>
        <v>6.2561657632881528E-12</v>
      </c>
    </row>
    <row r="38" spans="2:50" x14ac:dyDescent="0.25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6" t="s">
        <v>65</v>
      </c>
      <c r="X38" s="113">
        <f>X34*2*PI()/60</f>
        <v>502.6548245743669</v>
      </c>
      <c r="Y38" t="s">
        <v>67</v>
      </c>
      <c r="AD38" s="64" t="s">
        <v>116</v>
      </c>
      <c r="AE38" s="109">
        <f>AA67</f>
        <v>2.0111653701195102E-3</v>
      </c>
      <c r="AF38" s="109">
        <f>AA66</f>
        <v>-3.0709262345742761E-7</v>
      </c>
      <c r="AG38" s="119">
        <f>AA65</f>
        <v>1.4325144135226059E-11</v>
      </c>
      <c r="AH38" s="5"/>
      <c r="AI38" s="5"/>
      <c r="AJ38" s="5"/>
    </row>
    <row r="39" spans="2:50" x14ac:dyDescent="0.25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6" t="s">
        <v>66</v>
      </c>
      <c r="X39" s="115">
        <f>7/X38</f>
        <v>1.3926057520540842E-2</v>
      </c>
      <c r="Y39" t="s">
        <v>68</v>
      </c>
      <c r="AD39" s="64" t="s">
        <v>165</v>
      </c>
      <c r="AE39" s="68">
        <f>Y19</f>
        <v>4.4249528005034611</v>
      </c>
      <c r="AF39" s="30"/>
      <c r="AG39" s="31"/>
      <c r="AH39" s="5"/>
      <c r="AI39" s="5"/>
      <c r="AJ39" s="131"/>
    </row>
    <row r="40" spans="2:50" ht="15.75" thickBot="1" x14ac:dyDescent="0.3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14" t="s">
        <v>72</v>
      </c>
      <c r="X40" s="125">
        <f>AJ36</f>
        <v>3.7426817504796325E-8</v>
      </c>
      <c r="Y40" t="s">
        <v>73</v>
      </c>
      <c r="AA40" t="s">
        <v>99</v>
      </c>
      <c r="AD40" s="64" t="s">
        <v>164</v>
      </c>
      <c r="AE40" s="140">
        <f>$X$47</f>
        <v>2.1213604393365078E-3</v>
      </c>
      <c r="AF40" s="30"/>
      <c r="AG40" s="31"/>
      <c r="AH40" s="5"/>
      <c r="AI40" s="5"/>
      <c r="AJ40" s="131"/>
    </row>
    <row r="41" spans="2:50" ht="15.75" thickBot="1" x14ac:dyDescent="0.3">
      <c r="W41" t="s">
        <v>35</v>
      </c>
      <c r="AD41" s="64" t="s">
        <v>163</v>
      </c>
      <c r="AE41" s="140">
        <f>$X$46</f>
        <v>1.2250000000000001</v>
      </c>
      <c r="AF41" s="30"/>
      <c r="AG41" s="31"/>
      <c r="AH41" s="5"/>
      <c r="AI41" s="5"/>
      <c r="AJ41" s="131"/>
      <c r="AU41" t="s">
        <v>174</v>
      </c>
      <c r="AX41" t="s">
        <v>179</v>
      </c>
    </row>
    <row r="42" spans="2:50" ht="15.75" thickBot="1" x14ac:dyDescent="0.3">
      <c r="W42" s="34">
        <v>240</v>
      </c>
      <c r="X42" s="35" t="s">
        <v>34</v>
      </c>
      <c r="Y42" s="36"/>
      <c r="Z42" s="35"/>
      <c r="AA42" s="37"/>
      <c r="AB42" s="30"/>
      <c r="AD42" s="64" t="s">
        <v>166</v>
      </c>
      <c r="AE42" s="142">
        <f>$AF$13</f>
        <v>-1.8659325492808581</v>
      </c>
      <c r="AF42" s="30"/>
      <c r="AG42" s="31"/>
      <c r="AH42" s="5"/>
      <c r="AI42" s="5"/>
      <c r="AJ42" s="131"/>
      <c r="AU42" t="s">
        <v>172</v>
      </c>
      <c r="AV42" s="131"/>
      <c r="AW42" s="144" t="s">
        <v>175</v>
      </c>
      <c r="AX42" t="s">
        <v>176</v>
      </c>
    </row>
    <row r="43" spans="2:50" ht="15.75" thickBot="1" x14ac:dyDescent="0.3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4" t="s">
        <v>168</v>
      </c>
      <c r="AE43" s="84">
        <f>AE13</f>
        <v>2.8585264533141235</v>
      </c>
      <c r="AF43" s="30"/>
      <c r="AG43" s="31"/>
      <c r="AH43" s="5"/>
      <c r="AI43" s="5"/>
      <c r="AJ43" s="131"/>
      <c r="AU43" t="s">
        <v>173</v>
      </c>
      <c r="AX43" t="s">
        <v>177</v>
      </c>
    </row>
    <row r="44" spans="2:50" x14ac:dyDescent="0.25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34">
        <v>1.25</v>
      </c>
      <c r="Z44" s="28" t="s">
        <v>9</v>
      </c>
      <c r="AA44" s="135"/>
      <c r="AB44">
        <f>W42</f>
        <v>240</v>
      </c>
      <c r="AC44" t="s">
        <v>142</v>
      </c>
      <c r="AD44" s="64" t="s">
        <v>169</v>
      </c>
      <c r="AE44" s="142">
        <f>1/1.3556</f>
        <v>0.73768073177928595</v>
      </c>
      <c r="AF44" s="30"/>
      <c r="AG44" s="31"/>
      <c r="AH44" s="5"/>
      <c r="AI44" s="5"/>
      <c r="AJ44" s="131"/>
      <c r="AU44" t="s">
        <v>167</v>
      </c>
      <c r="AX44" t="s">
        <v>178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140</v>
      </c>
      <c r="X45" s="136">
        <f>450/454</f>
        <v>0.99118942731277537</v>
      </c>
      <c r="Y45" s="32" t="s">
        <v>141</v>
      </c>
      <c r="Z45" s="146">
        <f>X45/0.224</f>
        <v>4.4249528005034611</v>
      </c>
      <c r="AA45" s="33" t="s">
        <v>144</v>
      </c>
      <c r="AD45" s="64" t="s">
        <v>170</v>
      </c>
      <c r="AE45" s="159">
        <f>$X$40</f>
        <v>3.7426817504796325E-8</v>
      </c>
      <c r="AF45" s="30"/>
      <c r="AG45" s="31"/>
      <c r="AH45" s="5"/>
      <c r="AI45" s="5"/>
      <c r="AJ45" s="131"/>
      <c r="AU45" t="s">
        <v>180</v>
      </c>
      <c r="AV45" t="s">
        <v>183</v>
      </c>
    </row>
    <row r="46" spans="2:50" x14ac:dyDescent="0.25">
      <c r="C46" t="s">
        <v>51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146</v>
      </c>
      <c r="X46" s="5">
        <v>1.2250000000000001</v>
      </c>
      <c r="Y46" t="s">
        <v>147</v>
      </c>
      <c r="Z46" t="s">
        <v>155</v>
      </c>
      <c r="AD46" s="64" t="s">
        <v>185</v>
      </c>
      <c r="AE46" s="140">
        <f>AA47/1000</f>
        <v>5.5E-2</v>
      </c>
      <c r="AF46" s="30"/>
      <c r="AG46" s="31"/>
      <c r="AH46" s="5"/>
      <c r="AI46" s="5"/>
      <c r="AJ46" s="131"/>
      <c r="AU46" t="s">
        <v>181</v>
      </c>
      <c r="AW46" s="144" t="s">
        <v>182</v>
      </c>
      <c r="AX46" t="s">
        <v>200</v>
      </c>
    </row>
    <row r="47" spans="2:50" x14ac:dyDescent="0.25">
      <c r="C47" t="s">
        <v>47</v>
      </c>
      <c r="D47" s="6" t="s">
        <v>48</v>
      </c>
      <c r="E47" s="6" t="s">
        <v>49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148</v>
      </c>
      <c r="X47" s="137">
        <f>(55^2-18^2)*PI()/4/1000^2</f>
        <v>2.1213604393365078E-3</v>
      </c>
      <c r="Y47" t="s">
        <v>149</v>
      </c>
      <c r="Z47" t="s">
        <v>154</v>
      </c>
      <c r="AA47" s="137">
        <v>55</v>
      </c>
      <c r="AB47" t="s">
        <v>83</v>
      </c>
      <c r="AD47" s="141" t="s">
        <v>197</v>
      </c>
      <c r="AE47" s="140">
        <v>12</v>
      </c>
      <c r="AF47" s="30"/>
      <c r="AG47" s="31"/>
      <c r="AH47" s="5"/>
      <c r="AI47" s="5"/>
      <c r="AJ47" s="131"/>
      <c r="AU47" t="s">
        <v>184</v>
      </c>
    </row>
    <row r="48" spans="2:50" ht="15.75" thickBot="1" x14ac:dyDescent="0.3">
      <c r="C48" s="72">
        <v>87</v>
      </c>
      <c r="D48" s="6">
        <f>C48/180*(2.4-0.53)+0.53</f>
        <v>1.4338333333333333</v>
      </c>
      <c r="E48" s="81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160</v>
      </c>
      <c r="AA48" s="137">
        <v>45</v>
      </c>
      <c r="AB48" t="s">
        <v>161</v>
      </c>
      <c r="AC48" t="s">
        <v>162</v>
      </c>
      <c r="AD48" s="69" t="s">
        <v>204</v>
      </c>
      <c r="AE48" s="163">
        <f>$Y$19</f>
        <v>4.4249528005034611</v>
      </c>
      <c r="AF48" s="32"/>
      <c r="AG48" s="33"/>
      <c r="AW48" s="144" t="s">
        <v>175</v>
      </c>
      <c r="AX48" t="s">
        <v>186</v>
      </c>
    </row>
    <row r="49" spans="3:55" ht="30" x14ac:dyDescent="0.25">
      <c r="C49" s="72">
        <v>90</v>
      </c>
      <c r="D49" s="6">
        <f t="shared" ref="D49:D54" si="55">C49/180*(2.4-0.53)+0.53</f>
        <v>1.4649999999999999</v>
      </c>
      <c r="E49" s="81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96</v>
      </c>
      <c r="AU49" t="s">
        <v>203</v>
      </c>
    </row>
    <row r="50" spans="3:55" x14ac:dyDescent="0.25">
      <c r="C50" s="72">
        <v>100</v>
      </c>
      <c r="D50" s="6">
        <f t="shared" si="55"/>
        <v>1.568888888888889</v>
      </c>
      <c r="E50" s="81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6" t="s">
        <v>14</v>
      </c>
      <c r="X50" s="57">
        <v>0</v>
      </c>
      <c r="Y50" s="45" t="s">
        <v>13</v>
      </c>
      <c r="Z50" s="58">
        <v>0</v>
      </c>
      <c r="AA50" s="82">
        <f>AA60/X44*100</f>
        <v>-10.046183440837153</v>
      </c>
      <c r="AB50" t="s">
        <v>93</v>
      </c>
      <c r="AU50" t="s">
        <v>201</v>
      </c>
    </row>
    <row r="51" spans="3:55" x14ac:dyDescent="0.25">
      <c r="C51" s="72">
        <v>110</v>
      </c>
      <c r="D51" s="6">
        <f t="shared" si="55"/>
        <v>1.6727777777777779</v>
      </c>
      <c r="E51" s="81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6" t="s">
        <v>15</v>
      </c>
      <c r="X51" s="57">
        <v>5</v>
      </c>
      <c r="Y51" s="45" t="s">
        <v>18</v>
      </c>
      <c r="Z51" s="58">
        <v>180</v>
      </c>
      <c r="AA51" s="59">
        <v>77</v>
      </c>
      <c r="AU51" t="s">
        <v>202</v>
      </c>
    </row>
    <row r="52" spans="3:55" x14ac:dyDescent="0.25">
      <c r="C52" s="72">
        <v>114</v>
      </c>
      <c r="D52" s="6">
        <f t="shared" si="55"/>
        <v>1.7143333333333333</v>
      </c>
      <c r="E52" s="81">
        <f t="shared" si="56"/>
        <v>128.57999999999998</v>
      </c>
      <c r="W52" s="19"/>
      <c r="X52" s="30" t="s">
        <v>40</v>
      </c>
      <c r="Y52" s="30"/>
      <c r="Z52" s="60"/>
      <c r="AA52" s="82">
        <f>(AA51-AA50)/(X51-X50)</f>
        <v>17.409236688167432</v>
      </c>
      <c r="AI52" s="94"/>
      <c r="AQ52" s="3"/>
    </row>
    <row r="53" spans="3:55" x14ac:dyDescent="0.25">
      <c r="C53" s="72">
        <v>127.5</v>
      </c>
      <c r="D53" s="6">
        <f t="shared" si="55"/>
        <v>1.8545833333333333</v>
      </c>
      <c r="E53" s="81">
        <f t="shared" si="56"/>
        <v>153.82499999999999</v>
      </c>
      <c r="W53" s="19"/>
      <c r="X53" s="30"/>
      <c r="Y53" s="30"/>
      <c r="Z53" s="60"/>
      <c r="AA53" s="82">
        <f>AA51-AA52*(X51-X50)</f>
        <v>-10.046183440837154</v>
      </c>
      <c r="AR53" s="3"/>
    </row>
    <row r="54" spans="3:55" ht="15.75" thickBot="1" x14ac:dyDescent="0.3">
      <c r="C54" s="79">
        <v>136.4</v>
      </c>
      <c r="D54" s="6">
        <f t="shared" si="55"/>
        <v>1.9470444444444444</v>
      </c>
      <c r="E54" s="81">
        <f t="shared" si="56"/>
        <v>170.46799999999999</v>
      </c>
      <c r="W54" s="21"/>
      <c r="X54" s="32"/>
      <c r="Y54" s="32"/>
      <c r="Z54" s="47"/>
      <c r="AA54" s="48" t="s">
        <v>111</v>
      </c>
    </row>
    <row r="56" spans="3:55" ht="15.75" thickBot="1" x14ac:dyDescent="0.3">
      <c r="W56" t="s">
        <v>38</v>
      </c>
    </row>
    <row r="57" spans="3:55" x14ac:dyDescent="0.25">
      <c r="W57" s="49" t="s">
        <v>108</v>
      </c>
      <c r="X57" s="50">
        <f>INDEX(LINEST($P$5:$P$19,$E$5:$E$19^{1,2},FALSE,FALSE),1)</f>
        <v>296.43735274450484</v>
      </c>
      <c r="Y57" s="28"/>
      <c r="Z57" s="51" t="s">
        <v>110</v>
      </c>
      <c r="AA57" s="52">
        <f>INDEX(LINEST($O$5:$O$19,$P$5:$P$19),1)</f>
        <v>1.0193904204377491</v>
      </c>
    </row>
    <row r="58" spans="3:55" x14ac:dyDescent="0.25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25">
      <c r="W59" s="43"/>
      <c r="X59" s="54">
        <f>INDEX(LINEST($P$5:$P$19,$E$5:$E$19^{1,2},FALSE,FALSE),3)</f>
        <v>0</v>
      </c>
      <c r="Y59" s="30"/>
      <c r="Z59" s="44" t="s">
        <v>109</v>
      </c>
      <c r="AA59" s="46">
        <f>INDEX(LINEST($P$5:$P$19,$O$5:$O$19),1)</f>
        <v>0.977785673428475</v>
      </c>
    </row>
    <row r="60" spans="3:55" x14ac:dyDescent="0.25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55</v>
      </c>
    </row>
    <row r="61" spans="3:55" x14ac:dyDescent="0.25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25">
      <c r="W62" s="19"/>
      <c r="X62" s="30"/>
      <c r="Y62" s="30"/>
      <c r="Z62" s="30"/>
      <c r="AA62" s="31"/>
    </row>
    <row r="63" spans="3:55" x14ac:dyDescent="0.25">
      <c r="H63" s="156" t="s">
        <v>198</v>
      </c>
      <c r="W63" s="161" t="s">
        <v>57</v>
      </c>
      <c r="X63" s="44">
        <f>EXP((0-$AE$34)/$AF$34)</f>
        <v>10.076726574109877</v>
      </c>
      <c r="Y63" s="30"/>
      <c r="Z63" s="30"/>
      <c r="AA63" s="31"/>
      <c r="AB63" t="s">
        <v>60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25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25">
      <c r="W65" s="43" t="s">
        <v>82</v>
      </c>
      <c r="X65" s="160">
        <f>INDEX(LINEST($X$4:$X$19,$O$4:$O$19^{1,2}),1)</f>
        <v>6.2561657632881528E-12</v>
      </c>
      <c r="Y65" s="30"/>
      <c r="Z65" s="44" t="s">
        <v>116</v>
      </c>
      <c r="AA65" s="107">
        <f>INDEX(LINEST($X$71:$X$88,$O$71:$O$88^{1,2}),1)</f>
        <v>1.4325144135226059E-11</v>
      </c>
      <c r="AD65" s="45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69"/>
      <c r="AW65" s="45"/>
      <c r="AX65" s="30"/>
      <c r="AY65" s="30"/>
      <c r="AZ65" s="30"/>
      <c r="BA65" s="30"/>
      <c r="BB65" s="30"/>
      <c r="BC65" s="30"/>
    </row>
    <row r="66" spans="3:55" x14ac:dyDescent="0.25">
      <c r="W66" s="43"/>
      <c r="X66" s="160">
        <f>INDEX(LINEST($X$4:$X$19,$O$4:$O$19^{1,2}),2)</f>
        <v>4.6878096548586503E-7</v>
      </c>
      <c r="Y66" s="30"/>
      <c r="Z66" s="44"/>
      <c r="AA66" s="107">
        <f>INDEX(LINEST($X$71:$X$88,$O$71:$O$88^{1,2}),2)</f>
        <v>-3.0709262345742761E-7</v>
      </c>
      <c r="AD66" s="45"/>
      <c r="AE66" s="269"/>
      <c r="AF66" s="269"/>
      <c r="AG66" s="269"/>
      <c r="AH66" s="269"/>
      <c r="AI66" s="269"/>
      <c r="AJ66" s="269"/>
      <c r="AK66" s="269"/>
      <c r="AL66" s="269"/>
      <c r="AM66" s="269"/>
      <c r="AN66" s="269"/>
      <c r="AO66" s="269"/>
      <c r="AP66" s="269"/>
      <c r="AQ66" s="269"/>
      <c r="AR66" s="269"/>
      <c r="AS66" s="269"/>
      <c r="AT66" s="269"/>
      <c r="AU66" s="269"/>
      <c r="AV66" s="269"/>
      <c r="AW66" s="45"/>
      <c r="AX66" s="30"/>
      <c r="AY66" s="30"/>
      <c r="AZ66" s="30"/>
      <c r="BA66" s="30"/>
      <c r="BB66" s="30"/>
      <c r="BC66" s="30"/>
    </row>
    <row r="67" spans="3:55" ht="15.75" thickBot="1" x14ac:dyDescent="0.3">
      <c r="W67" s="55"/>
      <c r="X67" s="162">
        <f>INDEX(LINEST($X$4:$X$19,$O$4:$O$19^{1,2}),3)</f>
        <v>-4.2312897208109457E-3</v>
      </c>
      <c r="Y67" s="32"/>
      <c r="Z67" s="97"/>
      <c r="AA67" s="108">
        <f>INDEX(LINEST($X$71:$X$88,$O$71:$O$88^{1,2}),3)</f>
        <v>2.0111653701195102E-3</v>
      </c>
      <c r="AD67" s="45"/>
      <c r="AE67" s="269"/>
      <c r="AF67" s="269"/>
      <c r="AG67" s="269"/>
      <c r="AH67" s="269"/>
      <c r="AI67" s="269"/>
      <c r="AJ67" s="269"/>
      <c r="AK67" s="269"/>
      <c r="AL67" s="269"/>
      <c r="AM67" s="269"/>
      <c r="AN67" s="269"/>
      <c r="AO67" s="269"/>
      <c r="AP67" s="269"/>
      <c r="AQ67" s="269"/>
      <c r="AR67" s="269"/>
      <c r="AS67" s="269"/>
      <c r="AT67" s="269"/>
      <c r="AU67" s="269"/>
      <c r="AV67" s="269"/>
      <c r="AW67" s="45"/>
      <c r="AX67" s="30"/>
      <c r="AY67" s="30"/>
      <c r="AZ67" s="30"/>
      <c r="BA67" s="30"/>
      <c r="BB67" s="30"/>
      <c r="BC67" s="30"/>
    </row>
    <row r="68" spans="3:55" x14ac:dyDescent="0.25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25">
      <c r="AD69" s="45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  <c r="AQ69" s="269"/>
      <c r="AR69" s="269"/>
      <c r="AS69" s="269"/>
      <c r="AT69" s="269"/>
      <c r="AU69" s="269"/>
      <c r="AV69" s="269"/>
      <c r="AW69" s="45"/>
      <c r="AX69" s="30"/>
      <c r="AY69" s="30"/>
      <c r="AZ69" s="30"/>
      <c r="BA69" s="30"/>
      <c r="BB69" s="30"/>
      <c r="BC69" s="30"/>
    </row>
    <row r="70" spans="3:55" x14ac:dyDescent="0.25">
      <c r="C70" t="s">
        <v>103</v>
      </c>
      <c r="V70" t="s">
        <v>79</v>
      </c>
      <c r="W70" t="s">
        <v>136</v>
      </c>
      <c r="X70" t="s">
        <v>137</v>
      </c>
    </row>
    <row r="71" spans="3:55" x14ac:dyDescent="0.25">
      <c r="C71" s="102">
        <f t="shared" ref="C71:C76" si="57">D71/180+1</f>
        <v>1.0611111111111111</v>
      </c>
      <c r="D71" s="122">
        <v>11</v>
      </c>
      <c r="E71" s="122"/>
      <c r="F71" s="122">
        <v>13.68</v>
      </c>
      <c r="G71" s="122">
        <v>0.6</v>
      </c>
      <c r="H71" s="122">
        <v>6860</v>
      </c>
      <c r="I71" s="12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18">
        <f>$V71/$O71*5252</f>
        <v>3.0261164651061443E-3</v>
      </c>
      <c r="X71" s="130">
        <f>W71-$W$71</f>
        <v>0</v>
      </c>
      <c r="Y71">
        <f t="shared" ref="Y71:Y88" si="65">-X71/2/O71</f>
        <v>0</v>
      </c>
    </row>
    <row r="72" spans="3:55" x14ac:dyDescent="0.25">
      <c r="C72" s="102">
        <f t="shared" si="57"/>
        <v>1.0833333333333333</v>
      </c>
      <c r="D72" s="122">
        <v>15</v>
      </c>
      <c r="E72" s="122"/>
      <c r="F72" s="122">
        <v>13.66</v>
      </c>
      <c r="G72" s="122">
        <v>0.65100000000000002</v>
      </c>
      <c r="H72" s="122">
        <v>6180</v>
      </c>
      <c r="I72" s="12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10">
        <f>$V72/$O72*5252</f>
        <v>3.2228271396323046E-3</v>
      </c>
      <c r="X72" s="130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102">
        <f t="shared" si="57"/>
        <v>1.0666666666666667</v>
      </c>
      <c r="D73" s="122">
        <v>12</v>
      </c>
      <c r="E73" s="122"/>
      <c r="F73" s="122">
        <v>13.63</v>
      </c>
      <c r="G73" s="122">
        <v>0.68</v>
      </c>
      <c r="H73" s="122">
        <v>5840</v>
      </c>
      <c r="I73" s="12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10">
        <f t="shared" ref="W73:W88" si="68">$V73/$O73*5252</f>
        <v>3.3030980202398302E-3</v>
      </c>
      <c r="X73" s="130">
        <f t="shared" si="67"/>
        <v>2.7698155513368591E-4</v>
      </c>
      <c r="Y73">
        <f t="shared" si="65"/>
        <v>-1.3479769016506046E-8</v>
      </c>
    </row>
    <row r="74" spans="3:55" x14ac:dyDescent="0.25">
      <c r="C74" s="102">
        <f t="shared" si="57"/>
        <v>1.0722222222222222</v>
      </c>
      <c r="D74" s="122">
        <v>13</v>
      </c>
      <c r="E74" s="122"/>
      <c r="F74" s="122">
        <v>13.6</v>
      </c>
      <c r="G74" s="122">
        <v>0.74</v>
      </c>
      <c r="H74" s="122">
        <v>5280</v>
      </c>
      <c r="I74" s="12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10">
        <f t="shared" si="68"/>
        <v>3.479466072730053E-3</v>
      </c>
      <c r="X74" s="130">
        <f t="shared" si="67"/>
        <v>4.5334960762390868E-4</v>
      </c>
      <c r="Y74">
        <f t="shared" si="65"/>
        <v>-1.9947382735451983E-8</v>
      </c>
    </row>
    <row r="75" spans="3:55" x14ac:dyDescent="0.25">
      <c r="C75" s="102">
        <f t="shared" si="57"/>
        <v>1.0777777777777777</v>
      </c>
      <c r="D75" s="122">
        <v>14</v>
      </c>
      <c r="E75" s="122"/>
      <c r="F75" s="122">
        <v>13.57</v>
      </c>
      <c r="G75" s="122">
        <v>0.78700000000000003</v>
      </c>
      <c r="H75" s="122">
        <v>4900</v>
      </c>
      <c r="I75" s="12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10">
        <f t="shared" si="68"/>
        <v>3.5831263742642254E-3</v>
      </c>
      <c r="X75" s="130">
        <f t="shared" si="67"/>
        <v>5.5700990915808109E-4</v>
      </c>
      <c r="Y75">
        <f t="shared" si="65"/>
        <v>-2.2744571290621641E-8</v>
      </c>
    </row>
    <row r="76" spans="3:55" x14ac:dyDescent="0.25">
      <c r="C76" s="102">
        <f t="shared" si="57"/>
        <v>1.1111111111111112</v>
      </c>
      <c r="D76" s="122">
        <v>20</v>
      </c>
      <c r="E76" s="122"/>
      <c r="F76" s="122">
        <v>13.77</v>
      </c>
      <c r="G76" s="122">
        <v>0.92900000000000005</v>
      </c>
      <c r="H76" s="122">
        <v>3500</v>
      </c>
      <c r="I76" s="12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10">
        <f t="shared" si="68"/>
        <v>3.4273834639237518E-3</v>
      </c>
      <c r="X76" s="130">
        <f t="shared" si="67"/>
        <v>4.0126699881760756E-4</v>
      </c>
      <c r="Y76">
        <f t="shared" si="65"/>
        <v>-1.1703620798846885E-8</v>
      </c>
    </row>
    <row r="77" spans="3:55" x14ac:dyDescent="0.25">
      <c r="C77" s="102">
        <f t="shared" ref="C77:C88" si="72">D77/180+1</f>
        <v>1.1388888888888888</v>
      </c>
      <c r="D77" s="122">
        <v>25</v>
      </c>
      <c r="E77" s="122"/>
      <c r="F77" s="122">
        <v>13.74</v>
      </c>
      <c r="G77" s="122">
        <v>1.26</v>
      </c>
      <c r="H77" s="122">
        <v>3010</v>
      </c>
      <c r="I77" s="12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10">
        <f t="shared" si="68"/>
        <v>4.5446090192368654E-3</v>
      </c>
      <c r="X77" s="130">
        <f t="shared" si="67"/>
        <v>1.5184925541307211E-3</v>
      </c>
      <c r="Y77">
        <f t="shared" si="65"/>
        <v>-3.8088854899445583E-8</v>
      </c>
    </row>
    <row r="78" spans="3:55" x14ac:dyDescent="0.25">
      <c r="C78" s="102">
        <f t="shared" si="72"/>
        <v>1.1666666666666667</v>
      </c>
      <c r="D78" s="122">
        <v>30</v>
      </c>
      <c r="E78" s="122"/>
      <c r="F78" s="122">
        <v>13.72</v>
      </c>
      <c r="G78" s="122">
        <v>1.734</v>
      </c>
      <c r="H78" s="122">
        <v>2650</v>
      </c>
      <c r="I78" s="12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10">
        <f t="shared" si="68"/>
        <v>6.0161906978496715E-3</v>
      </c>
      <c r="X78" s="130">
        <f t="shared" si="67"/>
        <v>2.9900742327435273E-3</v>
      </c>
      <c r="Y78">
        <f t="shared" si="65"/>
        <v>-6.6030805973086218E-8</v>
      </c>
    </row>
    <row r="79" spans="3:55" x14ac:dyDescent="0.25">
      <c r="C79" s="102">
        <f t="shared" si="72"/>
        <v>1.1944444444444444</v>
      </c>
      <c r="D79" s="122">
        <v>35</v>
      </c>
      <c r="E79" s="122"/>
      <c r="F79" s="122">
        <v>13.69</v>
      </c>
      <c r="G79" s="122">
        <v>2.113</v>
      </c>
      <c r="H79" s="122">
        <v>2500</v>
      </c>
      <c r="I79" s="12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10">
        <f t="shared" si="68"/>
        <v>7.1830075717149939E-3</v>
      </c>
      <c r="X79" s="130">
        <f t="shared" si="67"/>
        <v>4.1568911066088496E-3</v>
      </c>
      <c r="Y79">
        <f t="shared" si="65"/>
        <v>-8.6601898054351018E-8</v>
      </c>
    </row>
    <row r="80" spans="3:55" x14ac:dyDescent="0.25">
      <c r="C80" s="102">
        <f t="shared" si="72"/>
        <v>1.2222222222222223</v>
      </c>
      <c r="D80" s="122">
        <v>40</v>
      </c>
      <c r="E80" s="122"/>
      <c r="F80" s="122">
        <v>13.66</v>
      </c>
      <c r="G80" s="122">
        <v>2.37</v>
      </c>
      <c r="H80" s="122">
        <v>2270</v>
      </c>
      <c r="I80" s="12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10">
        <f t="shared" si="68"/>
        <v>7.4407265561536179E-3</v>
      </c>
      <c r="X80" s="130">
        <f t="shared" si="67"/>
        <v>4.4146100910474736E-3</v>
      </c>
      <c r="Y80">
        <f t="shared" si="65"/>
        <v>-8.3509707555648035E-8</v>
      </c>
    </row>
    <row r="81" spans="3:25" x14ac:dyDescent="0.25">
      <c r="C81" s="102">
        <f t="shared" si="72"/>
        <v>1.2777777777777777</v>
      </c>
      <c r="D81" s="122">
        <v>50</v>
      </c>
      <c r="E81" s="122"/>
      <c r="F81" s="122">
        <v>13.6</v>
      </c>
      <c r="G81" s="122">
        <v>3.1</v>
      </c>
      <c r="H81" s="122">
        <v>2020</v>
      </c>
      <c r="I81" s="12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10">
        <f t="shared" si="68"/>
        <v>8.9416323857987191E-3</v>
      </c>
      <c r="X81" s="130">
        <f t="shared" si="67"/>
        <v>5.9155159206925748E-3</v>
      </c>
      <c r="Y81">
        <f t="shared" si="65"/>
        <v>-9.957785133165834E-8</v>
      </c>
    </row>
    <row r="82" spans="3:25" x14ac:dyDescent="0.25">
      <c r="C82" s="102">
        <f t="shared" si="72"/>
        <v>1.3333333333333333</v>
      </c>
      <c r="D82" s="122">
        <v>60</v>
      </c>
      <c r="E82" s="122"/>
      <c r="F82" s="122">
        <v>13.52</v>
      </c>
      <c r="G82" s="122">
        <v>3.9</v>
      </c>
      <c r="H82" s="122">
        <v>1870</v>
      </c>
      <c r="I82" s="12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10">
        <f t="shared" si="68"/>
        <v>1.0597413657095125E-2</v>
      </c>
      <c r="X82" s="130">
        <f t="shared" si="67"/>
        <v>7.5712971919889805E-3</v>
      </c>
      <c r="Y82">
        <f t="shared" si="65"/>
        <v>-1.1798604790849495E-7</v>
      </c>
    </row>
    <row r="83" spans="3:25" x14ac:dyDescent="0.25">
      <c r="C83" s="102">
        <f t="shared" si="72"/>
        <v>1.4166666666666667</v>
      </c>
      <c r="D83" s="122">
        <v>75</v>
      </c>
      <c r="E83" s="122"/>
      <c r="F83" s="122">
        <v>13.2</v>
      </c>
      <c r="G83" s="122">
        <v>4.92</v>
      </c>
      <c r="H83" s="122">
        <v>1650</v>
      </c>
      <c r="I83" s="12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10">
        <f t="shared" si="68"/>
        <v>1.1716700501132942E-2</v>
      </c>
      <c r="X83" s="130">
        <f t="shared" si="67"/>
        <v>8.6905840360267973E-3</v>
      </c>
      <c r="Y83">
        <f t="shared" si="65"/>
        <v>-1.1949553049536844E-7</v>
      </c>
    </row>
    <row r="84" spans="3:25" x14ac:dyDescent="0.25">
      <c r="C84" s="102">
        <f t="shared" si="72"/>
        <v>1.5</v>
      </c>
      <c r="D84" s="122">
        <v>90</v>
      </c>
      <c r="E84" s="122"/>
      <c r="F84" s="122">
        <v>13.31</v>
      </c>
      <c r="G84" s="122">
        <v>6.12</v>
      </c>
      <c r="H84" s="122">
        <v>1510</v>
      </c>
      <c r="I84" s="12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10">
        <f t="shared" si="68"/>
        <v>1.3649521409228446E-2</v>
      </c>
      <c r="X84" s="130">
        <f t="shared" si="67"/>
        <v>1.0623404944122301E-2</v>
      </c>
      <c r="Y84">
        <f t="shared" si="65"/>
        <v>-1.3367784554687227E-7</v>
      </c>
    </row>
    <row r="85" spans="3:25" x14ac:dyDescent="0.25">
      <c r="C85" s="102">
        <f t="shared" si="72"/>
        <v>1.6055555555555556</v>
      </c>
      <c r="D85" s="122">
        <v>109</v>
      </c>
      <c r="E85" s="122"/>
      <c r="F85" s="122">
        <v>12.93</v>
      </c>
      <c r="G85" s="122">
        <v>7.27</v>
      </c>
      <c r="H85" s="122">
        <v>1470</v>
      </c>
      <c r="I85" s="12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10">
        <f t="shared" si="68"/>
        <v>1.5452453143292119E-2</v>
      </c>
      <c r="X85" s="130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103">
        <f t="shared" si="72"/>
        <v>1.7222222222222223</v>
      </c>
      <c r="D86" s="122">
        <v>130</v>
      </c>
      <c r="E86" s="122"/>
      <c r="F86" s="122">
        <v>13.08</v>
      </c>
      <c r="G86" s="122">
        <v>8.9600000000000009</v>
      </c>
      <c r="H86" s="122">
        <v>1380</v>
      </c>
      <c r="I86" s="12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10">
        <f t="shared" si="68"/>
        <v>1.8263858195575022E-2</v>
      </c>
      <c r="X86" s="130">
        <f t="shared" si="67"/>
        <v>1.5237741730468879E-2</v>
      </c>
      <c r="Y86">
        <f t="shared" si="65"/>
        <v>-1.7523402990039207E-7</v>
      </c>
    </row>
    <row r="87" spans="3:25" x14ac:dyDescent="0.25">
      <c r="C87" s="124">
        <f t="shared" si="72"/>
        <v>1.8277777777777777</v>
      </c>
      <c r="D87" s="122">
        <v>149</v>
      </c>
      <c r="E87" s="122"/>
      <c r="F87" s="122">
        <v>12.95</v>
      </c>
      <c r="G87" s="122">
        <v>10.8</v>
      </c>
      <c r="H87" s="122">
        <v>1310</v>
      </c>
      <c r="I87" s="12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10">
        <f t="shared" si="68"/>
        <v>2.0822423498943188E-2</v>
      </c>
      <c r="X87" s="130">
        <f t="shared" si="67"/>
        <v>1.7796307033837045E-2</v>
      </c>
      <c r="Y87">
        <f t="shared" si="65"/>
        <v>-1.942763517860544E-7</v>
      </c>
    </row>
    <row r="88" spans="3:25" x14ac:dyDescent="0.25">
      <c r="C88" s="124">
        <f t="shared" si="72"/>
        <v>1.911111111111111</v>
      </c>
      <c r="D88" s="122">
        <v>164</v>
      </c>
      <c r="E88" s="122"/>
      <c r="F88" s="122">
        <v>12.75</v>
      </c>
      <c r="G88" s="122">
        <v>13.9</v>
      </c>
      <c r="H88" s="122">
        <v>1252</v>
      </c>
      <c r="I88" s="12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10">
        <f t="shared" si="68"/>
        <v>2.539185911052097E-2</v>
      </c>
      <c r="X88" s="130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104</v>
      </c>
      <c r="V91" t="s">
        <v>80</v>
      </c>
      <c r="X91" t="s">
        <v>81</v>
      </c>
    </row>
    <row r="92" spans="3:25" x14ac:dyDescent="0.25">
      <c r="C92" s="102">
        <f>D92/180+1</f>
        <v>1.0611111111111111</v>
      </c>
      <c r="D92" s="122">
        <v>11</v>
      </c>
      <c r="E92" s="122"/>
      <c r="F92" s="122">
        <v>13.81</v>
      </c>
      <c r="G92" s="122">
        <v>0.57599999999999996</v>
      </c>
      <c r="H92" s="122">
        <v>4880</v>
      </c>
      <c r="I92" s="12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18">
        <f>$V92/$O92*5252</f>
        <v>4.5566466674235194E-3</v>
      </c>
      <c r="X92" s="110">
        <f>W92-$W$92</f>
        <v>0</v>
      </c>
      <c r="Y92">
        <f t="shared" ref="Y92:Y106" si="83">-X92/2/O92</f>
        <v>0</v>
      </c>
    </row>
    <row r="93" spans="3:25" x14ac:dyDescent="0.25">
      <c r="C93" s="102">
        <f>D93/180+1</f>
        <v>1.0833333333333333</v>
      </c>
      <c r="D93" s="122">
        <v>15</v>
      </c>
      <c r="E93" s="122"/>
      <c r="F93" s="122">
        <v>13.8</v>
      </c>
      <c r="G93" s="122">
        <v>0.77800000000000002</v>
      </c>
      <c r="H93" s="122">
        <v>3900</v>
      </c>
      <c r="I93" s="12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10">
        <f t="shared" ref="W93:W106" si="85">$V93/$O93*5252</f>
        <v>4.9151034173411049E-3</v>
      </c>
      <c r="X93" s="110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102">
        <f>D94/180+1</f>
        <v>1.1111111111111112</v>
      </c>
      <c r="D94" s="122">
        <v>20</v>
      </c>
      <c r="E94" s="122"/>
      <c r="F94" s="122">
        <v>13.78</v>
      </c>
      <c r="G94" s="122">
        <v>1.04</v>
      </c>
      <c r="H94" s="122">
        <v>3260</v>
      </c>
      <c r="I94" s="12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10">
        <f t="shared" si="85"/>
        <v>5.4841525476331228E-3</v>
      </c>
      <c r="X94" s="110">
        <f t="shared" si="86"/>
        <v>9.2750588020960346E-4</v>
      </c>
      <c r="Y94">
        <f t="shared" si="83"/>
        <v>-2.519724307902756E-8</v>
      </c>
    </row>
    <row r="95" spans="3:25" x14ac:dyDescent="0.25">
      <c r="C95" s="102">
        <f t="shared" ref="C95:C106" si="87">D95/180+1</f>
        <v>1.1388888888888888</v>
      </c>
      <c r="D95" s="122">
        <v>25</v>
      </c>
      <c r="E95" s="122"/>
      <c r="F95" s="122">
        <v>13.76</v>
      </c>
      <c r="G95" s="122">
        <v>1.363</v>
      </c>
      <c r="H95" s="122">
        <v>2870</v>
      </c>
      <c r="I95" s="12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10">
        <f t="shared" si="85"/>
        <v>6.3183773011363711E-3</v>
      </c>
      <c r="X95" s="110">
        <f t="shared" si="86"/>
        <v>1.7617306337128517E-3</v>
      </c>
      <c r="Y95">
        <f t="shared" si="83"/>
        <v>-4.21347243229657E-8</v>
      </c>
    </row>
    <row r="96" spans="3:25" x14ac:dyDescent="0.25">
      <c r="C96" s="102">
        <f t="shared" si="87"/>
        <v>1.1666666666666667</v>
      </c>
      <c r="D96" s="122">
        <v>30</v>
      </c>
      <c r="E96" s="122"/>
      <c r="F96" s="122">
        <v>13.74</v>
      </c>
      <c r="G96" s="122">
        <v>1.67</v>
      </c>
      <c r="H96" s="122">
        <v>2640</v>
      </c>
      <c r="I96" s="12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10">
        <f t="shared" si="85"/>
        <v>7.1107678547450686E-3</v>
      </c>
      <c r="X96" s="110">
        <f t="shared" si="86"/>
        <v>2.5541211873215492E-3</v>
      </c>
      <c r="Y96">
        <f t="shared" si="83"/>
        <v>-5.6190666121074085E-8</v>
      </c>
    </row>
    <row r="97" spans="3:25" x14ac:dyDescent="0.25">
      <c r="C97" s="102">
        <f t="shared" si="87"/>
        <v>1.1944444444444444</v>
      </c>
      <c r="D97" s="122">
        <v>35</v>
      </c>
      <c r="E97" s="122"/>
      <c r="F97" s="122">
        <v>13.72</v>
      </c>
      <c r="G97" s="122">
        <v>2.0550000000000002</v>
      </c>
      <c r="H97" s="122">
        <v>2400</v>
      </c>
      <c r="I97" s="12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10">
        <f t="shared" si="85"/>
        <v>7.9430363313624987E-3</v>
      </c>
      <c r="X97" s="110">
        <f t="shared" si="86"/>
        <v>3.3863896639389794E-3</v>
      </c>
      <c r="Y97">
        <f t="shared" si="83"/>
        <v>-6.7727793278779586E-8</v>
      </c>
    </row>
    <row r="98" spans="3:25" x14ac:dyDescent="0.25">
      <c r="C98" s="102">
        <f t="shared" si="87"/>
        <v>1.2222222222222223</v>
      </c>
      <c r="D98" s="122">
        <v>40</v>
      </c>
      <c r="E98" s="122"/>
      <c r="F98" s="122">
        <v>13.7</v>
      </c>
      <c r="G98" s="122">
        <v>2.2999999999999998</v>
      </c>
      <c r="H98" s="122">
        <v>2250</v>
      </c>
      <c r="I98" s="12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10">
        <f t="shared" si="85"/>
        <v>8.3222410541789974E-3</v>
      </c>
      <c r="X98" s="110">
        <f t="shared" si="86"/>
        <v>3.765594386755478E-3</v>
      </c>
      <c r="Y98">
        <f t="shared" si="83"/>
        <v>-7.0604894751665205E-8</v>
      </c>
    </row>
    <row r="99" spans="3:25" x14ac:dyDescent="0.25">
      <c r="C99" s="102">
        <f t="shared" si="87"/>
        <v>1.2777777777777777</v>
      </c>
      <c r="D99" s="122">
        <v>50</v>
      </c>
      <c r="E99" s="122"/>
      <c r="F99" s="122">
        <v>13.65</v>
      </c>
      <c r="G99" s="122">
        <v>3.02</v>
      </c>
      <c r="H99" s="122">
        <v>2010</v>
      </c>
      <c r="I99" s="12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10">
        <f t="shared" si="85"/>
        <v>9.7262408883614527E-3</v>
      </c>
      <c r="X99" s="110">
        <f t="shared" si="86"/>
        <v>5.1695942209379333E-3</v>
      </c>
      <c r="Y99">
        <f t="shared" si="83"/>
        <v>-8.6590703200710378E-8</v>
      </c>
    </row>
    <row r="100" spans="3:25" x14ac:dyDescent="0.25">
      <c r="C100" s="102">
        <f t="shared" si="87"/>
        <v>1.3333333333333333</v>
      </c>
      <c r="D100" s="122">
        <v>60</v>
      </c>
      <c r="E100" s="122"/>
      <c r="F100" s="122">
        <v>13.6</v>
      </c>
      <c r="G100" s="122">
        <v>3.81</v>
      </c>
      <c r="H100" s="122">
        <v>1880</v>
      </c>
      <c r="I100" s="12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10">
        <f t="shared" si="85"/>
        <v>1.1434866614916992E-2</v>
      </c>
      <c r="X100" s="110">
        <f t="shared" si="86"/>
        <v>6.8782199474934731E-3</v>
      </c>
      <c r="Y100">
        <f t="shared" si="83"/>
        <v>-1.0775877917739773E-7</v>
      </c>
    </row>
    <row r="101" spans="3:25" x14ac:dyDescent="0.25">
      <c r="C101" s="102">
        <f t="shared" si="87"/>
        <v>1.4166666666666667</v>
      </c>
      <c r="D101" s="122">
        <v>75</v>
      </c>
      <c r="E101" s="122"/>
      <c r="F101" s="122">
        <v>13.54</v>
      </c>
      <c r="G101" s="122">
        <v>4.91</v>
      </c>
      <c r="H101" s="122">
        <v>1630</v>
      </c>
      <c r="I101" s="12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10">
        <f t="shared" si="85"/>
        <v>1.2720293456940682E-2</v>
      </c>
      <c r="X101" s="110">
        <f t="shared" si="86"/>
        <v>8.1636467895171635E-3</v>
      </c>
      <c r="Y101">
        <f t="shared" si="83"/>
        <v>-1.1088953555760814E-7</v>
      </c>
    </row>
    <row r="102" spans="3:25" x14ac:dyDescent="0.25">
      <c r="C102" s="102">
        <f t="shared" si="87"/>
        <v>1.5</v>
      </c>
      <c r="D102" s="122">
        <v>90</v>
      </c>
      <c r="E102" s="122"/>
      <c r="F102" s="122">
        <v>13.47</v>
      </c>
      <c r="G102" s="122">
        <v>6</v>
      </c>
      <c r="H102" s="122">
        <v>1520</v>
      </c>
      <c r="I102" s="12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10">
        <f t="shared" si="85"/>
        <v>1.4420217263487361E-2</v>
      </c>
      <c r="X102" s="110">
        <f t="shared" si="86"/>
        <v>9.8635705960638427E-3</v>
      </c>
      <c r="Y102">
        <f t="shared" si="83"/>
        <v>-1.2493856088347532E-7</v>
      </c>
    </row>
    <row r="103" spans="3:25" x14ac:dyDescent="0.25">
      <c r="C103" s="102">
        <f t="shared" si="87"/>
        <v>1.6055555555555556</v>
      </c>
      <c r="D103" s="122">
        <v>109</v>
      </c>
      <c r="E103" s="122"/>
      <c r="F103" s="122">
        <v>13.38</v>
      </c>
      <c r="G103" s="122">
        <v>7.4</v>
      </c>
      <c r="H103" s="122">
        <v>1390</v>
      </c>
      <c r="I103" s="12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10">
        <f t="shared" si="85"/>
        <v>1.6155187509381233E-2</v>
      </c>
      <c r="X103" s="110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103">
        <f t="shared" si="87"/>
        <v>1.7222222222222223</v>
      </c>
      <c r="D104" s="122">
        <v>130</v>
      </c>
      <c r="E104" s="122"/>
      <c r="F104" s="122">
        <v>13.29</v>
      </c>
      <c r="G104" s="122">
        <v>8.9</v>
      </c>
      <c r="H104" s="122">
        <v>1350</v>
      </c>
      <c r="I104" s="12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10">
        <f t="shared" si="85"/>
        <v>1.8743820897416941E-2</v>
      </c>
      <c r="X104" s="110">
        <f t="shared" si="86"/>
        <v>1.418717422999342E-2</v>
      </c>
      <c r="Y104">
        <f t="shared" si="83"/>
        <v>-1.5960571008742599E-7</v>
      </c>
    </row>
    <row r="105" spans="3:25" x14ac:dyDescent="0.25">
      <c r="C105" s="124">
        <f t="shared" si="87"/>
        <v>1.8444444444444446</v>
      </c>
      <c r="D105" s="122">
        <v>152</v>
      </c>
      <c r="E105" s="122"/>
      <c r="F105" s="122">
        <v>13.1</v>
      </c>
      <c r="G105" s="122">
        <v>11.64</v>
      </c>
      <c r="H105" s="122">
        <v>1280</v>
      </c>
      <c r="I105" s="12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10">
        <f t="shared" si="85"/>
        <v>2.2910977316251649E-2</v>
      </c>
      <c r="X105" s="110">
        <f t="shared" si="86"/>
        <v>1.8354330648828129E-2</v>
      </c>
      <c r="Y105">
        <f t="shared" si="83"/>
        <v>-1.9577952692083334E-7</v>
      </c>
    </row>
    <row r="106" spans="3:25" x14ac:dyDescent="0.25">
      <c r="C106" s="124">
        <f t="shared" si="87"/>
        <v>1.911111111111111</v>
      </c>
      <c r="D106" s="122">
        <v>164</v>
      </c>
      <c r="E106" s="122"/>
      <c r="F106" s="122">
        <v>12.93</v>
      </c>
      <c r="G106" s="122">
        <v>14.16</v>
      </c>
      <c r="H106" s="122">
        <v>1236</v>
      </c>
      <c r="I106" s="12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10">
        <f t="shared" si="85"/>
        <v>2.6563764337382487E-2</v>
      </c>
      <c r="X106" s="110">
        <f t="shared" si="86"/>
        <v>2.2007117669958966E-2</v>
      </c>
      <c r="Y106">
        <f t="shared" si="83"/>
        <v>-2.2667331200057733E-7</v>
      </c>
    </row>
    <row r="107" spans="3:25" x14ac:dyDescent="0.25">
      <c r="W107" s="110"/>
    </row>
    <row r="108" spans="3:25" x14ac:dyDescent="0.25">
      <c r="W108" s="110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zoomScale="90" zoomScaleNormal="90" zoomScaleSheetLayoutView="80" workbookViewId="0">
      <selection activeCell="A9" sqref="A9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25">
      <c r="B1" t="s">
        <v>118</v>
      </c>
      <c r="C1" t="s">
        <v>89</v>
      </c>
      <c r="D1" s="164" t="s">
        <v>117</v>
      </c>
      <c r="E1" s="164" t="s">
        <v>195</v>
      </c>
      <c r="F1" s="164" t="s">
        <v>89</v>
      </c>
      <c r="G1" t="s">
        <v>194</v>
      </c>
      <c r="H1" t="s">
        <v>193</v>
      </c>
      <c r="I1" t="s">
        <v>192</v>
      </c>
      <c r="J1" t="s">
        <v>191</v>
      </c>
      <c r="K1" t="s">
        <v>138</v>
      </c>
      <c r="L1" t="s">
        <v>190</v>
      </c>
      <c r="M1" t="s">
        <v>139</v>
      </c>
      <c r="O1" s="137" t="s">
        <v>196</v>
      </c>
      <c r="P1" s="137"/>
      <c r="Q1" s="137"/>
      <c r="R1" s="137"/>
      <c r="S1" s="137"/>
    </row>
    <row r="2" spans="2:19" x14ac:dyDescent="0.25">
      <c r="B2">
        <f t="shared" ref="B2:B10" si="0">C2*$E$13</f>
        <v>7372.8</v>
      </c>
      <c r="C2">
        <v>16</v>
      </c>
      <c r="D2" s="164">
        <v>0.33</v>
      </c>
      <c r="E2" s="164">
        <f t="shared" ref="E2:E10" si="1">$E$12*$C2^$F$12</f>
        <v>0.3917732370086745</v>
      </c>
      <c r="F2" s="164">
        <v>16</v>
      </c>
      <c r="G2">
        <f t="shared" ref="G2:G10" si="2">10^(LOG10($E2/$E$12)/$F$12)</f>
        <v>16.000000000000007</v>
      </c>
      <c r="H2" s="126">
        <f>$E$14+$F$14*$C2*$E$13+$G$14*($C2*$E$13)^2</f>
        <v>2.3663188085633704E-4</v>
      </c>
      <c r="I2" s="126">
        <f>I3</f>
        <v>1.0190599989802014E-7</v>
      </c>
      <c r="J2" s="126">
        <f>$F$14+2*$C2*$G$14*$E$13</f>
        <v>6.9047658670256907E-8</v>
      </c>
      <c r="K2" s="126">
        <f t="shared" ref="K2:K10" si="3">$C2*$E$13*$H2/5252</f>
        <v>3.3218574470251366E-4</v>
      </c>
      <c r="L2" s="126">
        <f t="shared" ref="L2:L10" si="4">$E$11+$F$11*$C2*$E$13+$G$11*($C2*$E$13)^2</f>
        <v>5.2572163702912741E-4</v>
      </c>
      <c r="M2" s="126">
        <f t="shared" ref="M2:M10" si="5">$C2*$E$13*$L2/5252</f>
        <v>7.3801227827272476E-4</v>
      </c>
      <c r="O2" s="137" t="s">
        <v>59</v>
      </c>
      <c r="P2" s="137" t="s">
        <v>74</v>
      </c>
      <c r="Q2" s="137" t="s">
        <v>90</v>
      </c>
      <c r="R2" s="137" t="s">
        <v>189</v>
      </c>
      <c r="S2" s="137"/>
    </row>
    <row r="3" spans="2:19" x14ac:dyDescent="0.25">
      <c r="B3">
        <f t="shared" si="0"/>
        <v>9216</v>
      </c>
      <c r="C3">
        <v>20</v>
      </c>
      <c r="D3" s="164">
        <v>0.28000000000000003</v>
      </c>
      <c r="E3" s="164">
        <f t="shared" si="1"/>
        <v>0.27537020278635105</v>
      </c>
      <c r="F3" s="164">
        <v>20</v>
      </c>
      <c r="G3">
        <f t="shared" si="2"/>
        <v>19.999999999999996</v>
      </c>
      <c r="H3" s="126">
        <f t="shared" ref="H3:H10" si="6">$E$14+$F$14*$C3*$E$13+$G$14*($C3*$E$13)^2</f>
        <v>4.2446501986836776E-4</v>
      </c>
      <c r="I3" s="126">
        <f t="shared" ref="I3:I10" si="7">(H3-H2)/(B3-B2)</f>
        <v>1.0190599989802014E-7</v>
      </c>
      <c r="J3" s="126">
        <f t="shared" ref="J3:J10" si="8">$F$14+2*$C3*$G$14*$E$13</f>
        <v>1.3476434112578325E-7</v>
      </c>
      <c r="K3" s="126">
        <f t="shared" si="3"/>
        <v>7.4483427705766901E-4</v>
      </c>
      <c r="L3" s="126">
        <f t="shared" si="4"/>
        <v>3.9770094161169982E-4</v>
      </c>
      <c r="M3" s="126">
        <f t="shared" si="5"/>
        <v>6.978697406499287E-4</v>
      </c>
      <c r="O3" s="137">
        <v>0</v>
      </c>
      <c r="P3" s="137"/>
      <c r="Q3" s="137"/>
      <c r="R3" s="137"/>
      <c r="S3" s="137"/>
    </row>
    <row r="4" spans="2:19" x14ac:dyDescent="0.25">
      <c r="B4">
        <f t="shared" si="0"/>
        <v>11520</v>
      </c>
      <c r="C4">
        <v>25</v>
      </c>
      <c r="D4" s="164">
        <v>0.19</v>
      </c>
      <c r="E4" s="164">
        <f t="shared" si="1"/>
        <v>0.19355265092014706</v>
      </c>
      <c r="F4" s="164">
        <v>25</v>
      </c>
      <c r="G4">
        <f t="shared" si="2"/>
        <v>24.999999999999996</v>
      </c>
      <c r="H4" s="126">
        <f t="shared" si="6"/>
        <v>8.2959408455812993E-4</v>
      </c>
      <c r="I4" s="126">
        <f t="shared" si="7"/>
        <v>1.7583726766048705E-7</v>
      </c>
      <c r="J4" s="126">
        <f t="shared" si="8"/>
        <v>2.1691019419519116E-7</v>
      </c>
      <c r="K4" s="126">
        <f t="shared" si="3"/>
        <v>1.8196732395486779E-3</v>
      </c>
      <c r="L4" s="126">
        <f t="shared" si="4"/>
        <v>3.7455395613344858E-4</v>
      </c>
      <c r="M4" s="126">
        <f t="shared" si="5"/>
        <v>8.2156541787077825E-4</v>
      </c>
      <c r="O4" s="137">
        <v>0</v>
      </c>
      <c r="P4" s="137"/>
      <c r="Q4" s="137"/>
      <c r="R4" s="137"/>
      <c r="S4" s="137"/>
    </row>
    <row r="5" spans="2:19" x14ac:dyDescent="0.25">
      <c r="B5">
        <f t="shared" si="0"/>
        <v>16588.8</v>
      </c>
      <c r="C5">
        <v>36</v>
      </c>
      <c r="D5" s="164">
        <v>0.14000000000000001</v>
      </c>
      <c r="E5" s="164">
        <f t="shared" si="1"/>
        <v>0.10878935110598625</v>
      </c>
      <c r="F5" s="164">
        <v>36</v>
      </c>
      <c r="G5">
        <f t="shared" si="2"/>
        <v>36.000000000000014</v>
      </c>
      <c r="H5" s="126">
        <f t="shared" si="6"/>
        <v>2.3870874669367505E-3</v>
      </c>
      <c r="I5" s="126">
        <f t="shared" si="7"/>
        <v>3.0727063257153976E-7</v>
      </c>
      <c r="J5" s="126">
        <f t="shared" si="8"/>
        <v>3.9763107094788859E-7</v>
      </c>
      <c r="K5" s="126">
        <f t="shared" si="3"/>
        <v>7.5397784789642732E-3</v>
      </c>
      <c r="L5" s="126">
        <f t="shared" si="4"/>
        <v>8.5897911136266578E-4</v>
      </c>
      <c r="M5" s="126">
        <f t="shared" si="5"/>
        <v>2.7131440751281396E-3</v>
      </c>
      <c r="O5" s="137">
        <v>12.367954907596399</v>
      </c>
      <c r="P5" s="137">
        <v>3.9916956312460647</v>
      </c>
      <c r="Q5" s="137"/>
      <c r="R5" s="137"/>
      <c r="S5" s="137"/>
    </row>
    <row r="6" spans="2:19" x14ac:dyDescent="0.25">
      <c r="B6">
        <f t="shared" si="0"/>
        <v>20736</v>
      </c>
      <c r="C6">
        <v>45</v>
      </c>
      <c r="D6" s="164">
        <v>0.11</v>
      </c>
      <c r="E6" s="164">
        <f t="shared" si="1"/>
        <v>7.6466034034855926E-2</v>
      </c>
      <c r="F6" s="164">
        <v>45</v>
      </c>
      <c r="G6">
        <f t="shared" si="2"/>
        <v>44.999999999999993</v>
      </c>
      <c r="H6" s="126">
        <f t="shared" si="6"/>
        <v>4.3427507980363387E-3</v>
      </c>
      <c r="I6" s="126">
        <f t="shared" si="7"/>
        <v>4.7156233871035585E-7</v>
      </c>
      <c r="J6" s="126">
        <f t="shared" si="8"/>
        <v>5.4549360647282279E-7</v>
      </c>
      <c r="K6" s="126">
        <f t="shared" si="3"/>
        <v>1.7146093021340732E-2</v>
      </c>
      <c r="L6" s="126">
        <f t="shared" si="4"/>
        <v>1.8028425008152459E-3</v>
      </c>
      <c r="M6" s="126">
        <f t="shared" si="5"/>
        <v>7.1180011608729891E-3</v>
      </c>
      <c r="O6" s="137">
        <v>15.047408792585415</v>
      </c>
      <c r="P6" s="137">
        <v>0.70091118459969781</v>
      </c>
      <c r="Q6" s="137"/>
      <c r="R6" s="137"/>
      <c r="S6" s="137"/>
    </row>
    <row r="7" spans="2:19" x14ac:dyDescent="0.25">
      <c r="B7">
        <f t="shared" si="0"/>
        <v>23040</v>
      </c>
      <c r="C7">
        <v>50</v>
      </c>
      <c r="D7" s="164">
        <v>0.09</v>
      </c>
      <c r="E7" s="164">
        <f t="shared" si="1"/>
        <v>6.4739856241990537E-2</v>
      </c>
      <c r="F7" s="164">
        <v>50</v>
      </c>
      <c r="G7">
        <f t="shared" si="2"/>
        <v>50.000000000000014</v>
      </c>
      <c r="H7" s="126">
        <f t="shared" si="6"/>
        <v>5.6942000900856793E-3</v>
      </c>
      <c r="I7" s="126">
        <f t="shared" si="7"/>
        <v>5.8656653300752638E-7</v>
      </c>
      <c r="J7" s="126">
        <f t="shared" si="8"/>
        <v>6.2763945954223071E-7</v>
      </c>
      <c r="K7" s="126">
        <f t="shared" si="3"/>
        <v>2.4979887676232684E-2</v>
      </c>
      <c r="L7" s="126">
        <f t="shared" si="4"/>
        <v>2.5401337586343957E-3</v>
      </c>
      <c r="M7" s="126">
        <f t="shared" si="5"/>
        <v>1.1143313366134135E-2</v>
      </c>
      <c r="O7" s="137">
        <v>37.649471024806083</v>
      </c>
      <c r="P7" s="137">
        <v>8.8118975354312457E-2</v>
      </c>
      <c r="Q7" s="137">
        <v>18.349332141930159</v>
      </c>
      <c r="R7" s="137">
        <v>0.2622861097452871</v>
      </c>
      <c r="S7" s="137"/>
    </row>
    <row r="8" spans="2:19" x14ac:dyDescent="0.25">
      <c r="B8">
        <f t="shared" si="0"/>
        <v>23961.600000000002</v>
      </c>
      <c r="C8">
        <v>52</v>
      </c>
      <c r="D8" s="164">
        <v>0.08</v>
      </c>
      <c r="E8" s="164">
        <f t="shared" si="1"/>
        <v>6.0849785914015388E-2</v>
      </c>
      <c r="F8" s="164">
        <v>52</v>
      </c>
      <c r="G8">
        <f t="shared" si="2"/>
        <v>52.000000000000036</v>
      </c>
      <c r="H8" s="126">
        <f t="shared" si="6"/>
        <v>6.2877737396375534E-3</v>
      </c>
      <c r="I8" s="126">
        <f t="shared" si="7"/>
        <v>6.4406863015611191E-7</v>
      </c>
      <c r="J8" s="126">
        <f t="shared" si="8"/>
        <v>6.6049780076999385E-7</v>
      </c>
      <c r="K8" s="126">
        <f t="shared" si="3"/>
        <v>2.8687189497277076E-2</v>
      </c>
      <c r="L8" s="126">
        <f t="shared" si="4"/>
        <v>2.8776348033867118E-3</v>
      </c>
      <c r="M8" s="126">
        <f t="shared" si="5"/>
        <v>1.3128852647530663E-2</v>
      </c>
      <c r="O8" s="137">
        <v>48.010895849896535</v>
      </c>
      <c r="P8" s="137">
        <v>6.2906429754981188E-2</v>
      </c>
      <c r="Q8" s="137">
        <v>28.457488763966595</v>
      </c>
      <c r="R8" s="137">
        <v>0.15327768207325029</v>
      </c>
      <c r="S8" s="137"/>
    </row>
    <row r="9" spans="2:19" x14ac:dyDescent="0.25">
      <c r="B9">
        <f t="shared" si="0"/>
        <v>25344</v>
      </c>
      <c r="C9">
        <v>55</v>
      </c>
      <c r="D9" s="164">
        <v>7.0000000000000007E-2</v>
      </c>
      <c r="E9" s="164">
        <f t="shared" si="1"/>
        <v>5.5689239628374895E-2</v>
      </c>
      <c r="F9" s="164">
        <v>55</v>
      </c>
      <c r="G9">
        <f t="shared" si="2"/>
        <v>55.000000000000014</v>
      </c>
      <c r="H9" s="126">
        <f t="shared" si="6"/>
        <v>7.2349134276069376E-3</v>
      </c>
      <c r="I9" s="126">
        <f t="shared" si="7"/>
        <v>6.8514155669081719E-7</v>
      </c>
      <c r="J9" s="126">
        <f t="shared" si="8"/>
        <v>7.0978531261163862E-7</v>
      </c>
      <c r="K9" s="126">
        <f t="shared" si="3"/>
        <v>3.4912727705496999E-2</v>
      </c>
      <c r="L9" s="126">
        <f t="shared" si="4"/>
        <v>3.4295126651130254E-3</v>
      </c>
      <c r="M9" s="126">
        <f t="shared" si="5"/>
        <v>1.6549422883591874E-2</v>
      </c>
      <c r="O9" s="137">
        <v>61.364409667042004</v>
      </c>
      <c r="P9" s="137">
        <v>4.5959283219000051E-2</v>
      </c>
      <c r="Q9" s="137">
        <v>41.484597621753984</v>
      </c>
      <c r="R9" s="137">
        <v>9.3499270545763416E-2</v>
      </c>
      <c r="S9" s="137"/>
    </row>
    <row r="10" spans="2:19" x14ac:dyDescent="0.25">
      <c r="B10">
        <f t="shared" si="0"/>
        <v>28569.600000000002</v>
      </c>
      <c r="C10">
        <v>62</v>
      </c>
      <c r="D10" s="164">
        <v>0.05</v>
      </c>
      <c r="E10" s="164">
        <f t="shared" si="1"/>
        <v>4.6085623567052196E-2</v>
      </c>
      <c r="F10" s="164">
        <v>62</v>
      </c>
      <c r="G10">
        <f t="shared" si="2"/>
        <v>62.000000000000064</v>
      </c>
      <c r="H10" s="126">
        <f t="shared" si="6"/>
        <v>9.7098756965295178E-3</v>
      </c>
      <c r="I10" s="126">
        <f t="shared" si="7"/>
        <v>7.6728740976022404E-7</v>
      </c>
      <c r="J10" s="126">
        <f t="shared" si="8"/>
        <v>8.2478950690880957E-7</v>
      </c>
      <c r="K10" s="126">
        <f t="shared" si="3"/>
        <v>5.2819357330458824E-2</v>
      </c>
      <c r="L10" s="126">
        <f t="shared" si="4"/>
        <v>4.9301503839310357E-3</v>
      </c>
      <c r="M10" s="126">
        <f t="shared" si="5"/>
        <v>2.6818816528704516E-2</v>
      </c>
      <c r="O10" s="137">
        <v>69.444433699664401</v>
      </c>
      <c r="P10" s="137">
        <v>3.9517474546856557E-2</v>
      </c>
      <c r="Q10" s="137">
        <v>49.367118588734272</v>
      </c>
      <c r="R10" s="137">
        <v>8.2313306461443872E-2</v>
      </c>
      <c r="S10" s="137"/>
    </row>
    <row r="11" spans="2:19" x14ac:dyDescent="0.25">
      <c r="D11" s="151" t="s">
        <v>116</v>
      </c>
      <c r="E11" s="150">
        <v>2.0111653701195102E-3</v>
      </c>
      <c r="F11" s="150">
        <v>-3.0709262345742761E-7</v>
      </c>
      <c r="G11" s="149">
        <v>1.4325144135226059E-11</v>
      </c>
      <c r="J11" s="126"/>
      <c r="O11" s="137">
        <v>76.75084997835306</v>
      </c>
      <c r="P11" s="137">
        <v>3.5072283984146982E-2</v>
      </c>
      <c r="Q11" s="137">
        <v>56.494941386998597</v>
      </c>
      <c r="R11" s="137">
        <v>6.3631390354086409E-2</v>
      </c>
      <c r="S11" s="137"/>
    </row>
    <row r="12" spans="2:19" x14ac:dyDescent="0.25">
      <c r="D12" s="147" t="s">
        <v>119</v>
      </c>
      <c r="E12" s="147">
        <v>31.3</v>
      </c>
      <c r="F12" s="147">
        <v>-1.58</v>
      </c>
      <c r="J12" s="126"/>
      <c r="O12" s="137">
        <v>87.210974546743557</v>
      </c>
      <c r="P12" s="137">
        <v>3.0207645977385542E-2</v>
      </c>
      <c r="Q12" s="137">
        <v>66.699385197396992</v>
      </c>
      <c r="R12" s="137">
        <v>4.8062113370621579E-2</v>
      </c>
      <c r="S12" s="137"/>
    </row>
    <row r="13" spans="2:19" x14ac:dyDescent="0.25">
      <c r="D13" s="147" t="s">
        <v>27</v>
      </c>
      <c r="E13" s="147">
        <v>460.8</v>
      </c>
      <c r="J13" s="126"/>
      <c r="O13" s="137">
        <v>93.835177516070971</v>
      </c>
      <c r="P13" s="137">
        <v>2.7768510934620131E-2</v>
      </c>
      <c r="Q13" s="137">
        <v>73.161670282743401</v>
      </c>
      <c r="R13" s="137">
        <v>3.9676981378982325E-2</v>
      </c>
      <c r="S13" s="137"/>
    </row>
    <row r="14" spans="2:19" x14ac:dyDescent="0.25">
      <c r="D14" s="147" t="s">
        <v>82</v>
      </c>
      <c r="E14" s="147">
        <v>6.9658921582847581E-4</v>
      </c>
      <c r="F14" s="147">
        <v>-1.9381907115184841E-7</v>
      </c>
      <c r="G14" s="147">
        <v>1.782679103068748E-11</v>
      </c>
      <c r="J14" s="126"/>
      <c r="O14" s="137">
        <v>95.760447741647312</v>
      </c>
      <c r="P14" s="137">
        <v>2.7131780912102672E-2</v>
      </c>
      <c r="Q14" s="137">
        <v>75.03988040426492</v>
      </c>
      <c r="R14" s="137">
        <v>3.7281900353922377E-2</v>
      </c>
      <c r="S14" s="137"/>
    </row>
    <row r="15" spans="2:19" x14ac:dyDescent="0.25">
      <c r="D15" s="148" t="s">
        <v>188</v>
      </c>
      <c r="E15" s="147">
        <v>-0.65641091051665401</v>
      </c>
      <c r="J15" s="126"/>
      <c r="O15" s="137">
        <v>98.439901626636328</v>
      </c>
      <c r="P15" s="137">
        <v>2.6292721207050156E-2</v>
      </c>
      <c r="Q15" s="137"/>
      <c r="R15" s="137"/>
      <c r="S15" s="13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60" x14ac:dyDescent="0.25">
      <c r="A1" t="s">
        <v>39</v>
      </c>
      <c r="B1" s="73" t="s">
        <v>46</v>
      </c>
      <c r="C1" s="74" t="s">
        <v>0</v>
      </c>
      <c r="D1" s="74" t="s">
        <v>1</v>
      </c>
      <c r="E1" s="74" t="s">
        <v>10</v>
      </c>
      <c r="F1" s="74" t="s">
        <v>11</v>
      </c>
      <c r="G1" s="74" t="s">
        <v>23</v>
      </c>
      <c r="H1" s="74" t="s">
        <v>97</v>
      </c>
      <c r="I1" s="75" t="s">
        <v>2</v>
      </c>
      <c r="J1" s="4" t="s">
        <v>12</v>
      </c>
      <c r="K1" s="4" t="s">
        <v>7</v>
      </c>
      <c r="L1" s="4" t="s">
        <v>24</v>
      </c>
      <c r="M1" s="4" t="s">
        <v>102</v>
      </c>
      <c r="N1" s="4" t="s">
        <v>25</v>
      </c>
      <c r="O1" s="4" t="s">
        <v>98</v>
      </c>
      <c r="P1" s="4" t="s">
        <v>26</v>
      </c>
      <c r="Q1" s="4" t="s">
        <v>89</v>
      </c>
      <c r="R1" s="4" t="s">
        <v>100</v>
      </c>
      <c r="S1" s="4" t="s">
        <v>7</v>
      </c>
      <c r="T1" s="4" t="s">
        <v>101</v>
      </c>
      <c r="U1" s="4" t="s">
        <v>8</v>
      </c>
      <c r="V1" s="4" t="s">
        <v>112</v>
      </c>
      <c r="W1" s="4" t="s">
        <v>113</v>
      </c>
      <c r="X1" s="4" t="str">
        <f t="shared" ref="X1:X9" si="0">J1</f>
        <v>Charger Pwr, W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105</v>
      </c>
      <c r="AD1" s="4" t="s">
        <v>106</v>
      </c>
      <c r="AE1" s="4" t="s">
        <v>107</v>
      </c>
      <c r="AF1" s="4" t="s">
        <v>53</v>
      </c>
    </row>
    <row r="2" spans="1:32" x14ac:dyDescent="0.25">
      <c r="B2" s="89">
        <f>C2/180+1</f>
        <v>1.2611111111111111</v>
      </c>
      <c r="C2" s="90">
        <v>47</v>
      </c>
      <c r="D2" s="90"/>
      <c r="E2" s="90">
        <v>12</v>
      </c>
      <c r="F2" s="90">
        <v>0.43</v>
      </c>
      <c r="G2" s="90">
        <v>4980</v>
      </c>
      <c r="H2" s="92">
        <v>1E+16</v>
      </c>
      <c r="I2" s="91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88">
        <f t="shared" ref="AF2:AF9" si="10">(N2-$AH$29)/$AI$29</f>
        <v>49.951845286752039</v>
      </c>
    </row>
    <row r="3" spans="1:32" ht="15" customHeight="1" x14ac:dyDescent="0.25">
      <c r="B3" s="76">
        <v>1.4338333333333333</v>
      </c>
      <c r="C3" s="72">
        <v>78.089999999999989</v>
      </c>
      <c r="D3" s="72">
        <v>0.5</v>
      </c>
      <c r="E3" s="72">
        <v>12</v>
      </c>
      <c r="F3" s="72">
        <v>0.97</v>
      </c>
      <c r="G3" s="72">
        <v>3840</v>
      </c>
      <c r="H3" s="72">
        <v>9150</v>
      </c>
      <c r="I3" s="77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88">
        <f t="shared" si="10"/>
        <v>64.781299356256554</v>
      </c>
    </row>
    <row r="4" spans="1:32" ht="13.9" customHeight="1" x14ac:dyDescent="0.25">
      <c r="B4" s="76">
        <v>1.4649999999999999</v>
      </c>
      <c r="C4" s="72">
        <v>83.699999999999974</v>
      </c>
      <c r="D4" s="72">
        <v>0.74199999999999999</v>
      </c>
      <c r="E4" s="72">
        <v>12</v>
      </c>
      <c r="F4" s="72">
        <v>1.51</v>
      </c>
      <c r="G4" s="72">
        <v>3180</v>
      </c>
      <c r="H4" s="72">
        <v>6060</v>
      </c>
      <c r="I4" s="77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88">
        <f t="shared" si="10"/>
        <v>78.22647469434753</v>
      </c>
    </row>
    <row r="5" spans="1:32" ht="13.9" customHeight="1" x14ac:dyDescent="0.25">
      <c r="B5" s="76">
        <v>1.568888888888889</v>
      </c>
      <c r="C5" s="72">
        <v>102.40000000000002</v>
      </c>
      <c r="D5" s="72">
        <v>1.17</v>
      </c>
      <c r="E5" s="72">
        <v>12</v>
      </c>
      <c r="F5" s="72">
        <v>3</v>
      </c>
      <c r="G5" s="72">
        <v>2450</v>
      </c>
      <c r="H5" s="72">
        <v>3840</v>
      </c>
      <c r="I5" s="77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88">
        <f t="shared" si="10"/>
        <v>101.53477123592863</v>
      </c>
    </row>
    <row r="6" spans="1:32" ht="13.9" customHeight="1" x14ac:dyDescent="0.25">
      <c r="B6" s="76">
        <v>1.6727777777777779</v>
      </c>
      <c r="C6" s="72">
        <v>121.10000000000002</v>
      </c>
      <c r="D6" s="72">
        <v>1.52</v>
      </c>
      <c r="E6" s="72">
        <v>12</v>
      </c>
      <c r="F6" s="72">
        <v>4.5999999999999996</v>
      </c>
      <c r="G6" s="72">
        <v>2000</v>
      </c>
      <c r="H6" s="72">
        <v>2980</v>
      </c>
      <c r="I6" s="77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88">
        <f t="shared" si="10"/>
        <v>124.38009476401257</v>
      </c>
    </row>
    <row r="7" spans="1:32" ht="13.9" customHeight="1" x14ac:dyDescent="0.25">
      <c r="B7" s="76">
        <v>1.7143333333333333</v>
      </c>
      <c r="C7" s="72">
        <v>128.57999999999998</v>
      </c>
      <c r="D7" s="72">
        <v>1.7</v>
      </c>
      <c r="E7" s="72">
        <v>12</v>
      </c>
      <c r="F7" s="72">
        <v>5.4</v>
      </c>
      <c r="G7" s="72">
        <v>1930</v>
      </c>
      <c r="H7" s="72">
        <v>2760</v>
      </c>
      <c r="I7" s="77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88">
        <f t="shared" si="10"/>
        <v>128.89128991089385</v>
      </c>
    </row>
    <row r="8" spans="1:32" ht="13.9" customHeight="1" x14ac:dyDescent="0.25">
      <c r="B8" s="76">
        <v>1.8545833333333333</v>
      </c>
      <c r="C8" s="72">
        <v>153.82499999999999</v>
      </c>
      <c r="D8" s="72">
        <v>2.2000000000000002</v>
      </c>
      <c r="E8" s="72">
        <v>12</v>
      </c>
      <c r="F8" s="72">
        <v>8.6999999999999993</v>
      </c>
      <c r="G8" s="72">
        <v>1610</v>
      </c>
      <c r="H8" s="72">
        <v>2180</v>
      </c>
      <c r="I8" s="77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88">
        <f t="shared" si="10"/>
        <v>154.50943448945659</v>
      </c>
    </row>
    <row r="9" spans="1:32" ht="13.9" customHeight="1" thickBot="1" x14ac:dyDescent="0.3">
      <c r="B9" s="78">
        <v>1.9470444444444444</v>
      </c>
      <c r="C9" s="79">
        <v>170.46799999999999</v>
      </c>
      <c r="D9" s="79">
        <v>2.71</v>
      </c>
      <c r="E9" s="79">
        <v>12</v>
      </c>
      <c r="F9" s="79">
        <v>13</v>
      </c>
      <c r="G9" s="79">
        <v>1408</v>
      </c>
      <c r="H9" s="79">
        <v>1880</v>
      </c>
      <c r="I9" s="80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88">
        <f t="shared" si="10"/>
        <v>176.67627097160877</v>
      </c>
    </row>
    <row r="10" spans="1:32" ht="13.9" customHeight="1" x14ac:dyDescent="0.25">
      <c r="N10" s="1">
        <v>9.34</v>
      </c>
      <c r="AB10" t="s">
        <v>45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88"/>
    </row>
    <row r="11" spans="1:32" ht="13.9" customHeight="1" x14ac:dyDescent="0.25">
      <c r="V11" s="3">
        <f>D11*D11*$AA$35+D11*$AA$36+$AA$37</f>
        <v>0</v>
      </c>
      <c r="W11" s="3"/>
    </row>
    <row r="12" spans="1:32" ht="13.9" customHeight="1" x14ac:dyDescent="0.25"/>
    <row r="13" spans="1:32" ht="13.9" customHeight="1" x14ac:dyDescent="0.25"/>
    <row r="14" spans="1:32" ht="13.9" customHeight="1" x14ac:dyDescent="0.25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25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25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4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85" t="s">
        <v>50</v>
      </c>
      <c r="AG20" s="5" t="s">
        <v>52</v>
      </c>
      <c r="AH20" s="5"/>
      <c r="AI20" s="5"/>
    </row>
    <row r="21" spans="1:36" ht="15.75" thickBot="1" x14ac:dyDescent="0.3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1" t="s">
        <v>15</v>
      </c>
      <c r="AH21" s="62">
        <f>AA29</f>
        <v>5</v>
      </c>
      <c r="AI21" s="63"/>
      <c r="AJ21" s="29"/>
    </row>
    <row r="22" spans="1:36" x14ac:dyDescent="0.25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4" t="s">
        <v>14</v>
      </c>
      <c r="AH22" s="65">
        <f>AA28</f>
        <v>0</v>
      </c>
      <c r="AI22" s="45"/>
      <c r="AJ22" s="31"/>
    </row>
    <row r="23" spans="1:36" ht="15.75" thickBot="1" x14ac:dyDescent="0.3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4" t="s">
        <v>17</v>
      </c>
      <c r="AH23" s="65">
        <f>AD18</f>
        <v>5</v>
      </c>
      <c r="AI23" s="30"/>
      <c r="AJ23" s="31"/>
    </row>
    <row r="24" spans="1:36" ht="15.75" thickBot="1" x14ac:dyDescent="0.3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4" t="s">
        <v>16</v>
      </c>
      <c r="AH24" s="65">
        <f>AD17</f>
        <v>0</v>
      </c>
      <c r="AI24" s="30"/>
      <c r="AJ24" s="31"/>
    </row>
    <row r="25" spans="1:36" x14ac:dyDescent="0.25">
      <c r="AG25" s="64" t="s">
        <v>27</v>
      </c>
      <c r="AH25" s="65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4" t="s">
        <v>18</v>
      </c>
      <c r="AH26" s="65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96</v>
      </c>
      <c r="AG27" s="64" t="s">
        <v>13</v>
      </c>
      <c r="AH27" s="65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6" t="s">
        <v>14</v>
      </c>
      <c r="AA28" s="57">
        <v>0</v>
      </c>
      <c r="AB28" s="45" t="s">
        <v>13</v>
      </c>
      <c r="AC28" s="58">
        <v>0</v>
      </c>
      <c r="AD28" s="82">
        <f>AD38/AA24*100</f>
        <v>-17.719588605194325</v>
      </c>
      <c r="AE28" t="s">
        <v>93</v>
      </c>
      <c r="AG28" s="64" t="s">
        <v>108</v>
      </c>
      <c r="AH28" s="65">
        <f>AA37</f>
        <v>0</v>
      </c>
      <c r="AI28" s="66">
        <f>AA36</f>
        <v>7227.227639740272</v>
      </c>
      <c r="AJ28" s="67">
        <f>AA35</f>
        <v>-475.97454575994487</v>
      </c>
    </row>
    <row r="29" spans="1:36" x14ac:dyDescent="0.25">
      <c r="B29" t="s">
        <v>51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6" t="s">
        <v>15</v>
      </c>
      <c r="AA29" s="57">
        <v>5</v>
      </c>
      <c r="AB29" s="45" t="s">
        <v>18</v>
      </c>
      <c r="AC29" s="58">
        <v>180</v>
      </c>
      <c r="AD29" s="59">
        <v>77</v>
      </c>
      <c r="AG29" s="64" t="s">
        <v>54</v>
      </c>
      <c r="AH29" s="65">
        <f>AA39</f>
        <v>0</v>
      </c>
      <c r="AI29" s="66">
        <f>AA38</f>
        <v>120.59807502526535</v>
      </c>
      <c r="AJ29" s="31"/>
    </row>
    <row r="30" spans="1:36" x14ac:dyDescent="0.25">
      <c r="B30" t="s">
        <v>47</v>
      </c>
      <c r="C30" s="6" t="s">
        <v>48</v>
      </c>
      <c r="D30" s="6" t="s">
        <v>49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0"/>
      <c r="AD30" s="82">
        <f>(AD29-AD28)/(AA29-AA28)</f>
        <v>18.943917721038865</v>
      </c>
      <c r="AG30" s="64" t="s">
        <v>111</v>
      </c>
      <c r="AH30" s="83">
        <f>AD31</f>
        <v>-17.719588605194332</v>
      </c>
      <c r="AI30" s="84">
        <f>AD30</f>
        <v>18.943917721038865</v>
      </c>
      <c r="AJ30" s="31"/>
    </row>
    <row r="31" spans="1:36" x14ac:dyDescent="0.25">
      <c r="B31" s="72">
        <v>87</v>
      </c>
      <c r="C31" s="6">
        <f>B31/180*(2.4-0.53)+0.53</f>
        <v>1.4338333333333333</v>
      </c>
      <c r="D31" s="81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0"/>
      <c r="AD31" s="82">
        <f>AD29-AD30*(AA29-AA28)</f>
        <v>-17.719588605194332</v>
      </c>
      <c r="AG31" s="64" t="s">
        <v>109</v>
      </c>
      <c r="AH31" s="65">
        <f>AD38</f>
        <v>-3925.570398689204</v>
      </c>
      <c r="AI31" s="68">
        <f>AD37</f>
        <v>0.94199104022164515</v>
      </c>
      <c r="AJ31" s="31"/>
    </row>
    <row r="32" spans="1:36" ht="15.75" thickBot="1" x14ac:dyDescent="0.3">
      <c r="B32" s="72">
        <v>90</v>
      </c>
      <c r="C32" s="6">
        <f t="shared" ref="C32:C37" si="16">B32/180*(2.4-0.53)+0.53</f>
        <v>1.4649999999999999</v>
      </c>
      <c r="D32" s="81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111</v>
      </c>
      <c r="AG32" s="69" t="s">
        <v>110</v>
      </c>
      <c r="AH32" s="70">
        <f>AD36</f>
        <v>4180.4182204512181</v>
      </c>
      <c r="AI32" s="71">
        <f>AD35</f>
        <v>1.0602056822563426</v>
      </c>
      <c r="AJ32" s="33"/>
    </row>
    <row r="33" spans="2:40" x14ac:dyDescent="0.25">
      <c r="B33" s="72">
        <v>100</v>
      </c>
      <c r="C33" s="6">
        <f t="shared" si="16"/>
        <v>1.568888888888889</v>
      </c>
      <c r="D33" s="81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2">
        <v>110</v>
      </c>
      <c r="C34" s="6">
        <f t="shared" si="16"/>
        <v>1.6727777777777779</v>
      </c>
      <c r="D34" s="81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2">
        <v>114</v>
      </c>
      <c r="C35" s="6">
        <f t="shared" si="16"/>
        <v>1.7143333333333333</v>
      </c>
      <c r="D35" s="81">
        <f t="shared" si="17"/>
        <v>128.57999999999998</v>
      </c>
      <c r="Z35" s="49" t="s">
        <v>108</v>
      </c>
      <c r="AA35" s="50">
        <f>INDEX(LINEST($O$3:$O$9,$D$3:$D$9^{1,2},FALSE,FALSE),1)</f>
        <v>-475.97454575994487</v>
      </c>
      <c r="AB35" s="28"/>
      <c r="AC35" s="51" t="s">
        <v>110</v>
      </c>
      <c r="AD35" s="52">
        <f>INDEX(LINEST($N$3:$N$9,$O$3:$O$9),1)</f>
        <v>1.0602056822563426</v>
      </c>
      <c r="AG35" s="94"/>
      <c r="AM35" s="3"/>
      <c r="AN35" s="3"/>
    </row>
    <row r="36" spans="2:40" x14ac:dyDescent="0.25">
      <c r="B36" s="72">
        <v>127.5</v>
      </c>
      <c r="C36" s="6">
        <f t="shared" si="16"/>
        <v>1.8545833333333333</v>
      </c>
      <c r="D36" s="81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79">
        <v>136.4</v>
      </c>
      <c r="C37" s="6">
        <f t="shared" si="16"/>
        <v>1.9470444444444444</v>
      </c>
      <c r="D37" s="81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109</v>
      </c>
      <c r="AD37" s="46">
        <f>INDEX(LINEST($O$3:$O$9,$N$3:$N$9),1)</f>
        <v>0.94199104022164515</v>
      </c>
    </row>
    <row r="38" spans="2:40" x14ac:dyDescent="0.25">
      <c r="Z38" s="43" t="s">
        <v>54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55</v>
      </c>
    </row>
    <row r="39" spans="2:40" ht="15.75" thickBot="1" x14ac:dyDescent="0.3">
      <c r="Z39" s="55"/>
      <c r="AA39" s="93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35" zoomScale="70" zoomScaleNormal="70" workbookViewId="0">
      <selection activeCell="H59" sqref="H59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8.855468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207</v>
      </c>
      <c r="B1" t="s">
        <v>206</v>
      </c>
      <c r="C1" s="203" t="s">
        <v>46</v>
      </c>
      <c r="D1" s="204" t="s">
        <v>0</v>
      </c>
      <c r="E1" s="204" t="s">
        <v>1</v>
      </c>
      <c r="F1" s="204" t="s">
        <v>10</v>
      </c>
      <c r="G1" s="204" t="s">
        <v>11</v>
      </c>
      <c r="H1" s="204" t="s">
        <v>23</v>
      </c>
      <c r="I1" s="205" t="s">
        <v>97</v>
      </c>
      <c r="J1" s="169"/>
      <c r="K1" s="4" t="s">
        <v>12</v>
      </c>
      <c r="L1" s="4" t="s">
        <v>7</v>
      </c>
      <c r="M1" s="4" t="s">
        <v>56</v>
      </c>
      <c r="N1" s="4" t="s">
        <v>24</v>
      </c>
      <c r="O1" s="4" t="s">
        <v>102</v>
      </c>
      <c r="P1" s="4" t="s">
        <v>25</v>
      </c>
      <c r="Q1" s="4" t="s">
        <v>122</v>
      </c>
      <c r="R1" s="4" t="s">
        <v>26</v>
      </c>
      <c r="S1" s="4" t="s">
        <v>89</v>
      </c>
      <c r="T1" s="4" t="s">
        <v>7</v>
      </c>
      <c r="U1" s="4" t="str">
        <f t="shared" ref="U1:U13" si="0">K1</f>
        <v>Charger Pwr, W</v>
      </c>
      <c r="V1" s="4" t="s">
        <v>156</v>
      </c>
      <c r="W1" s="4" t="s">
        <v>123</v>
      </c>
      <c r="X1" s="4" t="s">
        <v>135</v>
      </c>
      <c r="Y1" s="4" t="s">
        <v>42</v>
      </c>
      <c r="Z1" s="4" t="s">
        <v>143</v>
      </c>
      <c r="AA1" s="4" t="s">
        <v>245</v>
      </c>
      <c r="AB1" s="4" t="s">
        <v>246</v>
      </c>
      <c r="AC1" s="4" t="s">
        <v>151</v>
      </c>
      <c r="AD1" s="4" t="s">
        <v>152</v>
      </c>
      <c r="AE1" s="4" t="s">
        <v>153</v>
      </c>
      <c r="AF1" s="4" t="s">
        <v>199</v>
      </c>
      <c r="AG1" s="4" t="s">
        <v>158</v>
      </c>
      <c r="AH1" s="4" t="s">
        <v>61</v>
      </c>
      <c r="AI1" s="4" t="s">
        <v>58</v>
      </c>
      <c r="AJ1" s="4" t="s">
        <v>62</v>
      </c>
      <c r="AK1" s="4" t="s">
        <v>59</v>
      </c>
      <c r="AL1" s="4" t="s">
        <v>94</v>
      </c>
      <c r="AM1" s="4" t="s">
        <v>95</v>
      </c>
      <c r="AN1" s="4" t="s">
        <v>90</v>
      </c>
      <c r="AO1" s="4" t="s">
        <v>91</v>
      </c>
      <c r="AP1" s="4" t="s">
        <v>78</v>
      </c>
      <c r="AQ1" s="4" t="s">
        <v>124</v>
      </c>
      <c r="AR1" s="4" t="s">
        <v>77</v>
      </c>
      <c r="AS1" s="4" t="s">
        <v>74</v>
      </c>
      <c r="AT1" s="4" t="s">
        <v>92</v>
      </c>
      <c r="AU1" s="4" t="s">
        <v>171</v>
      </c>
      <c r="AV1" t="str">
        <f>E1</f>
        <v>v4, vdc</v>
      </c>
      <c r="AX1" s="4"/>
      <c r="AY1" s="4"/>
    </row>
    <row r="2" spans="1:51" x14ac:dyDescent="0.25">
      <c r="A2" t="s">
        <v>208</v>
      </c>
      <c r="B2" t="s">
        <v>187</v>
      </c>
      <c r="C2" s="200">
        <f t="shared" ref="C2:C13" si="1">D2/180+1</f>
        <v>1.033700677974416</v>
      </c>
      <c r="D2" s="242">
        <f>EXP((0-$Q$41)/$R$41)</f>
        <v>6.0661220353948684</v>
      </c>
      <c r="E2" s="98">
        <v>3.2000000000000002E-3</v>
      </c>
      <c r="F2" s="98">
        <v>12.24</v>
      </c>
      <c r="G2" s="98">
        <v>1.9E-2</v>
      </c>
      <c r="H2" s="128">
        <v>1.0000000000000001E+32</v>
      </c>
      <c r="I2" s="171">
        <v>1.0000000000000001E+32</v>
      </c>
      <c r="J2" s="169"/>
      <c r="K2" s="2">
        <f t="shared" ref="K2:K13" si="2">F2*G2</f>
        <v>0.23255999999999999</v>
      </c>
      <c r="L2" s="209">
        <f t="shared" ref="L2:L13" si="3">D2</f>
        <v>6.0661220353948684</v>
      </c>
      <c r="M2" s="21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38">
        <f t="shared" si="0"/>
        <v>0.23255999999999999</v>
      </c>
      <c r="V2" s="1">
        <f>($U2-$U$2)</f>
        <v>0</v>
      </c>
      <c r="W2" s="214">
        <f>($U2-$U$2)*0.001341022</f>
        <v>0</v>
      </c>
      <c r="X2" s="207">
        <v>0</v>
      </c>
      <c r="Y2" s="207">
        <v>0</v>
      </c>
      <c r="Z2" s="208">
        <f>$Q$37*(P2/$Q$30/100)^2</f>
        <v>7.5021579327112167E-58</v>
      </c>
      <c r="AA2" s="209">
        <f t="shared" ref="AA2:AA13" si="10">SQRT(Z2^3/4/$Q$27/$Q$33)</f>
        <v>2.0154592931120451E-85</v>
      </c>
      <c r="AB2" s="1"/>
      <c r="AC2" s="138">
        <f t="shared" ref="AC2:AC13" si="11">SQRT(Z2/$Q$33/$Q$27)</f>
        <v>5.3730121684699729E-28</v>
      </c>
      <c r="AD2" s="155">
        <f t="shared" ref="AD2:AD13" si="12">AC2*1/1.6/1000*3600</f>
        <v>1.2089277379057438E-27</v>
      </c>
      <c r="AE2" s="4">
        <f t="shared" ref="AE2:AE13" si="13">Q2/60*PI()*$C$39/1000</f>
        <v>0</v>
      </c>
      <c r="AF2" s="138">
        <f>AE2/AC2</f>
        <v>0</v>
      </c>
      <c r="AH2" s="208">
        <f t="shared" ref="AH2:AH13" si="14">D2/$Q$31*$Q$23</f>
        <v>0.16850338987207969</v>
      </c>
      <c r="AI2" s="208">
        <f t="shared" ref="AI2:AI13" si="15">AH2/$Q$23*$Q$31</f>
        <v>6.0661220353948684</v>
      </c>
      <c r="AJ2" s="209">
        <f t="shared" ref="AJ2:AJ13" si="16">MAX(($Q$41+$R$41*LN($AI2)),0)</f>
        <v>0</v>
      </c>
      <c r="AK2" s="209">
        <f t="shared" ref="AK2:AK13" si="17">MAX(($Q$41+$R$41*LN(AI2))/$Q$30,0)</f>
        <v>0</v>
      </c>
      <c r="AL2" s="209">
        <f t="shared" ref="AL2:AL13" si="18">($Q$42+$R$42*AK2*$Q$30)/$Q$30</f>
        <v>-17.475379161511935</v>
      </c>
      <c r="AM2" s="209">
        <f t="shared" ref="AM2:AM13" si="19">($Q$43+$R$43*AL2*$Q$30)/$Q$30</f>
        <v>3.2320324349647142E-2</v>
      </c>
      <c r="AN2" s="1"/>
      <c r="AO2" s="1">
        <f t="shared" ref="AO2:AO13" si="20">MAX($Q$42+$R$42*AJ2, 0)</f>
        <v>0</v>
      </c>
      <c r="AP2" s="207"/>
      <c r="AQ2" s="207"/>
      <c r="AR2" s="207"/>
      <c r="AS2" s="1"/>
      <c r="AT2" s="207"/>
      <c r="AU2" s="1"/>
      <c r="AV2">
        <f t="shared" ref="AV2:AV13" si="21">E2</f>
        <v>3.2000000000000002E-3</v>
      </c>
    </row>
    <row r="3" spans="1:51" ht="15" customHeight="1" x14ac:dyDescent="0.25">
      <c r="A3" t="s">
        <v>209</v>
      </c>
      <c r="B3" t="s">
        <v>187</v>
      </c>
      <c r="C3" s="200">
        <f t="shared" si="1"/>
        <v>1.05</v>
      </c>
      <c r="D3" s="98">
        <v>9</v>
      </c>
      <c r="E3" s="98">
        <v>2.3999999999999998E-3</v>
      </c>
      <c r="F3" s="98">
        <v>12.15</v>
      </c>
      <c r="G3" s="101">
        <v>0.33500000000000002</v>
      </c>
      <c r="H3" s="98">
        <v>7080</v>
      </c>
      <c r="I3" s="171">
        <v>1.0000000000000001E+32</v>
      </c>
      <c r="J3" s="60"/>
      <c r="K3" s="2">
        <f t="shared" si="2"/>
        <v>4.0702500000000006</v>
      </c>
      <c r="L3" s="1">
        <f t="shared" si="3"/>
        <v>9</v>
      </c>
      <c r="M3" s="21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2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38">
        <f>K3</f>
        <v>4.0702500000000006</v>
      </c>
      <c r="V3" s="1">
        <f t="shared" ref="V3:V13" si="23">($U3-$U$2)</f>
        <v>3.8376900000000007</v>
      </c>
      <c r="W3" s="214">
        <f t="shared" ref="W3:W13" si="24">($U3-$U$2)*0.001341022</f>
        <v>5.1464267191800011E-3</v>
      </c>
      <c r="X3" s="210">
        <f>$W3/$P3*5252</f>
        <v>3.1894259092377368E-3</v>
      </c>
      <c r="Y3" s="210">
        <f>X3-$X$3</f>
        <v>0</v>
      </c>
      <c r="Z3" s="208">
        <f t="shared" ref="Z3:Z12" si="25">$Q$37*(P3/$Q$30/100)^2</f>
        <v>0.14966480602459417</v>
      </c>
      <c r="AA3" s="209">
        <f t="shared" si="10"/>
        <v>0.56790312426683809</v>
      </c>
      <c r="AB3" s="2">
        <f>AA3/U3*100</f>
        <v>13.952536681207247</v>
      </c>
      <c r="AC3" s="138">
        <f t="shared" si="11"/>
        <v>7.5890002379519403</v>
      </c>
      <c r="AD3" s="155">
        <f t="shared" si="12"/>
        <v>17.075250535391866</v>
      </c>
      <c r="AE3" s="4">
        <f t="shared" si="13"/>
        <v>1.7278759594743859E-27</v>
      </c>
      <c r="AF3" s="138">
        <f t="shared" ref="AF3:AF13" si="26">AE3/AC3</f>
        <v>2.2768163200646986E-28</v>
      </c>
      <c r="AH3" s="208">
        <f t="shared" si="14"/>
        <v>0.25</v>
      </c>
      <c r="AI3" s="208">
        <f t="shared" si="15"/>
        <v>9</v>
      </c>
      <c r="AJ3" s="209">
        <f t="shared" si="16"/>
        <v>4918.1173829864128</v>
      </c>
      <c r="AK3" s="209">
        <f t="shared" si="17"/>
        <v>10.672997792939263</v>
      </c>
      <c r="AL3" s="209">
        <f t="shared" si="18"/>
        <v>-7.3632448530133212</v>
      </c>
      <c r="AM3" s="209">
        <f t="shared" si="19"/>
        <v>10.700347040602749</v>
      </c>
      <c r="AN3" s="1"/>
      <c r="AO3" s="1">
        <f t="shared" si="20"/>
        <v>0</v>
      </c>
      <c r="AP3" s="207">
        <f t="shared" ref="AP3:AP13" si="27">MAX($J$47+$AJ3*($K$47+$AJ3*$L$47), 0)</f>
        <v>0</v>
      </c>
      <c r="AQ3" s="207">
        <f>AJ3*AP3/5252</f>
        <v>0</v>
      </c>
      <c r="AR3" s="211">
        <f t="shared" ref="AR3:AR13" si="28">MAX($K$47+$L$47*2*AJ3,1E-32)</f>
        <v>1.1056470227231563E-7</v>
      </c>
      <c r="AS3" s="208"/>
      <c r="AT3" s="1"/>
      <c r="AU3" s="208"/>
      <c r="AV3">
        <f t="shared" si="21"/>
        <v>2.3999999999999998E-3</v>
      </c>
      <c r="AX3" s="111"/>
      <c r="AY3" s="87"/>
    </row>
    <row r="4" spans="1:51" ht="15" customHeight="1" x14ac:dyDescent="0.25">
      <c r="A4" t="s">
        <v>210</v>
      </c>
      <c r="B4" t="s">
        <v>220</v>
      </c>
      <c r="C4" s="200">
        <f t="shared" si="1"/>
        <v>1.1111111111111112</v>
      </c>
      <c r="D4" s="72">
        <v>20</v>
      </c>
      <c r="E4" s="98">
        <v>6.9000000000000006E-2</v>
      </c>
      <c r="F4" s="72">
        <v>12.14</v>
      </c>
      <c r="G4" s="96">
        <v>0.86099999999999999</v>
      </c>
      <c r="H4" s="72">
        <v>4040</v>
      </c>
      <c r="I4" s="72">
        <v>68000</v>
      </c>
      <c r="J4" s="60"/>
      <c r="K4" s="2">
        <f t="shared" si="2"/>
        <v>10.452540000000001</v>
      </c>
      <c r="L4" s="1">
        <f t="shared" si="3"/>
        <v>20</v>
      </c>
      <c r="M4" s="21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2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38">
        <f t="shared" si="0"/>
        <v>10.452540000000001</v>
      </c>
      <c r="V4" s="209">
        <f t="shared" si="23"/>
        <v>10.219980000000001</v>
      </c>
      <c r="W4" s="214">
        <f t="shared" si="24"/>
        <v>1.3705218019560003E-2</v>
      </c>
      <c r="X4" s="210">
        <f t="shared" ref="X4:X13" si="29">$W4/$P4*5252</f>
        <v>4.8466402059410951E-3</v>
      </c>
      <c r="Y4" s="210">
        <f t="shared" ref="Y4:Y13" si="30">X4-$X$3</f>
        <v>1.6572142967033582E-3</v>
      </c>
      <c r="Z4" s="208">
        <f t="shared" si="25"/>
        <v>0.45964598646647487</v>
      </c>
      <c r="AA4" s="209">
        <f t="shared" si="10"/>
        <v>3.0565389585058838</v>
      </c>
      <c r="AB4" s="2">
        <f t="shared" ref="AB4:AB13" si="31">AA4/U4*100</f>
        <v>29.242068994769532</v>
      </c>
      <c r="AC4" s="138">
        <f t="shared" si="11"/>
        <v>13.299535070470231</v>
      </c>
      <c r="AD4" s="155">
        <f t="shared" si="12"/>
        <v>29.923953908558019</v>
      </c>
      <c r="AE4" s="155">
        <f t="shared" si="13"/>
        <v>2.5409940580505683</v>
      </c>
      <c r="AF4" s="138">
        <f t="shared" si="26"/>
        <v>0.191058863681069</v>
      </c>
      <c r="AG4" s="131"/>
      <c r="AH4" s="208">
        <f t="shared" si="14"/>
        <v>0.55555555555555558</v>
      </c>
      <c r="AI4" s="208">
        <f t="shared" si="15"/>
        <v>20</v>
      </c>
      <c r="AJ4" s="209">
        <f t="shared" si="16"/>
        <v>14872.754409463825</v>
      </c>
      <c r="AK4" s="209">
        <f t="shared" si="17"/>
        <v>32.275942728871151</v>
      </c>
      <c r="AL4" s="209">
        <f t="shared" si="18"/>
        <v>13.10447048707233</v>
      </c>
      <c r="AM4" s="209">
        <f t="shared" si="19"/>
        <v>32.293230145921825</v>
      </c>
      <c r="AN4" s="2">
        <f t="shared" ref="AN4:AN13" si="32">AO4/$Q$30</f>
        <v>13.10447048707233</v>
      </c>
      <c r="AO4" s="3">
        <f t="shared" si="20"/>
        <v>6038.5400004429302</v>
      </c>
      <c r="AP4" s="207">
        <f t="shared" si="27"/>
        <v>1.9360973862098028E-3</v>
      </c>
      <c r="AQ4" s="207">
        <f t="shared" ref="AQ4:AQ13" si="33">AJ4*AP4/5252</f>
        <v>5.4826924862725118E-3</v>
      </c>
      <c r="AR4" s="211">
        <f t="shared" si="28"/>
        <v>3.7293268066041901E-7</v>
      </c>
      <c r="AS4" s="208">
        <f t="shared" ref="AS4:AS13" si="34">$Q$35/AR4</f>
        <v>0.10035810602202501</v>
      </c>
      <c r="AT4" s="1"/>
      <c r="AU4" s="208"/>
      <c r="AV4">
        <f t="shared" si="21"/>
        <v>6.9000000000000006E-2</v>
      </c>
      <c r="AX4" s="110"/>
      <c r="AY4" s="87"/>
    </row>
    <row r="5" spans="1:51" ht="13.9" customHeight="1" x14ac:dyDescent="0.25">
      <c r="A5" t="s">
        <v>211</v>
      </c>
      <c r="B5" s="156">
        <v>16</v>
      </c>
      <c r="C5" s="200">
        <f t="shared" si="1"/>
        <v>1.1388888888888888</v>
      </c>
      <c r="D5" s="72">
        <v>25</v>
      </c>
      <c r="E5" s="98">
        <v>0.51</v>
      </c>
      <c r="F5" s="72">
        <v>12.14</v>
      </c>
      <c r="G5" s="96">
        <v>1.1299999999999999</v>
      </c>
      <c r="H5" s="72">
        <v>3680</v>
      </c>
      <c r="I5" s="72">
        <v>8500</v>
      </c>
      <c r="J5" s="60"/>
      <c r="K5" s="2">
        <f t="shared" si="2"/>
        <v>13.7182</v>
      </c>
      <c r="L5" s="1">
        <f t="shared" si="3"/>
        <v>25</v>
      </c>
      <c r="M5" s="21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2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38">
        <f t="shared" si="0"/>
        <v>13.7182</v>
      </c>
      <c r="V5" s="209">
        <f t="shared" si="23"/>
        <v>13.48564</v>
      </c>
      <c r="W5" s="214">
        <f t="shared" si="24"/>
        <v>1.808453992408E-2</v>
      </c>
      <c r="X5" s="210">
        <f t="shared" si="29"/>
        <v>5.825440225784447E-3</v>
      </c>
      <c r="Y5" s="210">
        <f t="shared" si="30"/>
        <v>2.6360143165467102E-3</v>
      </c>
      <c r="Z5" s="208">
        <f t="shared" si="25"/>
        <v>0.55397550897265024</v>
      </c>
      <c r="AA5" s="209">
        <f t="shared" si="10"/>
        <v>4.044180911337496</v>
      </c>
      <c r="AB5" s="2">
        <f t="shared" si="31"/>
        <v>29.480404946257501</v>
      </c>
      <c r="AC5" s="138">
        <f t="shared" si="11"/>
        <v>14.600576544755365</v>
      </c>
      <c r="AD5" s="155">
        <f t="shared" si="12"/>
        <v>32.851297225699568</v>
      </c>
      <c r="AE5" s="155">
        <f t="shared" si="13"/>
        <v>20.327952464404547</v>
      </c>
      <c r="AF5" s="138">
        <f t="shared" si="26"/>
        <v>1.3922705313788788</v>
      </c>
      <c r="AG5" s="131"/>
      <c r="AH5" s="208">
        <f t="shared" si="14"/>
        <v>0.69444444444444442</v>
      </c>
      <c r="AI5" s="208">
        <f t="shared" si="15"/>
        <v>25</v>
      </c>
      <c r="AJ5" s="209">
        <f t="shared" si="16"/>
        <v>17654.584902336483</v>
      </c>
      <c r="AK5" s="209">
        <f t="shared" si="17"/>
        <v>38.312901263751044</v>
      </c>
      <c r="AL5" s="209">
        <f t="shared" si="18"/>
        <v>18.824188293060072</v>
      </c>
      <c r="AM5" s="209">
        <f t="shared" si="19"/>
        <v>38.327376894983885</v>
      </c>
      <c r="AN5" s="2">
        <f t="shared" si="32"/>
        <v>18.824188293060072</v>
      </c>
      <c r="AO5" s="3">
        <f t="shared" si="20"/>
        <v>8674.1859654420805</v>
      </c>
      <c r="AP5" s="207">
        <f t="shared" si="27"/>
        <v>3.0755132936984655E-3</v>
      </c>
      <c r="AQ5" s="207">
        <f t="shared" si="33"/>
        <v>1.0338330266920045E-2</v>
      </c>
      <c r="AR5" s="211">
        <f t="shared" si="28"/>
        <v>4.4625160134954964E-7</v>
      </c>
      <c r="AS5" s="208">
        <f t="shared" si="34"/>
        <v>8.3869318096810225E-2</v>
      </c>
      <c r="AT5" s="212">
        <f t="shared" ref="AT5:AT13" si="35">$Q$44*$Q$27*$Q$36^2*$Q$33*PI()/240*($AC5-$Q$46)/$Q$45*$Q$34</f>
        <v>-1.6167122351546225E-7</v>
      </c>
      <c r="AU5" s="145">
        <f t="shared" ref="AU5:AU13" si="36">-$Q$35/AT5</f>
        <v>0.23149956245130304</v>
      </c>
      <c r="AV5">
        <f t="shared" si="21"/>
        <v>0.51</v>
      </c>
      <c r="AX5" s="110"/>
      <c r="AY5" s="87"/>
    </row>
    <row r="6" spans="1:51" ht="13.9" customHeight="1" x14ac:dyDescent="0.25">
      <c r="A6" t="s">
        <v>212</v>
      </c>
      <c r="B6" s="156">
        <v>20</v>
      </c>
      <c r="C6" s="200">
        <f t="shared" si="1"/>
        <v>1.1944444444444444</v>
      </c>
      <c r="D6" s="72">
        <v>35</v>
      </c>
      <c r="E6" s="72">
        <v>0.80100000000000005</v>
      </c>
      <c r="F6" s="72">
        <v>12.11</v>
      </c>
      <c r="G6" s="72">
        <v>1.8380000000000001</v>
      </c>
      <c r="H6" s="72">
        <v>2980</v>
      </c>
      <c r="I6" s="72">
        <v>5420</v>
      </c>
      <c r="J6" s="60"/>
      <c r="K6" s="2">
        <f t="shared" si="2"/>
        <v>22.258179999999999</v>
      </c>
      <c r="L6" s="1">
        <f t="shared" si="3"/>
        <v>35</v>
      </c>
      <c r="M6" s="21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2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38">
        <f t="shared" si="0"/>
        <v>22.258179999999999</v>
      </c>
      <c r="V6" s="209">
        <f t="shared" si="23"/>
        <v>22.02562</v>
      </c>
      <c r="W6" s="214">
        <f t="shared" si="24"/>
        <v>2.9536840983640001E-2</v>
      </c>
      <c r="X6" s="210">
        <f t="shared" si="29"/>
        <v>7.7046652793551721E-3</v>
      </c>
      <c r="Y6" s="210">
        <f t="shared" si="30"/>
        <v>4.5152393701174357E-3</v>
      </c>
      <c r="Z6" s="208">
        <f t="shared" si="25"/>
        <v>0.84479955100121806</v>
      </c>
      <c r="AA6" s="209">
        <f t="shared" si="10"/>
        <v>7.6159702473951594</v>
      </c>
      <c r="AB6" s="2">
        <f t="shared" si="31"/>
        <v>34.2165003939907</v>
      </c>
      <c r="AC6" s="138">
        <f t="shared" si="11"/>
        <v>18.030242176073738</v>
      </c>
      <c r="AD6" s="155">
        <f t="shared" si="12"/>
        <v>40.568044896165901</v>
      </c>
      <c r="AE6" s="155">
        <f t="shared" si="13"/>
        <v>31.879630248604911</v>
      </c>
      <c r="AF6" s="138">
        <f t="shared" si="26"/>
        <v>1.7681199141578592</v>
      </c>
      <c r="AG6" s="131"/>
      <c r="AH6" s="208">
        <f t="shared" si="14"/>
        <v>0.97222222222222221</v>
      </c>
      <c r="AI6" s="208">
        <f t="shared" si="15"/>
        <v>35</v>
      </c>
      <c r="AJ6" s="209">
        <f t="shared" si="16"/>
        <v>21849.233245635256</v>
      </c>
      <c r="AK6" s="209">
        <f t="shared" si="17"/>
        <v>47.415870758757066</v>
      </c>
      <c r="AL6" s="209">
        <f t="shared" si="18"/>
        <v>27.448798915631624</v>
      </c>
      <c r="AM6" s="209">
        <f t="shared" si="19"/>
        <v>47.426106572807385</v>
      </c>
      <c r="AN6" s="2">
        <f t="shared" si="32"/>
        <v>27.448798915631624</v>
      </c>
      <c r="AO6" s="3">
        <f t="shared" si="20"/>
        <v>12648.406540323052</v>
      </c>
      <c r="AP6" s="207">
        <f t="shared" si="27"/>
        <v>5.1792528792478061E-3</v>
      </c>
      <c r="AQ6" s="207">
        <f t="shared" si="33"/>
        <v>2.1546592573650665E-2</v>
      </c>
      <c r="AR6" s="211">
        <f t="shared" si="28"/>
        <v>5.5680725525768094E-7</v>
      </c>
      <c r="AS6" s="208">
        <f t="shared" si="34"/>
        <v>6.7216827998183737E-2</v>
      </c>
      <c r="AT6" s="212">
        <f t="shared" si="35"/>
        <v>-2.056754194262404E-7</v>
      </c>
      <c r="AU6" s="145">
        <f t="shared" si="36"/>
        <v>0.18197029868325312</v>
      </c>
      <c r="AV6">
        <f t="shared" si="21"/>
        <v>0.80100000000000005</v>
      </c>
      <c r="AX6" s="110"/>
      <c r="AY6" s="87"/>
    </row>
    <row r="7" spans="1:51" ht="13.9" customHeight="1" x14ac:dyDescent="0.25">
      <c r="A7" t="s">
        <v>213</v>
      </c>
      <c r="B7" s="156">
        <v>25</v>
      </c>
      <c r="C7" s="200">
        <f t="shared" si="1"/>
        <v>1.3</v>
      </c>
      <c r="D7" s="72">
        <v>54</v>
      </c>
      <c r="E7" s="72">
        <v>1.167</v>
      </c>
      <c r="F7" s="72">
        <v>12.06</v>
      </c>
      <c r="G7" s="72">
        <v>3.18</v>
      </c>
      <c r="H7" s="72">
        <v>2390</v>
      </c>
      <c r="I7" s="72">
        <v>3740</v>
      </c>
      <c r="J7" s="60"/>
      <c r="K7" s="2">
        <f t="shared" si="2"/>
        <v>38.350800000000007</v>
      </c>
      <c r="L7" s="1">
        <f t="shared" si="3"/>
        <v>54</v>
      </c>
      <c r="M7" s="21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2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38">
        <f t="shared" si="0"/>
        <v>38.350800000000007</v>
      </c>
      <c r="V7" s="209">
        <f t="shared" si="23"/>
        <v>38.118240000000007</v>
      </c>
      <c r="W7" s="214">
        <f t="shared" si="24"/>
        <v>5.1117398441280014E-2</v>
      </c>
      <c r="X7" s="210">
        <f t="shared" si="29"/>
        <v>1.0693998301775172E-2</v>
      </c>
      <c r="Y7" s="210">
        <f t="shared" si="30"/>
        <v>7.5045723925374359E-3</v>
      </c>
      <c r="Z7" s="208">
        <f t="shared" si="25"/>
        <v>1.3133800060767871</v>
      </c>
      <c r="AA7" s="209">
        <f t="shared" si="10"/>
        <v>14.763194047020384</v>
      </c>
      <c r="AB7" s="2">
        <f t="shared" si="31"/>
        <v>38.495139728559465</v>
      </c>
      <c r="AC7" s="138">
        <f t="shared" si="11"/>
        <v>22.48122246221746</v>
      </c>
      <c r="AD7" s="155">
        <f t="shared" si="12"/>
        <v>50.582750539989284</v>
      </c>
      <c r="AE7" s="155">
        <f t="shared" si="13"/>
        <v>46.199891964555775</v>
      </c>
      <c r="AF7" s="138">
        <f t="shared" si="26"/>
        <v>2.0550435832482217</v>
      </c>
      <c r="AG7" s="131"/>
      <c r="AH7" s="208">
        <f t="shared" si="14"/>
        <v>1.5</v>
      </c>
      <c r="AI7" s="208">
        <f t="shared" si="15"/>
        <v>54</v>
      </c>
      <c r="AJ7" s="209">
        <f t="shared" si="16"/>
        <v>27255.178427486022</v>
      </c>
      <c r="AK7" s="213">
        <f t="shared" si="17"/>
        <v>59.147522629092926</v>
      </c>
      <c r="AL7" s="213">
        <f t="shared" si="18"/>
        <v>38.563955282652181</v>
      </c>
      <c r="AM7" s="213">
        <f t="shared" si="19"/>
        <v>59.152294285627782</v>
      </c>
      <c r="AN7" s="9">
        <f t="shared" si="32"/>
        <v>38.563955282652181</v>
      </c>
      <c r="AO7" s="10">
        <f t="shared" si="20"/>
        <v>17770.270594246125</v>
      </c>
      <c r="AP7" s="210">
        <f t="shared" si="27"/>
        <v>8.5744446891955848E-3</v>
      </c>
      <c r="AQ7" s="210">
        <f t="shared" si="33"/>
        <v>4.4496957334469837E-2</v>
      </c>
      <c r="AR7" s="212">
        <f t="shared" si="28"/>
        <v>6.9928828242788957E-7</v>
      </c>
      <c r="AS7" s="208">
        <f t="shared" si="34"/>
        <v>5.3521299362907268E-2</v>
      </c>
      <c r="AT7" s="212">
        <f t="shared" si="35"/>
        <v>-2.6278355460943322E-7</v>
      </c>
      <c r="AU7" s="145">
        <f t="shared" si="36"/>
        <v>0.14242450430515946</v>
      </c>
      <c r="AV7">
        <f t="shared" si="21"/>
        <v>1.167</v>
      </c>
      <c r="AX7" s="110"/>
      <c r="AY7" s="87"/>
    </row>
    <row r="8" spans="1:51" ht="13.9" customHeight="1" x14ac:dyDescent="0.25">
      <c r="A8" t="s">
        <v>214</v>
      </c>
      <c r="B8" s="156">
        <v>36</v>
      </c>
      <c r="C8" s="200">
        <f t="shared" si="1"/>
        <v>1.3555555555555556</v>
      </c>
      <c r="D8" s="72">
        <v>64</v>
      </c>
      <c r="E8" s="72">
        <v>1.2749999999999999</v>
      </c>
      <c r="F8" s="72">
        <v>12.03</v>
      </c>
      <c r="G8" s="72">
        <v>3.96</v>
      </c>
      <c r="H8" s="72">
        <v>2170</v>
      </c>
      <c r="I8" s="72">
        <v>3260</v>
      </c>
      <c r="J8" s="60"/>
      <c r="K8" s="2">
        <f t="shared" si="2"/>
        <v>47.638799999999996</v>
      </c>
      <c r="L8" s="1">
        <f t="shared" si="3"/>
        <v>64</v>
      </c>
      <c r="M8" s="21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2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38">
        <f t="shared" si="0"/>
        <v>47.638799999999996</v>
      </c>
      <c r="V8" s="209">
        <f t="shared" si="23"/>
        <v>47.406239999999997</v>
      </c>
      <c r="W8" s="214">
        <f t="shared" si="24"/>
        <v>6.3572810777279998E-2</v>
      </c>
      <c r="X8" s="210">
        <f t="shared" si="29"/>
        <v>1.2075485879648929E-2</v>
      </c>
      <c r="Y8" s="210">
        <f t="shared" si="30"/>
        <v>8.8860599704111923E-3</v>
      </c>
      <c r="Z8" s="208">
        <f t="shared" si="25"/>
        <v>1.5931869295825387</v>
      </c>
      <c r="AA8" s="209">
        <f t="shared" si="10"/>
        <v>19.723992532936165</v>
      </c>
      <c r="AB8" s="2">
        <f t="shared" si="31"/>
        <v>41.403210267546967</v>
      </c>
      <c r="AC8" s="138">
        <f t="shared" si="11"/>
        <v>24.760424739492965</v>
      </c>
      <c r="AD8" s="155">
        <f t="shared" si="12"/>
        <v>55.710955663859167</v>
      </c>
      <c r="AE8" s="155">
        <f t="shared" si="13"/>
        <v>53.002330045226579</v>
      </c>
      <c r="AF8" s="138">
        <f t="shared" si="26"/>
        <v>2.1406066577156762</v>
      </c>
      <c r="AG8" s="131"/>
      <c r="AH8" s="208">
        <f t="shared" si="14"/>
        <v>1.7777777777777779</v>
      </c>
      <c r="AI8" s="208">
        <f t="shared" si="15"/>
        <v>64</v>
      </c>
      <c r="AJ8" s="209">
        <f t="shared" si="16"/>
        <v>29373.233457459148</v>
      </c>
      <c r="AK8" s="209">
        <f t="shared" si="17"/>
        <v>63.74399621844433</v>
      </c>
      <c r="AL8" s="209">
        <f t="shared" si="18"/>
        <v>42.918885282894202</v>
      </c>
      <c r="AM8" s="209">
        <f t="shared" si="19"/>
        <v>63.746627012295448</v>
      </c>
      <c r="AN8" s="2">
        <f t="shared" si="32"/>
        <v>42.918885282894202</v>
      </c>
      <c r="AO8" s="3">
        <f t="shared" si="20"/>
        <v>19777.022338357649</v>
      </c>
      <c r="AP8" s="207">
        <f t="shared" si="27"/>
        <v>1.0114695134871853E-2</v>
      </c>
      <c r="AQ8" s="207">
        <f t="shared" si="33"/>
        <v>5.6569173942806014E-2</v>
      </c>
      <c r="AR8" s="211">
        <f t="shared" si="28"/>
        <v>7.5511249930799505E-7</v>
      </c>
      <c r="AS8" s="208">
        <f t="shared" si="34"/>
        <v>4.9564558312960312E-2</v>
      </c>
      <c r="AT8" s="212">
        <f t="shared" si="35"/>
        <v>-2.9202677371909597E-7</v>
      </c>
      <c r="AU8" s="145">
        <f t="shared" si="36"/>
        <v>0.1281622812461628</v>
      </c>
      <c r="AV8">
        <f t="shared" si="21"/>
        <v>1.2749999999999999</v>
      </c>
      <c r="AX8" s="110"/>
      <c r="AY8" s="87"/>
    </row>
    <row r="9" spans="1:51" ht="13.9" customHeight="1" x14ac:dyDescent="0.25">
      <c r="A9" t="s">
        <v>215</v>
      </c>
      <c r="B9" s="156">
        <v>45</v>
      </c>
      <c r="C9" s="200">
        <f t="shared" si="1"/>
        <v>1.5</v>
      </c>
      <c r="D9" s="72">
        <v>90</v>
      </c>
      <c r="E9" s="72">
        <v>1.597</v>
      </c>
      <c r="F9" s="72">
        <v>11.95</v>
      </c>
      <c r="G9" s="72">
        <v>5.94</v>
      </c>
      <c r="H9" s="72">
        <v>1860</v>
      </c>
      <c r="I9" s="72">
        <v>2690</v>
      </c>
      <c r="J9" s="60"/>
      <c r="K9" s="2">
        <f t="shared" si="2"/>
        <v>70.983000000000004</v>
      </c>
      <c r="L9" s="1">
        <f t="shared" si="3"/>
        <v>90</v>
      </c>
      <c r="M9" s="21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2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38">
        <f t="shared" si="0"/>
        <v>70.983000000000004</v>
      </c>
      <c r="V9" s="209">
        <f t="shared" si="23"/>
        <v>70.750439999999998</v>
      </c>
      <c r="W9" s="214">
        <f t="shared" si="24"/>
        <v>9.4877896549679999E-2</v>
      </c>
      <c r="X9" s="210">
        <f t="shared" si="29"/>
        <v>1.54472600930465E-2</v>
      </c>
      <c r="Y9" s="210">
        <f t="shared" si="30"/>
        <v>1.2257834183808764E-2</v>
      </c>
      <c r="Z9" s="208">
        <f t="shared" si="25"/>
        <v>2.1685044319317885</v>
      </c>
      <c r="AA9" s="209">
        <f t="shared" si="10"/>
        <v>31.320969624060666</v>
      </c>
      <c r="AB9" s="2">
        <f t="shared" si="31"/>
        <v>44.124606770720689</v>
      </c>
      <c r="AC9" s="138">
        <f t="shared" si="11"/>
        <v>28.887162196075124</v>
      </c>
      <c r="AD9" s="155">
        <f t="shared" si="12"/>
        <v>64.996114941169026</v>
      </c>
      <c r="AE9" s="155">
        <f t="shared" si="13"/>
        <v>64.233307043657476</v>
      </c>
      <c r="AF9" s="145">
        <f t="shared" si="26"/>
        <v>2.2235935329218597</v>
      </c>
      <c r="AG9" s="131"/>
      <c r="AH9" s="208">
        <f t="shared" si="14"/>
        <v>2.5</v>
      </c>
      <c r="AI9" s="208">
        <f t="shared" si="15"/>
        <v>90</v>
      </c>
      <c r="AJ9" s="209">
        <f t="shared" si="16"/>
        <v>33623.412187161055</v>
      </c>
      <c r="AK9" s="209">
        <f t="shared" si="17"/>
        <v>72.967474364498813</v>
      </c>
      <c r="AL9" s="209">
        <f t="shared" si="18"/>
        <v>51.657671855688882</v>
      </c>
      <c r="AM9" s="209">
        <f t="shared" si="19"/>
        <v>72.965809212818343</v>
      </c>
      <c r="AN9" s="2">
        <f t="shared" si="32"/>
        <v>51.657671855688875</v>
      </c>
      <c r="AO9" s="3">
        <f t="shared" si="20"/>
        <v>23803.855191101433</v>
      </c>
      <c r="AP9" s="207">
        <f t="shared" si="27"/>
        <v>1.3562109097944107E-2</v>
      </c>
      <c r="AQ9" s="207">
        <f t="shared" si="33"/>
        <v>8.6824901814055916E-2</v>
      </c>
      <c r="AR9" s="211">
        <f t="shared" si="28"/>
        <v>8.6713173196650656E-7</v>
      </c>
      <c r="AS9" s="208">
        <f t="shared" si="34"/>
        <v>4.3161628302909295E-2</v>
      </c>
      <c r="AT9" s="212">
        <f t="shared" si="35"/>
        <v>-3.4497472347068232E-7</v>
      </c>
      <c r="AU9" s="145">
        <f t="shared" si="36"/>
        <v>0.10849147766032501</v>
      </c>
      <c r="AV9">
        <f t="shared" si="21"/>
        <v>1.597</v>
      </c>
      <c r="AX9" s="110"/>
      <c r="AY9" s="87"/>
    </row>
    <row r="10" spans="1:51" ht="13.9" customHeight="1" x14ac:dyDescent="0.25">
      <c r="A10" t="s">
        <v>216</v>
      </c>
      <c r="B10" s="156">
        <v>50</v>
      </c>
      <c r="C10" s="200">
        <f t="shared" si="1"/>
        <v>1.6944444444444444</v>
      </c>
      <c r="D10" s="72">
        <v>125</v>
      </c>
      <c r="E10" s="72">
        <v>1.95</v>
      </c>
      <c r="F10" s="72">
        <v>11.84</v>
      </c>
      <c r="G10" s="72">
        <v>8.59</v>
      </c>
      <c r="H10" s="72">
        <v>1620</v>
      </c>
      <c r="I10" s="72">
        <v>2210</v>
      </c>
      <c r="J10" s="60"/>
      <c r="K10" s="2">
        <f t="shared" si="2"/>
        <v>101.7056</v>
      </c>
      <c r="L10" s="1">
        <f t="shared" si="3"/>
        <v>125</v>
      </c>
      <c r="M10" s="21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2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38">
        <f t="shared" si="0"/>
        <v>101.7056</v>
      </c>
      <c r="V10" s="209">
        <f t="shared" si="23"/>
        <v>101.47304</v>
      </c>
      <c r="W10" s="214">
        <f t="shared" si="24"/>
        <v>0.13607757904688</v>
      </c>
      <c r="X10" s="210">
        <f t="shared" si="29"/>
        <v>1.9296345019163774E-2</v>
      </c>
      <c r="Y10" s="210">
        <f t="shared" si="30"/>
        <v>1.6106919109926038E-2</v>
      </c>
      <c r="Z10" s="208">
        <f t="shared" si="25"/>
        <v>2.8586183252214661</v>
      </c>
      <c r="AA10" s="209">
        <f t="shared" si="10"/>
        <v>47.40552792106849</v>
      </c>
      <c r="AB10" s="2">
        <f t="shared" si="31"/>
        <v>46.610538575131052</v>
      </c>
      <c r="AC10" s="138">
        <f t="shared" si="11"/>
        <v>33.166741780678848</v>
      </c>
      <c r="AD10" s="155">
        <f t="shared" si="12"/>
        <v>74.625169006527415</v>
      </c>
      <c r="AE10" s="155">
        <f t="shared" si="13"/>
        <v>78.184432555402111</v>
      </c>
      <c r="AF10" s="145">
        <f t="shared" si="26"/>
        <v>2.3573142358212631</v>
      </c>
      <c r="AG10" s="131"/>
      <c r="AH10" s="208">
        <f t="shared" si="14"/>
        <v>3.4722222222222223</v>
      </c>
      <c r="AI10" s="208">
        <f t="shared" si="15"/>
        <v>125</v>
      </c>
      <c r="AJ10" s="209">
        <f t="shared" si="16"/>
        <v>37718.724936077138</v>
      </c>
      <c r="AK10" s="209">
        <f t="shared" si="17"/>
        <v>81.854871823084068</v>
      </c>
      <c r="AL10" s="209">
        <f t="shared" si="18"/>
        <v>60.078038700857462</v>
      </c>
      <c r="AM10" s="209">
        <f t="shared" si="19"/>
        <v>81.849067259481657</v>
      </c>
      <c r="AN10" s="2">
        <f t="shared" si="32"/>
        <v>60.078038700857462</v>
      </c>
      <c r="AO10" s="3">
        <f t="shared" si="20"/>
        <v>27683.960233355119</v>
      </c>
      <c r="AP10" s="207">
        <f t="shared" si="27"/>
        <v>1.7334303704993573E-2</v>
      </c>
      <c r="AQ10" s="207">
        <f t="shared" si="33"/>
        <v>0.12449120971193363</v>
      </c>
      <c r="AR10" s="211">
        <f t="shared" si="28"/>
        <v>9.7506926137538719E-7</v>
      </c>
      <c r="AS10" s="208">
        <f t="shared" si="34"/>
        <v>3.8383752813624543E-2</v>
      </c>
      <c r="AT10" s="212">
        <f t="shared" si="35"/>
        <v>-3.9988370839825341E-7</v>
      </c>
      <c r="AU10" s="145">
        <f t="shared" si="36"/>
        <v>9.3594254326365547E-2</v>
      </c>
      <c r="AV10">
        <f t="shared" si="21"/>
        <v>1.95</v>
      </c>
      <c r="AX10" s="130"/>
      <c r="AY10" s="132"/>
    </row>
    <row r="11" spans="1:51" ht="13.9" customHeight="1" x14ac:dyDescent="0.25">
      <c r="A11" t="s">
        <v>217</v>
      </c>
      <c r="B11" s="156">
        <v>52</v>
      </c>
      <c r="C11" s="200">
        <f t="shared" si="1"/>
        <v>1.8611111111111112</v>
      </c>
      <c r="D11" s="72">
        <v>155</v>
      </c>
      <c r="E11" s="72">
        <v>2.2599999999999998</v>
      </c>
      <c r="F11" s="72">
        <v>11.66</v>
      </c>
      <c r="G11" s="72">
        <v>12.52</v>
      </c>
      <c r="H11" s="72">
        <v>1430</v>
      </c>
      <c r="I11" s="72">
        <v>1900</v>
      </c>
      <c r="J11" s="60"/>
      <c r="K11" s="2">
        <f t="shared" si="2"/>
        <v>145.98320000000001</v>
      </c>
      <c r="L11" s="1">
        <f t="shared" si="3"/>
        <v>155</v>
      </c>
      <c r="M11" s="21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2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38">
        <f t="shared" si="0"/>
        <v>145.98320000000001</v>
      </c>
      <c r="V11" s="209">
        <f t="shared" si="23"/>
        <v>145.75064</v>
      </c>
      <c r="W11" s="214">
        <f t="shared" si="24"/>
        <v>0.19545481475408003</v>
      </c>
      <c r="X11" s="210">
        <f t="shared" si="29"/>
        <v>2.4465600375607542E-2</v>
      </c>
      <c r="Y11" s="210">
        <f t="shared" si="30"/>
        <v>2.1276174466369806E-2</v>
      </c>
      <c r="Z11" s="208">
        <f t="shared" si="25"/>
        <v>3.6687162857407287</v>
      </c>
      <c r="AA11" s="209">
        <f t="shared" si="10"/>
        <v>68.923277083737403</v>
      </c>
      <c r="AB11" s="2">
        <f t="shared" si="31"/>
        <v>47.213156776764308</v>
      </c>
      <c r="AC11" s="138">
        <f t="shared" si="11"/>
        <v>37.573511667622192</v>
      </c>
      <c r="AD11" s="155">
        <f t="shared" si="12"/>
        <v>84.54040125214992</v>
      </c>
      <c r="AE11" s="155">
        <f t="shared" si="13"/>
        <v>90.940839972336121</v>
      </c>
      <c r="AF11" s="143">
        <f t="shared" si="26"/>
        <v>2.4203444377732084</v>
      </c>
      <c r="AG11" s="139">
        <f>$N$41/($Q$27*$Q$36*$Q$33*($AC11-$Q$46)^2/4/$AF11)/(PI()*$Q$36/60/($AC11-$Q$46))</f>
        <v>-0.40910659315880837</v>
      </c>
      <c r="AH11" s="208">
        <f t="shared" si="14"/>
        <v>4.3055555555555554</v>
      </c>
      <c r="AI11" s="208">
        <f t="shared" si="15"/>
        <v>155</v>
      </c>
      <c r="AJ11" s="209">
        <f t="shared" si="16"/>
        <v>40400.421949761876</v>
      </c>
      <c r="AK11" s="209">
        <f t="shared" si="17"/>
        <v>87.674526800698516</v>
      </c>
      <c r="AL11" s="209">
        <f t="shared" si="18"/>
        <v>65.591872199604325</v>
      </c>
      <c r="AM11" s="209">
        <f t="shared" si="19"/>
        <v>87.666011663015411</v>
      </c>
      <c r="AN11" s="2">
        <f t="shared" si="32"/>
        <v>65.591872199604325</v>
      </c>
      <c r="AO11" s="3">
        <f t="shared" si="20"/>
        <v>30224.734709577675</v>
      </c>
      <c r="AP11" s="207">
        <f t="shared" si="27"/>
        <v>2.0043914891207496E-2</v>
      </c>
      <c r="AQ11" s="207">
        <f t="shared" si="33"/>
        <v>0.1541855710452967</v>
      </c>
      <c r="AR11" s="211">
        <f t="shared" si="28"/>
        <v>1.0457490282276053E-6</v>
      </c>
      <c r="AS11" s="208">
        <f t="shared" si="34"/>
        <v>3.578948341766993E-2</v>
      </c>
      <c r="AT11" s="212">
        <f t="shared" si="35"/>
        <v>-4.5642460371702845E-7</v>
      </c>
      <c r="AU11" s="145">
        <f t="shared" si="36"/>
        <v>8.199999999999999E-2</v>
      </c>
      <c r="AV11">
        <f t="shared" si="21"/>
        <v>2.2599999999999998</v>
      </c>
      <c r="AX11" s="110"/>
      <c r="AY11" s="87"/>
    </row>
    <row r="12" spans="1:51" ht="13.9" customHeight="1" x14ac:dyDescent="0.25">
      <c r="A12" t="s">
        <v>217</v>
      </c>
      <c r="B12" s="156">
        <v>52</v>
      </c>
      <c r="C12" s="200">
        <f t="shared" ref="C12" si="37">D12/180+1</f>
        <v>1.9166666666666665</v>
      </c>
      <c r="D12" s="72">
        <v>165</v>
      </c>
      <c r="E12" s="72">
        <v>2.34</v>
      </c>
      <c r="F12" s="72">
        <v>11.56</v>
      </c>
      <c r="G12" s="72">
        <v>14.28</v>
      </c>
      <c r="H12" s="72">
        <v>1380</v>
      </c>
      <c r="I12" s="72">
        <v>1815</v>
      </c>
      <c r="J12" s="60"/>
      <c r="K12" s="2">
        <f t="shared" ref="K12" si="38">F12*G12</f>
        <v>165.07679999999999</v>
      </c>
      <c r="L12" s="1">
        <f t="shared" ref="L12" si="39">D12</f>
        <v>165</v>
      </c>
      <c r="M12" s="21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38">
        <f t="shared" ref="U12" si="48">K12</f>
        <v>165.07679999999999</v>
      </c>
      <c r="V12" s="209">
        <f t="shared" si="23"/>
        <v>164.84423999999999</v>
      </c>
      <c r="W12" s="214">
        <f t="shared" si="24"/>
        <v>0.22105975241327999</v>
      </c>
      <c r="X12" s="210">
        <f t="shared" si="29"/>
        <v>2.6703133852514566E-2</v>
      </c>
      <c r="Y12" s="210">
        <f t="shared" ref="Y12" si="49">X12-$X$3</f>
        <v>2.351370794327683E-2</v>
      </c>
      <c r="Z12" s="208">
        <f t="shared" si="25"/>
        <v>3.9393813971388467</v>
      </c>
      <c r="AA12" s="209">
        <f t="shared" ref="AA12" si="50">SQRT(Z12^3/4/$Q$27/$Q$33)</f>
        <v>76.689652837214751</v>
      </c>
      <c r="AB12" s="2">
        <f t="shared" ref="AB12" si="51">AA12/U12*100</f>
        <v>46.456953876749942</v>
      </c>
      <c r="AC12" s="138">
        <f t="shared" ref="AC12" si="52">SQRT(Z12/$Q$33/$Q$27)</f>
        <v>38.934870786014308</v>
      </c>
      <c r="AD12" s="155">
        <f t="shared" ref="AD12" si="53">AC12*1/1.6/1000*3600</f>
        <v>87.603459268532191</v>
      </c>
      <c r="AE12" s="155">
        <f t="shared" ref="AE12" si="54">Q12/60*PI()*$C$39/1000</f>
        <v>95.199777381508866</v>
      </c>
      <c r="AF12" s="145">
        <f t="shared" ref="AF12" si="55">AE12/AC12</f>
        <v>2.4451032059339806</v>
      </c>
      <c r="AG12" s="131">
        <f>$N$41/($Q$27*$Q$36*$Q$33*($AC12-$Q$46)^2/4/$AF12)/(PI()*$Q$36/60/($AC12-$Q$46))</f>
        <v>-0.39805827273888134</v>
      </c>
      <c r="AH12" s="208">
        <f t="shared" ref="AH12" si="56">D12/$Q$31*$Q$23</f>
        <v>4.583333333333333</v>
      </c>
      <c r="AI12" s="208">
        <f t="shared" ref="AI12" si="57">AH12/$Q$23*$Q$31</f>
        <v>165</v>
      </c>
      <c r="AJ12" s="209">
        <f t="shared" si="16"/>
        <v>41179.83517703932</v>
      </c>
      <c r="AK12" s="209">
        <f t="shared" ref="AK12" si="58">MAX(($Q$41+$R$41*LN(AI12))/$Q$30,0)</f>
        <v>89.365961755727696</v>
      </c>
      <c r="AL12" s="209">
        <f t="shared" ref="AL12" si="59">($Q$42+$R$42*AK12*$Q$30)/$Q$30</f>
        <v>67.194422651798703</v>
      </c>
      <c r="AM12" s="209">
        <f t="shared" ref="AM12" si="60">($Q$43+$R$43*AL12*$Q$30)/$Q$30</f>
        <v>89.356658811934821</v>
      </c>
      <c r="AN12" s="2">
        <f t="shared" ref="AN12" si="61">AO12/$Q$30</f>
        <v>67.194422651798703</v>
      </c>
      <c r="AO12" s="3">
        <f t="shared" ref="AO12" si="62">MAX($Q$42+$R$42*AJ12, 0)</f>
        <v>30963.189957948842</v>
      </c>
      <c r="AP12" s="207">
        <f t="shared" si="27"/>
        <v>2.0866991062047129E-2</v>
      </c>
      <c r="AQ12" s="207">
        <f t="shared" ref="AQ12" si="63">AJ12*AP12/5252</f>
        <v>0.1636137190738487</v>
      </c>
      <c r="AR12" s="211">
        <f t="shared" ref="AR12" si="64">MAX($K$47+$L$47*2*AJ12,1E-32)</f>
        <v>1.0662915223663488E-6</v>
      </c>
      <c r="AS12" s="208">
        <f t="shared" ref="AS12" si="65">$Q$35/AR12</f>
        <v>3.50999859979544E-2</v>
      </c>
      <c r="AT12" s="212">
        <f t="shared" si="35"/>
        <v>-4.7389147069193619E-7</v>
      </c>
      <c r="AU12" s="145">
        <f t="shared" ref="AU12" si="66">-$Q$35/AT12</f>
        <v>7.8977613693170842E-2</v>
      </c>
      <c r="AV12">
        <f t="shared" ref="AV12" si="67">E12</f>
        <v>2.34</v>
      </c>
      <c r="AX12" s="110"/>
      <c r="AY12" s="87"/>
    </row>
    <row r="13" spans="1:51" ht="13.9" customHeight="1" x14ac:dyDescent="0.25">
      <c r="A13" t="s">
        <v>219</v>
      </c>
      <c r="B13" t="s">
        <v>220</v>
      </c>
      <c r="C13" s="200">
        <f t="shared" si="1"/>
        <v>2</v>
      </c>
      <c r="D13" s="72">
        <v>180</v>
      </c>
      <c r="E13" s="72">
        <v>2.4</v>
      </c>
      <c r="F13" s="72">
        <v>11.53</v>
      </c>
      <c r="G13" s="72">
        <v>14.92</v>
      </c>
      <c r="H13" s="72">
        <v>1368</v>
      </c>
      <c r="I13" s="72">
        <v>1790</v>
      </c>
      <c r="J13" s="60"/>
      <c r="K13" s="2">
        <f t="shared" si="2"/>
        <v>172.02759999999998</v>
      </c>
      <c r="L13" s="1">
        <f t="shared" si="3"/>
        <v>180</v>
      </c>
      <c r="M13" s="21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2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38">
        <f t="shared" si="0"/>
        <v>172.02759999999998</v>
      </c>
      <c r="V13" s="209">
        <f t="shared" si="23"/>
        <v>171.79503999999997</v>
      </c>
      <c r="W13" s="214">
        <f t="shared" si="24"/>
        <v>0.23038092813087999</v>
      </c>
      <c r="X13" s="210">
        <f t="shared" si="29"/>
        <v>2.7587102467589102E-2</v>
      </c>
      <c r="Y13" s="210">
        <f t="shared" si="30"/>
        <v>2.4397676558351365E-2</v>
      </c>
      <c r="Z13" s="143">
        <f>C33/0.224</f>
        <v>4.4249528005034611</v>
      </c>
      <c r="AA13" s="209">
        <f t="shared" si="10"/>
        <v>91.297248929319878</v>
      </c>
      <c r="AB13" s="2">
        <f t="shared" si="31"/>
        <v>53.071279800055272</v>
      </c>
      <c r="AC13" s="138">
        <f t="shared" si="11"/>
        <v>41.264733453849395</v>
      </c>
      <c r="AD13" s="155">
        <f t="shared" si="12"/>
        <v>92.845650271161119</v>
      </c>
      <c r="AE13" s="155">
        <f t="shared" si="13"/>
        <v>96.529383210859564</v>
      </c>
      <c r="AF13" s="145">
        <f t="shared" si="26"/>
        <v>2.3392707314786927</v>
      </c>
      <c r="AG13" s="131"/>
      <c r="AH13" s="208">
        <f t="shared" si="14"/>
        <v>5</v>
      </c>
      <c r="AI13" s="208">
        <f t="shared" si="15"/>
        <v>180</v>
      </c>
      <c r="AJ13" s="209">
        <f t="shared" si="16"/>
        <v>42264.566957595045</v>
      </c>
      <c r="AK13" s="209">
        <f t="shared" si="17"/>
        <v>91.71998037672536</v>
      </c>
      <c r="AL13" s="209">
        <f t="shared" si="18"/>
        <v>69.424738156593676</v>
      </c>
      <c r="AM13" s="209">
        <f t="shared" si="19"/>
        <v>91.709581020536177</v>
      </c>
      <c r="AN13" s="2">
        <f t="shared" si="32"/>
        <v>69.424738156593676</v>
      </c>
      <c r="AO13" s="3">
        <f t="shared" si="20"/>
        <v>31990.919342558369</v>
      </c>
      <c r="AP13" s="207">
        <f t="shared" si="27"/>
        <v>2.2039137376307687E-2</v>
      </c>
      <c r="AQ13" s="207">
        <f t="shared" si="33"/>
        <v>0.17735616856980041</v>
      </c>
      <c r="AR13" s="211">
        <f t="shared" si="28"/>
        <v>1.0948811016348599E-6</v>
      </c>
      <c r="AS13" s="208">
        <f t="shared" si="34"/>
        <v>3.4183453754851705E-2</v>
      </c>
      <c r="AT13" s="212">
        <f t="shared" si="35"/>
        <v>-5.0378468603760041E-7</v>
      </c>
      <c r="AU13" s="145">
        <f t="shared" si="36"/>
        <v>7.4291296544101271E-2</v>
      </c>
      <c r="AV13">
        <f t="shared" si="21"/>
        <v>2.4</v>
      </c>
      <c r="AX13" s="110"/>
      <c r="AY13" s="87"/>
    </row>
    <row r="14" spans="1:51" ht="13.9" customHeight="1" x14ac:dyDescent="0.25">
      <c r="AE14" s="45"/>
      <c r="AF14" s="30"/>
      <c r="AV14" s="126"/>
      <c r="AW14" s="86"/>
      <c r="AX14" s="111"/>
      <c r="AY14" s="87"/>
    </row>
    <row r="15" spans="1:51" x14ac:dyDescent="0.25">
      <c r="A15" t="s">
        <v>221</v>
      </c>
      <c r="AE15" s="174"/>
      <c r="AF15" s="30"/>
    </row>
    <row r="16" spans="1:51" ht="13.9" customHeight="1" x14ac:dyDescent="0.25">
      <c r="A16">
        <v>1</v>
      </c>
      <c r="C16" t="s">
        <v>222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223</v>
      </c>
      <c r="I17" s="3"/>
      <c r="J17" s="13" t="s">
        <v>262</v>
      </c>
      <c r="K17" s="14"/>
      <c r="L17" s="14"/>
      <c r="AE17" s="129"/>
      <c r="AF17" s="30"/>
    </row>
    <row r="18" spans="1:48" ht="13.9" customHeight="1" x14ac:dyDescent="0.25">
      <c r="A18">
        <v>3</v>
      </c>
      <c r="C18" t="s">
        <v>225</v>
      </c>
      <c r="I18" s="3"/>
      <c r="J18" s="15" t="s">
        <v>260</v>
      </c>
      <c r="K18" s="16"/>
      <c r="L18" s="16"/>
      <c r="AE18" s="129"/>
      <c r="AF18" s="30"/>
    </row>
    <row r="19" spans="1:48" ht="13.9" customHeight="1" x14ac:dyDescent="0.25">
      <c r="A19">
        <v>4</v>
      </c>
      <c r="C19" t="s">
        <v>224</v>
      </c>
      <c r="J19" s="267" t="s">
        <v>283</v>
      </c>
      <c r="K19" s="266"/>
      <c r="L19" s="266"/>
      <c r="M19" s="266"/>
      <c r="N19" s="266"/>
      <c r="O19" s="268"/>
      <c r="AE19" s="129"/>
      <c r="AF19" s="30"/>
      <c r="AN19" s="45"/>
    </row>
    <row r="20" spans="1:48" ht="13.9" customHeight="1" x14ac:dyDescent="0.25">
      <c r="A20">
        <v>5</v>
      </c>
      <c r="C20" t="s">
        <v>226</v>
      </c>
      <c r="O20" s="168"/>
      <c r="AE20" s="12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227</v>
      </c>
      <c r="O21" s="168"/>
      <c r="AN21" s="45"/>
      <c r="AO21" s="5"/>
      <c r="AV21" s="5"/>
    </row>
    <row r="22" spans="1:48" ht="13.9" customHeight="1" x14ac:dyDescent="0.25">
      <c r="A22">
        <v>7</v>
      </c>
      <c r="C22" t="s">
        <v>229</v>
      </c>
      <c r="O22" s="168"/>
      <c r="P22" s="194" t="s">
        <v>256</v>
      </c>
      <c r="Q22" s="63"/>
      <c r="R22" s="63"/>
      <c r="S22" s="63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261</v>
      </c>
      <c r="D23" s="60"/>
      <c r="E23" s="60"/>
      <c r="F23" s="60"/>
      <c r="G23" s="60"/>
      <c r="O23" s="168"/>
      <c r="P23" s="247" t="s">
        <v>15</v>
      </c>
      <c r="Q23" s="248">
        <f>C45</f>
        <v>5</v>
      </c>
      <c r="R23" s="45"/>
      <c r="S23" s="30"/>
      <c r="T23" s="31" t="s">
        <v>251</v>
      </c>
      <c r="AN23" s="45"/>
      <c r="AO23" s="5"/>
      <c r="AV23" s="5"/>
    </row>
    <row r="24" spans="1:48" ht="13.9" customHeight="1" thickBot="1" x14ac:dyDescent="0.3">
      <c r="H24" s="60"/>
      <c r="I24" s="60"/>
      <c r="J24" s="60"/>
      <c r="K24" s="167"/>
      <c r="L24" s="60"/>
      <c r="M24" s="60"/>
      <c r="N24" s="168"/>
      <c r="O24" s="168"/>
      <c r="P24" s="247" t="s">
        <v>17</v>
      </c>
      <c r="Q24" s="248">
        <f>C37</f>
        <v>5</v>
      </c>
      <c r="R24" s="30"/>
      <c r="S24" s="30"/>
      <c r="T24" s="31" t="s">
        <v>251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E25" s="60"/>
      <c r="F25" s="169"/>
      <c r="G25" s="60"/>
      <c r="I25" s="17" t="s">
        <v>120</v>
      </c>
      <c r="J25" s="28"/>
      <c r="K25" s="28"/>
      <c r="L25" s="29"/>
      <c r="M25" s="60"/>
      <c r="N25" s="168"/>
      <c r="O25" s="168"/>
      <c r="P25" s="247" t="s">
        <v>16</v>
      </c>
      <c r="Q25" s="248">
        <f>C36</f>
        <v>0</v>
      </c>
      <c r="R25" s="30"/>
      <c r="S25" s="30"/>
      <c r="T25" s="31" t="s">
        <v>251</v>
      </c>
      <c r="AN25" s="45"/>
      <c r="AO25" s="5"/>
      <c r="AV25" s="5"/>
    </row>
    <row r="26" spans="1:48" ht="13.9" customHeight="1" x14ac:dyDescent="0.25">
      <c r="A26" s="169"/>
      <c r="B26" s="19" t="s">
        <v>4</v>
      </c>
      <c r="C26" s="20">
        <v>4800</v>
      </c>
      <c r="D26" t="s">
        <v>71</v>
      </c>
      <c r="E26" s="60"/>
      <c r="F26" s="169"/>
      <c r="G26" s="60"/>
      <c r="I26" s="19" t="s">
        <v>114</v>
      </c>
      <c r="J26" s="188">
        <v>25</v>
      </c>
      <c r="K26" s="30" t="s">
        <v>83</v>
      </c>
      <c r="L26" s="31"/>
      <c r="M26" s="60"/>
      <c r="N26" s="168"/>
      <c r="O26" s="168"/>
      <c r="P26" s="247" t="s">
        <v>14</v>
      </c>
      <c r="Q26" s="248">
        <f>C44</f>
        <v>0</v>
      </c>
      <c r="R26" s="45"/>
      <c r="S26" s="30"/>
      <c r="T26" s="31" t="s">
        <v>251</v>
      </c>
      <c r="AN26" s="45"/>
      <c r="AO26" s="5"/>
      <c r="AP26" s="5"/>
    </row>
    <row r="27" spans="1:48" ht="13.9" customHeight="1" x14ac:dyDescent="0.25">
      <c r="A27" s="169"/>
      <c r="B27" s="19" t="s">
        <v>5</v>
      </c>
      <c r="C27" s="20">
        <v>12</v>
      </c>
      <c r="D27"/>
      <c r="E27" s="60"/>
      <c r="F27" s="60"/>
      <c r="G27" s="60"/>
      <c r="I27" s="19" t="s">
        <v>130</v>
      </c>
      <c r="J27" s="188">
        <v>2.1797</v>
      </c>
      <c r="K27" s="30" t="s">
        <v>84</v>
      </c>
      <c r="L27" s="31"/>
      <c r="M27" s="60"/>
      <c r="N27" s="168"/>
      <c r="O27" s="168"/>
      <c r="P27" s="247" t="s">
        <v>163</v>
      </c>
      <c r="Q27" s="249">
        <f>$C$42</f>
        <v>1.2250000000000001</v>
      </c>
      <c r="R27" s="30"/>
      <c r="S27" s="30"/>
      <c r="T27" s="31" t="s">
        <v>147</v>
      </c>
      <c r="AN27" s="45"/>
      <c r="AO27" s="5"/>
      <c r="AP27" s="5"/>
    </row>
    <row r="28" spans="1:48" ht="13.9" customHeight="1" x14ac:dyDescent="0.25">
      <c r="A28" s="169"/>
      <c r="B28" s="56" t="s">
        <v>63</v>
      </c>
      <c r="C28" s="20">
        <v>3.9899999999999998E-2</v>
      </c>
      <c r="D28" t="s">
        <v>70</v>
      </c>
      <c r="E28" s="60"/>
      <c r="F28" s="60"/>
      <c r="G28" s="6"/>
      <c r="I28" s="19" t="s">
        <v>115</v>
      </c>
      <c r="J28" s="44">
        <f>($J$26/25.4)^2*$J$27/1000*2.2/3</f>
        <v>1.5484983053299442E-3</v>
      </c>
      <c r="K28" s="30" t="s">
        <v>86</v>
      </c>
      <c r="L28" s="157" t="s">
        <v>132</v>
      </c>
      <c r="N28" s="3"/>
      <c r="O28" s="3"/>
      <c r="P28" s="195"/>
      <c r="Q28" s="193"/>
      <c r="R28" s="193"/>
      <c r="S28" s="193"/>
      <c r="T28" s="196"/>
      <c r="AN28" s="45"/>
      <c r="AO28" s="5"/>
      <c r="AP28" s="5"/>
      <c r="AQ28" s="5"/>
      <c r="AR28" s="5"/>
      <c r="AS28" s="131"/>
      <c r="AT28" s="133"/>
      <c r="AU28" s="5"/>
    </row>
    <row r="29" spans="1:48" ht="13.9" customHeight="1" x14ac:dyDescent="0.25">
      <c r="A29" s="169"/>
      <c r="B29" s="56" t="s">
        <v>64</v>
      </c>
      <c r="C29" s="112">
        <v>4.1999999999999996E-6</v>
      </c>
      <c r="D29" t="s">
        <v>69</v>
      </c>
      <c r="E29" s="60"/>
      <c r="F29" s="60"/>
      <c r="G29" s="6"/>
      <c r="I29" s="19" t="s">
        <v>127</v>
      </c>
      <c r="J29" s="190">
        <f>3/8/2*25.4</f>
        <v>4.7624999999999993</v>
      </c>
      <c r="K29" s="30" t="s">
        <v>83</v>
      </c>
      <c r="L29" s="31" t="s">
        <v>128</v>
      </c>
      <c r="N29" s="3"/>
      <c r="O29" s="3"/>
      <c r="P29" s="197" t="s">
        <v>257</v>
      </c>
      <c r="Q29" s="193"/>
      <c r="R29" s="193"/>
      <c r="S29" s="193"/>
      <c r="T29" s="196"/>
      <c r="AN29" s="45"/>
      <c r="AO29" s="5"/>
      <c r="AP29" s="5"/>
      <c r="AQ29" s="5"/>
      <c r="AR29" s="5"/>
      <c r="AS29" s="131"/>
      <c r="AT29" s="133"/>
      <c r="AU29" s="5"/>
    </row>
    <row r="30" spans="1:48" ht="13.9" customHeight="1" x14ac:dyDescent="0.25">
      <c r="A30" s="169"/>
      <c r="B30" s="19" t="s">
        <v>241</v>
      </c>
      <c r="C30" s="20">
        <v>240</v>
      </c>
      <c r="D30" t="s">
        <v>242</v>
      </c>
      <c r="E30" s="60"/>
      <c r="F30" s="60"/>
      <c r="G30" s="6"/>
      <c r="I30" s="19" t="s">
        <v>129</v>
      </c>
      <c r="J30" s="190">
        <f>3/4*25.4</f>
        <v>19.049999999999997</v>
      </c>
      <c r="K30" s="30" t="s">
        <v>83</v>
      </c>
      <c r="L30" s="31" t="s">
        <v>128</v>
      </c>
      <c r="N30" s="3"/>
      <c r="O30" s="3"/>
      <c r="P30" s="247" t="s">
        <v>27</v>
      </c>
      <c r="Q30" s="248">
        <f>$C$26*$C$27/$B$49/100</f>
        <v>460.8</v>
      </c>
      <c r="R30" s="30"/>
      <c r="S30" s="30"/>
      <c r="T30" s="31" t="s">
        <v>252</v>
      </c>
      <c r="AN30" s="45"/>
      <c r="AO30" s="5"/>
    </row>
    <row r="31" spans="1:48" x14ac:dyDescent="0.25">
      <c r="A31" s="169"/>
      <c r="B31" s="56" t="s">
        <v>65</v>
      </c>
      <c r="C31" s="113">
        <f>C26*2*PI()/60</f>
        <v>502.6548245743669</v>
      </c>
      <c r="D31" t="s">
        <v>67</v>
      </c>
      <c r="E31" s="60"/>
      <c r="F31" s="60"/>
      <c r="G31" s="6"/>
      <c r="I31" s="19" t="s">
        <v>131</v>
      </c>
      <c r="J31" s="44">
        <f>PI()*($J$29/25.4)^2/4*3/4*0.3</f>
        <v>6.2126221909368446E-3</v>
      </c>
      <c r="K31" s="30" t="s">
        <v>134</v>
      </c>
      <c r="L31" s="31" t="s">
        <v>128</v>
      </c>
      <c r="N31" s="3"/>
      <c r="O31" s="3"/>
      <c r="P31" s="247" t="s">
        <v>18</v>
      </c>
      <c r="Q31" s="248">
        <f>C47</f>
        <v>180</v>
      </c>
      <c r="R31" s="30"/>
      <c r="S31" s="30"/>
      <c r="T31" s="31" t="s">
        <v>161</v>
      </c>
    </row>
    <row r="32" spans="1:48" ht="13.9" customHeight="1" x14ac:dyDescent="0.25">
      <c r="A32" s="169"/>
      <c r="B32" s="56" t="s">
        <v>66</v>
      </c>
      <c r="C32" s="115">
        <f>7/C31</f>
        <v>1.3926057520540842E-2</v>
      </c>
      <c r="D32" t="s">
        <v>68</v>
      </c>
      <c r="E32" s="60"/>
      <c r="F32" s="60"/>
      <c r="G32" s="6"/>
      <c r="I32" s="19" t="s">
        <v>121</v>
      </c>
      <c r="J32" s="44">
        <f>($J$29/25.4)^2*$J$31/2</f>
        <v>1.0920624945006168E-4</v>
      </c>
      <c r="K32" s="30" t="s">
        <v>86</v>
      </c>
      <c r="L32" s="31" t="s">
        <v>133</v>
      </c>
      <c r="N32" s="3"/>
      <c r="O32" s="3"/>
      <c r="P32" s="247" t="s">
        <v>13</v>
      </c>
      <c r="Q32" s="248">
        <f>C46</f>
        <v>0</v>
      </c>
      <c r="R32" s="30"/>
      <c r="S32" s="30"/>
      <c r="T32" s="31" t="s">
        <v>161</v>
      </c>
    </row>
    <row r="33" spans="1:50" ht="13.9" customHeight="1" thickBot="1" x14ac:dyDescent="0.3">
      <c r="B33" s="114" t="s">
        <v>243</v>
      </c>
      <c r="C33" s="184">
        <f>450/454</f>
        <v>0.99118942731277537</v>
      </c>
      <c r="D33" s="6" t="s">
        <v>141</v>
      </c>
      <c r="E33" s="60"/>
      <c r="F33" s="60"/>
      <c r="G33" s="6"/>
      <c r="I33" s="19" t="s">
        <v>85</v>
      </c>
      <c r="J33" s="44">
        <f>$J$28+$J$32</f>
        <v>1.6577045547800059E-3</v>
      </c>
      <c r="K33" s="30" t="s">
        <v>86</v>
      </c>
      <c r="L33" s="31"/>
      <c r="N33" s="3"/>
      <c r="O33" s="3"/>
      <c r="P33" s="247" t="s">
        <v>164</v>
      </c>
      <c r="Q33" s="249">
        <f>(C39^2-C40^2)*PI()/4/1000^2</f>
        <v>2.1213604393365078E-3</v>
      </c>
      <c r="R33" s="30"/>
      <c r="S33" s="30"/>
      <c r="T33" s="31" t="s">
        <v>250</v>
      </c>
    </row>
    <row r="34" spans="1:50" ht="15" customHeight="1" thickBot="1" x14ac:dyDescent="0.3">
      <c r="D34"/>
      <c r="E34" s="60"/>
      <c r="F34" s="60"/>
      <c r="G34" s="6"/>
      <c r="I34" s="19" t="s">
        <v>85</v>
      </c>
      <c r="J34" s="44">
        <f>$J$33/144</f>
        <v>1.1511837185972264E-5</v>
      </c>
      <c r="K34" s="30" t="s">
        <v>87</v>
      </c>
      <c r="L34" s="31"/>
      <c r="N34" s="3"/>
      <c r="O34" s="3"/>
      <c r="P34" s="247" t="s">
        <v>169</v>
      </c>
      <c r="Q34" s="250">
        <f>1/1.3556</f>
        <v>0.73768073177928595</v>
      </c>
      <c r="R34" s="30"/>
      <c r="S34" s="30"/>
      <c r="T34" s="31" t="s">
        <v>255</v>
      </c>
    </row>
    <row r="35" spans="1:50" ht="15" customHeight="1" thickBot="1" x14ac:dyDescent="0.3">
      <c r="A35" t="s">
        <v>33</v>
      </c>
      <c r="B35" s="17"/>
      <c r="C35" s="202" t="s">
        <v>22</v>
      </c>
      <c r="D35"/>
      <c r="E35" s="60"/>
      <c r="F35" s="60"/>
      <c r="G35" s="6"/>
      <c r="I35" s="21" t="s">
        <v>85</v>
      </c>
      <c r="J35" s="97">
        <f>$J$34/2048.5*6.66</f>
        <v>3.7426817504796325E-8</v>
      </c>
      <c r="K35" s="32" t="s">
        <v>88</v>
      </c>
      <c r="L35" s="33"/>
      <c r="N35" s="3"/>
      <c r="O35" s="3"/>
      <c r="P35" s="247" t="s">
        <v>170</v>
      </c>
      <c r="Q35" s="251">
        <f>$J$34/2048.5*6.66</f>
        <v>3.7426817504796325E-8</v>
      </c>
      <c r="R35" s="30"/>
      <c r="S35" s="30"/>
      <c r="T35" s="31" t="s">
        <v>73</v>
      </c>
    </row>
    <row r="36" spans="1:50" ht="15" customHeight="1" x14ac:dyDescent="0.25">
      <c r="B36" s="24" t="s">
        <v>16</v>
      </c>
      <c r="C36" s="183">
        <v>0</v>
      </c>
      <c r="D36"/>
      <c r="F36" s="6"/>
      <c r="G36" s="6"/>
      <c r="I36" s="30"/>
      <c r="J36" s="45"/>
      <c r="K36" s="30"/>
      <c r="L36" s="30"/>
      <c r="N36" s="3"/>
      <c r="O36" s="3"/>
      <c r="P36" s="247" t="s">
        <v>185</v>
      </c>
      <c r="Q36" s="249">
        <f>C39/1000</f>
        <v>5.5E-2</v>
      </c>
      <c r="R36" s="30"/>
      <c r="S36" s="30"/>
      <c r="T36" s="31" t="s">
        <v>248</v>
      </c>
    </row>
    <row r="37" spans="1:50" ht="15.75" thickBot="1" x14ac:dyDescent="0.3">
      <c r="B37" s="26" t="s">
        <v>17</v>
      </c>
      <c r="C37" s="180">
        <v>5</v>
      </c>
      <c r="F37" s="6"/>
      <c r="G37" s="6" t="s">
        <v>291</v>
      </c>
      <c r="H37" s="6"/>
      <c r="I37" s="45" t="s">
        <v>290</v>
      </c>
      <c r="J37" s="45"/>
      <c r="K37" s="45"/>
      <c r="L37" s="45"/>
      <c r="M37" s="6"/>
      <c r="N37" s="3"/>
      <c r="O37" s="3"/>
      <c r="P37" s="247" t="s">
        <v>204</v>
      </c>
      <c r="Q37" s="250">
        <f>$Z$13</f>
        <v>4.4249528005034611</v>
      </c>
      <c r="R37" s="30"/>
      <c r="S37" s="30"/>
      <c r="T37" s="31" t="s">
        <v>144</v>
      </c>
      <c r="AI37" s="5"/>
    </row>
    <row r="38" spans="1:50" ht="75.75" thickBot="1" x14ac:dyDescent="0.3">
      <c r="I38" s="173" t="s">
        <v>89</v>
      </c>
      <c r="J38" s="216" t="s">
        <v>280</v>
      </c>
      <c r="K38" s="216" t="s">
        <v>332</v>
      </c>
      <c r="L38" s="271" t="s">
        <v>322</v>
      </c>
      <c r="M38" s="243" t="s">
        <v>258</v>
      </c>
      <c r="N38" s="244" t="s">
        <v>259</v>
      </c>
      <c r="P38" s="195"/>
      <c r="Q38" s="193"/>
      <c r="R38" s="193"/>
      <c r="S38" s="193"/>
      <c r="T38" s="196"/>
      <c r="AI38" s="5"/>
    </row>
    <row r="39" spans="1:50" ht="18.75" x14ac:dyDescent="0.3">
      <c r="A39" s="3" t="s">
        <v>232</v>
      </c>
      <c r="B39" s="17" t="s">
        <v>233</v>
      </c>
      <c r="C39" s="179">
        <v>55</v>
      </c>
      <c r="D39" t="s">
        <v>83</v>
      </c>
      <c r="E39"/>
      <c r="I39" s="228">
        <f>(L39-L41)/(L40-L41)*(I40-I41)+I41</f>
        <v>83.875</v>
      </c>
      <c r="J39" s="233">
        <f t="shared" ref="J39:J44" si="68">(I39*$Q$30*$R$43+$Q$43)/$Q$30</f>
        <v>106.95421431943859</v>
      </c>
      <c r="K39" s="276">
        <f>LOG10(J39)</f>
        <v>2.0291979017604489</v>
      </c>
      <c r="L39" s="222">
        <v>0</v>
      </c>
      <c r="M39" s="193"/>
      <c r="N39" s="196"/>
      <c r="P39" s="206" t="s">
        <v>289</v>
      </c>
      <c r="Q39" s="57"/>
      <c r="R39" s="57"/>
      <c r="S39" s="57"/>
      <c r="T39" s="25"/>
      <c r="AI39" s="5"/>
    </row>
    <row r="40" spans="1:50" ht="15.75" thickBot="1" x14ac:dyDescent="0.3">
      <c r="B40" s="21" t="s">
        <v>234</v>
      </c>
      <c r="C40" s="180">
        <v>18</v>
      </c>
      <c r="D40" t="s">
        <v>83</v>
      </c>
      <c r="E40"/>
      <c r="I40" s="221">
        <v>62</v>
      </c>
      <c r="J40" s="233">
        <f t="shared" si="68"/>
        <v>83.87668416619394</v>
      </c>
      <c r="K40" s="276">
        <f t="shared" ref="K40:K44" si="69">LOG10(J40)</f>
        <v>1.9236412534958733</v>
      </c>
      <c r="L40" s="223">
        <v>0.05</v>
      </c>
      <c r="M40" s="229"/>
      <c r="N40" s="230"/>
      <c r="P40" s="64" t="s">
        <v>108</v>
      </c>
      <c r="Q40" s="185">
        <f>INDEX(LINEST($Q$4:$Q$13,$E$4:$E$13^{1,2},FALSE,FALSE),3)</f>
        <v>0</v>
      </c>
      <c r="R40" s="185">
        <f>INDEX(LINEST($Q$4:$Q$13,$E$4:$E$13^{1,2},FALSE,FALSE),2)</f>
        <v>13952.048063061469</v>
      </c>
      <c r="S40" s="185">
        <f>INDEX(LINEST($Q$4:$Q$13,$E$4:$E$13^{1,2},FALSE,FALSE),1)</f>
        <v>27.100402751216251</v>
      </c>
      <c r="T40" s="31" t="s">
        <v>253</v>
      </c>
      <c r="AI40" s="5"/>
    </row>
    <row r="41" spans="1:50" ht="15.75" thickBot="1" x14ac:dyDescent="0.3">
      <c r="B41" s="30"/>
      <c r="C41" s="181"/>
      <c r="D41"/>
      <c r="E41"/>
      <c r="H41" s="10"/>
      <c r="I41" s="221">
        <v>48</v>
      </c>
      <c r="J41" s="233">
        <f t="shared" si="68"/>
        <v>69.107064868117362</v>
      </c>
      <c r="K41" s="276">
        <f t="shared" si="69"/>
        <v>1.8395224479009638</v>
      </c>
      <c r="L41" s="223">
        <v>8.2000000000000003E-2</v>
      </c>
      <c r="M41" s="231">
        <f>$Q$35/L41</f>
        <v>4.5642460371702835E-7</v>
      </c>
      <c r="N41" s="232">
        <f>-M41/$Q$34</f>
        <v>-6.1872919279880365E-7</v>
      </c>
      <c r="P41" s="64" t="s">
        <v>21</v>
      </c>
      <c r="Q41" s="185">
        <f>INDEX(LINEST($P$3:$P$13,$M$3:$M$13),2)</f>
        <v>-22473.695165144814</v>
      </c>
      <c r="R41" s="66">
        <f>INDEX(LINEST($P$3:$P$13,$M$3:$M$13),1)</f>
        <v>12466.551134859134</v>
      </c>
      <c r="S41" s="30"/>
      <c r="T41" s="31" t="s">
        <v>253</v>
      </c>
      <c r="AI41" s="5"/>
      <c r="AW41" s="131"/>
      <c r="AX41" s="144"/>
    </row>
    <row r="42" spans="1:50" ht="15.75" thickBot="1" x14ac:dyDescent="0.3">
      <c r="A42" s="10" t="s">
        <v>235</v>
      </c>
      <c r="B42" s="177" t="s">
        <v>236</v>
      </c>
      <c r="C42" s="182">
        <v>1.2250000000000001</v>
      </c>
      <c r="D42" t="s">
        <v>147</v>
      </c>
      <c r="E42" t="s">
        <v>155</v>
      </c>
      <c r="G42" s="6"/>
      <c r="I42" s="221">
        <v>25</v>
      </c>
      <c r="J42" s="233">
        <f t="shared" si="68"/>
        <v>44.842690306991543</v>
      </c>
      <c r="K42" s="276">
        <f t="shared" si="69"/>
        <v>1.6516916599093785</v>
      </c>
      <c r="L42" s="223">
        <v>0.19600000000000001</v>
      </c>
      <c r="M42" s="60"/>
      <c r="N42" s="230"/>
      <c r="P42" s="64" t="s">
        <v>109</v>
      </c>
      <c r="Q42" s="185">
        <f>INDEX(LINEST($Q$5:$Q$13,$P$5:$P$13),2)</f>
        <v>-8052.6547176247004</v>
      </c>
      <c r="R42" s="270">
        <f>INDEX(LINEST($Q$5:$Q$13,$P$5:$P$13),1)</f>
        <v>0.94745023888118041</v>
      </c>
      <c r="S42" s="30"/>
      <c r="T42" s="31" t="s">
        <v>253</v>
      </c>
      <c r="AI42" s="5"/>
    </row>
    <row r="43" spans="1:50" ht="15.75" thickBot="1" x14ac:dyDescent="0.3">
      <c r="C43" s="178"/>
      <c r="D43"/>
      <c r="E43"/>
      <c r="G43" s="6"/>
      <c r="I43" s="221">
        <v>16</v>
      </c>
      <c r="J43" s="233">
        <f t="shared" si="68"/>
        <v>35.347935043942314</v>
      </c>
      <c r="K43" s="276">
        <f t="shared" si="69"/>
        <v>1.5483640482541254</v>
      </c>
      <c r="L43" s="223">
        <v>0.249</v>
      </c>
      <c r="M43" s="60"/>
      <c r="N43" s="230"/>
      <c r="P43" s="64" t="s">
        <v>110</v>
      </c>
      <c r="Q43" s="185">
        <f>INDEX(LINEST($P$5:$P$13,$Q$5:$Q$13),2)</f>
        <v>8510.2249567586878</v>
      </c>
      <c r="R43" s="270">
        <f>INDEX(LINEST($P$5:$P$13,$Q$5:$Q$13),1)</f>
        <v>1.05497280700547</v>
      </c>
      <c r="S43" s="30"/>
      <c r="T43" s="31" t="s">
        <v>253</v>
      </c>
      <c r="AI43" s="5"/>
    </row>
    <row r="44" spans="1:50" ht="15.75" thickBot="1" x14ac:dyDescent="0.3">
      <c r="A44" s="168" t="s">
        <v>237</v>
      </c>
      <c r="B44" s="173" t="s">
        <v>238</v>
      </c>
      <c r="C44" s="179">
        <v>0</v>
      </c>
      <c r="D44" s="30" t="s">
        <v>244</v>
      </c>
      <c r="E44"/>
      <c r="F44" s="6"/>
      <c r="I44" s="234">
        <f>(L44-L42)/(L43-L42)*(I43-I42)+I42</f>
        <v>-26.622641509433969</v>
      </c>
      <c r="J44" s="237">
        <f t="shared" si="68"/>
        <v>-9.6177927112531076</v>
      </c>
      <c r="K44" s="275"/>
      <c r="L44" s="226">
        <v>0.5</v>
      </c>
      <c r="M44" s="235"/>
      <c r="N44" s="236"/>
      <c r="P44" s="64" t="s">
        <v>166</v>
      </c>
      <c r="Q44" s="186">
        <f>AG11</f>
        <v>-0.40910659315880837</v>
      </c>
      <c r="R44" s="30"/>
      <c r="S44" s="30"/>
      <c r="T44" s="31" t="s">
        <v>247</v>
      </c>
      <c r="U44" s="5"/>
      <c r="AI44" s="5"/>
      <c r="AJ44" s="5"/>
      <c r="AK44" s="131"/>
    </row>
    <row r="45" spans="1:50" x14ac:dyDescent="0.25">
      <c r="A45" s="30"/>
      <c r="B45" s="56" t="s">
        <v>239</v>
      </c>
      <c r="C45" s="183">
        <v>5</v>
      </c>
      <c r="D45" s="45" t="s">
        <v>244</v>
      </c>
      <c r="E45"/>
      <c r="F45" s="6"/>
      <c r="P45" s="64" t="s">
        <v>168</v>
      </c>
      <c r="Q45" s="187">
        <f>AF11</f>
        <v>2.4203444377732084</v>
      </c>
      <c r="R45" s="30"/>
      <c r="S45" s="30"/>
      <c r="T45" s="31" t="s">
        <v>247</v>
      </c>
      <c r="AI45" s="5"/>
      <c r="AJ45" s="5"/>
      <c r="AK45" s="131"/>
      <c r="AX45" s="144"/>
    </row>
    <row r="46" spans="1:50" ht="15.75" thickBot="1" x14ac:dyDescent="0.3">
      <c r="A46" s="168"/>
      <c r="B46" s="56" t="s">
        <v>238</v>
      </c>
      <c r="C46" s="183">
        <v>0</v>
      </c>
      <c r="D46" s="45" t="s">
        <v>240</v>
      </c>
      <c r="E46"/>
      <c r="H46" s="6"/>
      <c r="I46" s="6"/>
      <c r="J46" s="6"/>
      <c r="K46" s="9"/>
      <c r="L46" s="6"/>
      <c r="M46" s="6"/>
      <c r="N46" s="10"/>
      <c r="O46" s="10"/>
      <c r="P46" s="198" t="s">
        <v>197</v>
      </c>
      <c r="Q46" s="199">
        <v>2</v>
      </c>
      <c r="R46" s="32"/>
      <c r="S46" s="32"/>
      <c r="T46" s="33" t="s">
        <v>249</v>
      </c>
      <c r="W46" s="45"/>
      <c r="X46" s="175"/>
      <c r="Y46" s="45"/>
      <c r="AI46" s="5"/>
      <c r="AJ46" s="5"/>
      <c r="AK46" s="131"/>
    </row>
    <row r="47" spans="1:50" ht="15.75" thickBot="1" x14ac:dyDescent="0.3">
      <c r="A47" s="168"/>
      <c r="B47" s="114" t="s">
        <v>239</v>
      </c>
      <c r="C47" s="180">
        <v>180</v>
      </c>
      <c r="D47" s="45" t="s">
        <v>240</v>
      </c>
      <c r="E47"/>
      <c r="H47" s="6"/>
      <c r="I47" s="192" t="s">
        <v>82</v>
      </c>
      <c r="J47" s="191">
        <f>INDEX(LINEST($Y$3:$Y$13,$P$3:$P$13^{1,2}),3)</f>
        <v>-6.9544107802021679E-4</v>
      </c>
      <c r="K47" s="160">
        <f>INDEX(LINEST($Y$3:$Y$13,$P$3:$P$13^{1,2}),2)</f>
        <v>-1.9058960731914022E-8</v>
      </c>
      <c r="L47" s="160">
        <f>INDEX(LINEST($Y$3:$Y$13,$P$3:$P$13^{1,2}),1)</f>
        <v>1.3178179058174358E-11</v>
      </c>
      <c r="M47" s="44" t="s">
        <v>254</v>
      </c>
      <c r="N47" s="10"/>
      <c r="O47" s="10"/>
      <c r="U47" s="10"/>
      <c r="V47" s="3"/>
      <c r="W47" s="45"/>
      <c r="X47" s="60"/>
      <c r="Y47" s="45"/>
      <c r="AX47" s="144"/>
    </row>
    <row r="48" spans="1:50" ht="15.75" thickBot="1" x14ac:dyDescent="0.3">
      <c r="U48" s="168"/>
      <c r="V48" s="30"/>
    </row>
    <row r="49" spans="1:45" ht="15.75" thickBot="1" x14ac:dyDescent="0.3">
      <c r="A49" s="3" t="s">
        <v>230</v>
      </c>
      <c r="B49" s="189">
        <v>1.25</v>
      </c>
      <c r="C49" s="45" t="s">
        <v>231</v>
      </c>
      <c r="D49" s="5"/>
      <c r="E49" s="172">
        <f>C30</f>
        <v>240</v>
      </c>
      <c r="F49" s="172" t="s">
        <v>142</v>
      </c>
      <c r="I49" s="156" t="s">
        <v>269</v>
      </c>
      <c r="M49" s="217" t="s">
        <v>268</v>
      </c>
      <c r="N49" s="122"/>
      <c r="Q49" s="60"/>
      <c r="R49" s="193"/>
      <c r="T49" s="193"/>
      <c r="U49" s="168"/>
      <c r="V49" s="30"/>
      <c r="W49" s="174"/>
      <c r="X49" s="45"/>
      <c r="Y49" s="45"/>
    </row>
    <row r="50" spans="1:45" x14ac:dyDescent="0.25">
      <c r="I50" s="218" t="s">
        <v>263</v>
      </c>
      <c r="J50" s="216" t="s">
        <v>89</v>
      </c>
      <c r="K50" s="219" t="s">
        <v>264</v>
      </c>
      <c r="L50" s="219" t="s">
        <v>265</v>
      </c>
      <c r="M50" s="219" t="s">
        <v>266</v>
      </c>
      <c r="N50" s="220" t="s">
        <v>267</v>
      </c>
      <c r="P50" s="215" t="s">
        <v>272</v>
      </c>
      <c r="Q50" s="240">
        <v>0</v>
      </c>
      <c r="R50" s="238">
        <f ca="1">J55</f>
        <v>-0.13207547169810141</v>
      </c>
      <c r="S50" s="238">
        <f ca="1">J54</f>
        <v>27.219298245614041</v>
      </c>
      <c r="T50" s="238">
        <f ca="1">J53</f>
        <v>47.39473684210526</v>
      </c>
      <c r="U50" s="239">
        <f ca="1">J52</f>
        <v>75.125</v>
      </c>
      <c r="V50" s="241">
        <v>80</v>
      </c>
      <c r="W50" s="45"/>
      <c r="X50" s="45"/>
      <c r="Y50" s="45"/>
    </row>
    <row r="51" spans="1:45" x14ac:dyDescent="0.25">
      <c r="I51" s="221">
        <v>0</v>
      </c>
      <c r="J51" s="233">
        <f t="shared" ref="J51:J56" ca="1" si="70">FORECAST(I51,OFFSET(MeasNt,MATCH(I51,MeasTauT,1)-1,0,2),OFFSET(MeasTauT,MATCH(I51,MeasTauT,1)-1,0,2))</f>
        <v>83.875</v>
      </c>
      <c r="K51" s="57">
        <v>0.2</v>
      </c>
      <c r="L51" s="57">
        <v>4.4000000000000004</v>
      </c>
      <c r="M51" s="57">
        <v>0.09</v>
      </c>
      <c r="N51" s="25">
        <v>5</v>
      </c>
      <c r="P51" s="252" t="s">
        <v>264</v>
      </c>
      <c r="Q51" s="253">
        <f>K56</f>
        <v>0.47499999999999998</v>
      </c>
      <c r="R51" s="253">
        <f>K55</f>
        <v>0.47499999999999998</v>
      </c>
      <c r="S51" s="253">
        <f>K54</f>
        <v>0.32500000000000001</v>
      </c>
      <c r="T51" s="253">
        <f>K53</f>
        <v>0.22500000000000001</v>
      </c>
      <c r="U51" s="254">
        <f>K52</f>
        <v>0.2</v>
      </c>
      <c r="V51" s="255">
        <f>K51</f>
        <v>0.2</v>
      </c>
      <c r="W51" s="45" t="s">
        <v>273</v>
      </c>
      <c r="X51" s="45"/>
      <c r="Y51" s="45"/>
      <c r="AJ51" s="94"/>
      <c r="AR51" s="3"/>
    </row>
    <row r="52" spans="1:45" x14ac:dyDescent="0.25">
      <c r="I52" s="221">
        <v>0.02</v>
      </c>
      <c r="J52" s="233">
        <f t="shared" ca="1" si="70"/>
        <v>75.125</v>
      </c>
      <c r="K52" s="57">
        <v>0.2</v>
      </c>
      <c r="L52" s="57">
        <v>3.75</v>
      </c>
      <c r="M52" s="57">
        <v>0.09</v>
      </c>
      <c r="N52" s="25">
        <v>5</v>
      </c>
      <c r="P52" s="252" t="s">
        <v>265</v>
      </c>
      <c r="Q52" s="256">
        <f>L56</f>
        <v>2.4</v>
      </c>
      <c r="R52" s="256">
        <f>L55</f>
        <v>2.4</v>
      </c>
      <c r="S52" s="256">
        <f>L54</f>
        <v>2.7</v>
      </c>
      <c r="T52" s="256">
        <f>L53</f>
        <v>3.2</v>
      </c>
      <c r="U52" s="257">
        <f>L52</f>
        <v>3.75</v>
      </c>
      <c r="V52" s="258">
        <f>L51</f>
        <v>4.4000000000000004</v>
      </c>
      <c r="W52" s="45"/>
      <c r="X52" s="45"/>
      <c r="Y52" s="45"/>
      <c r="AS52" s="3"/>
    </row>
    <row r="53" spans="1:45" x14ac:dyDescent="0.25">
      <c r="I53" s="221">
        <v>8.5000000000000006E-2</v>
      </c>
      <c r="J53" s="233">
        <f t="shared" ca="1" si="70"/>
        <v>47.39473684210526</v>
      </c>
      <c r="K53" s="57">
        <v>0.22500000000000001</v>
      </c>
      <c r="L53" s="57">
        <v>3.2</v>
      </c>
      <c r="M53" s="223">
        <v>0.125</v>
      </c>
      <c r="N53" s="224">
        <v>4.05</v>
      </c>
      <c r="P53" s="252" t="s">
        <v>270</v>
      </c>
      <c r="Q53" s="259">
        <v>0.15</v>
      </c>
      <c r="R53" s="259"/>
      <c r="S53" s="259"/>
      <c r="T53" s="259"/>
      <c r="U53" s="260"/>
      <c r="V53" s="261"/>
      <c r="W53" s="45"/>
      <c r="X53" s="45"/>
      <c r="Y53" s="45"/>
    </row>
    <row r="54" spans="1:45" x14ac:dyDescent="0.25">
      <c r="I54" s="221">
        <v>0.185</v>
      </c>
      <c r="J54" s="233">
        <f t="shared" ca="1" si="70"/>
        <v>27.219298245614041</v>
      </c>
      <c r="K54" s="57">
        <v>0.32500000000000001</v>
      </c>
      <c r="L54" s="57">
        <v>2.7</v>
      </c>
      <c r="M54" s="57">
        <v>0.24</v>
      </c>
      <c r="N54" s="25">
        <v>3.75</v>
      </c>
      <c r="P54" s="252" t="s">
        <v>271</v>
      </c>
      <c r="Q54" s="259">
        <v>0.03</v>
      </c>
      <c r="R54" s="259"/>
      <c r="S54" s="259"/>
      <c r="T54" s="259"/>
      <c r="U54" s="260"/>
      <c r="V54" s="261"/>
      <c r="W54" s="45"/>
      <c r="X54" s="176"/>
      <c r="Y54" s="45"/>
    </row>
    <row r="55" spans="1:45" x14ac:dyDescent="0.25">
      <c r="I55" s="221">
        <v>0.34399999999999997</v>
      </c>
      <c r="J55" s="233">
        <f t="shared" ca="1" si="70"/>
        <v>-0.13207547169810141</v>
      </c>
      <c r="K55" s="57">
        <v>0.47499999999999998</v>
      </c>
      <c r="L55" s="57">
        <v>2.4</v>
      </c>
      <c r="M55" s="57">
        <v>0.42</v>
      </c>
      <c r="N55" s="25">
        <v>3.6</v>
      </c>
      <c r="P55" s="252" t="s">
        <v>266</v>
      </c>
      <c r="Q55" s="253">
        <f>M56</f>
        <v>0.42</v>
      </c>
      <c r="R55" s="253">
        <f>M55</f>
        <v>0.42</v>
      </c>
      <c r="S55" s="253">
        <f>M54</f>
        <v>0.24</v>
      </c>
      <c r="T55" s="253">
        <f>M53</f>
        <v>0.125</v>
      </c>
      <c r="U55" s="254">
        <f>M52</f>
        <v>0.09</v>
      </c>
      <c r="V55" s="255">
        <f>M51</f>
        <v>0.09</v>
      </c>
      <c r="W55" s="45" t="s">
        <v>274</v>
      </c>
      <c r="X55" s="176"/>
      <c r="Y55" s="45"/>
    </row>
    <row r="56" spans="1:45" ht="15.75" thickBot="1" x14ac:dyDescent="0.3">
      <c r="I56" s="225">
        <v>0.5</v>
      </c>
      <c r="J56" s="237">
        <f t="shared" ca="1" si="70"/>
        <v>-26.622641509433961</v>
      </c>
      <c r="K56" s="227">
        <v>0.47499999999999998</v>
      </c>
      <c r="L56" s="227">
        <v>2.4</v>
      </c>
      <c r="M56" s="227">
        <v>0.42</v>
      </c>
      <c r="N56" s="27">
        <v>3.6</v>
      </c>
      <c r="P56" s="262" t="s">
        <v>267</v>
      </c>
      <c r="Q56" s="263">
        <f>N56</f>
        <v>3.6</v>
      </c>
      <c r="R56" s="263">
        <f>N55</f>
        <v>3.6</v>
      </c>
      <c r="S56" s="263">
        <f>N54</f>
        <v>3.75</v>
      </c>
      <c r="T56" s="263">
        <f>N53</f>
        <v>4.05</v>
      </c>
      <c r="U56" s="264">
        <f>N52</f>
        <v>5</v>
      </c>
      <c r="V56" s="265">
        <f>N51</f>
        <v>5</v>
      </c>
      <c r="W56" s="45"/>
      <c r="X56" s="176"/>
      <c r="Y56" s="45"/>
    </row>
    <row r="57" spans="1:45" x14ac:dyDescent="0.25">
      <c r="V57" s="45"/>
      <c r="W57" s="45"/>
      <c r="X57" s="176"/>
      <c r="Y57" s="45"/>
    </row>
    <row r="58" spans="1:45" x14ac:dyDescent="0.25">
      <c r="W58" s="45"/>
      <c r="X58" s="176"/>
      <c r="Y58" s="45"/>
    </row>
    <row r="59" spans="1:45" x14ac:dyDescent="0.25">
      <c r="W59" s="45"/>
      <c r="X59" s="129"/>
      <c r="Y59" s="45"/>
    </row>
    <row r="60" spans="1:45" x14ac:dyDescent="0.25">
      <c r="W60" s="45"/>
      <c r="X60" s="129"/>
      <c r="Y60" s="45"/>
    </row>
    <row r="61" spans="1:45" x14ac:dyDescent="0.25">
      <c r="W61" s="45"/>
      <c r="X61" s="129"/>
      <c r="Y61" s="45"/>
    </row>
    <row r="62" spans="1:45" x14ac:dyDescent="0.25">
      <c r="H62" s="15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2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2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2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0"/>
      <c r="E70" s="60"/>
      <c r="F70" s="60"/>
      <c r="G70" s="60"/>
      <c r="H70" s="60"/>
      <c r="I70" s="170"/>
      <c r="J70" s="60"/>
      <c r="K70" s="167"/>
      <c r="L70" s="60"/>
      <c r="M70" s="60"/>
      <c r="N70" s="168"/>
      <c r="O70" s="168"/>
      <c r="P70" s="168"/>
      <c r="Q70" s="168"/>
      <c r="R70" s="168"/>
      <c r="S70" s="168"/>
      <c r="T70" s="168"/>
      <c r="U70" s="169"/>
      <c r="V70" s="16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0"/>
      <c r="E71" s="60"/>
      <c r="F71" s="60"/>
      <c r="G71" s="60"/>
      <c r="H71" s="60"/>
      <c r="I71" s="170"/>
      <c r="J71" s="60"/>
      <c r="K71" s="167"/>
      <c r="L71" s="60"/>
      <c r="M71" s="60"/>
      <c r="N71" s="168"/>
      <c r="O71" s="168"/>
      <c r="P71" s="168"/>
      <c r="Q71" s="168"/>
      <c r="R71" s="168"/>
      <c r="S71" s="168"/>
      <c r="T71" s="168"/>
      <c r="U71" s="169"/>
      <c r="V71" s="169"/>
      <c r="W71" s="9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0"/>
      <c r="E72" s="60"/>
      <c r="F72" s="60"/>
      <c r="G72" s="60"/>
      <c r="H72" s="60"/>
      <c r="I72" s="170"/>
      <c r="J72" s="60"/>
      <c r="K72" s="167"/>
      <c r="L72" s="60"/>
      <c r="M72" s="60"/>
      <c r="N72" s="168"/>
      <c r="O72" s="168"/>
      <c r="P72" s="168"/>
      <c r="Q72" s="168"/>
      <c r="R72" s="168"/>
      <c r="S72" s="168"/>
      <c r="T72" s="168"/>
      <c r="U72" s="169"/>
      <c r="V72" s="16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0"/>
      <c r="E73" s="60"/>
      <c r="F73" s="60"/>
      <c r="G73" s="60"/>
      <c r="H73" s="60"/>
      <c r="I73" s="170"/>
      <c r="J73" s="60"/>
      <c r="K73" s="167"/>
      <c r="L73" s="60"/>
      <c r="M73" s="60"/>
      <c r="N73" s="168"/>
      <c r="O73" s="168"/>
      <c r="P73" s="168"/>
      <c r="Q73" s="168"/>
      <c r="R73" s="168"/>
      <c r="S73" s="168"/>
      <c r="T73" s="168"/>
      <c r="U73" s="169"/>
      <c r="V73" s="169"/>
      <c r="W73" s="45"/>
      <c r="X73" s="45"/>
      <c r="Y73" s="45"/>
      <c r="Z73" s="45"/>
      <c r="AA73" s="12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0"/>
      <c r="E74" s="60"/>
      <c r="F74" s="60"/>
      <c r="G74" s="60"/>
      <c r="H74" s="60"/>
      <c r="I74" s="170"/>
      <c r="J74" s="60"/>
      <c r="K74" s="167"/>
      <c r="L74" s="60"/>
      <c r="M74" s="60"/>
      <c r="N74" s="168"/>
      <c r="O74" s="168"/>
      <c r="P74" s="168"/>
      <c r="Q74" s="168"/>
      <c r="R74" s="168"/>
      <c r="S74" s="168"/>
      <c r="T74" s="168"/>
      <c r="U74" s="169"/>
      <c r="V74" s="169"/>
      <c r="W74" s="45"/>
      <c r="X74" s="45"/>
      <c r="Y74" s="45"/>
      <c r="Z74" s="45"/>
      <c r="AA74" s="12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0"/>
      <c r="E75" s="60"/>
      <c r="F75" s="60"/>
      <c r="G75" s="60"/>
      <c r="H75" s="60"/>
      <c r="I75" s="170"/>
      <c r="J75" s="60"/>
      <c r="K75" s="167"/>
      <c r="L75" s="60"/>
      <c r="M75" s="60"/>
      <c r="N75" s="168"/>
      <c r="O75" s="168"/>
      <c r="P75" s="168"/>
      <c r="Q75" s="168"/>
      <c r="R75" s="168"/>
      <c r="S75" s="168"/>
      <c r="T75" s="168"/>
      <c r="U75" s="169"/>
      <c r="V75" s="169"/>
      <c r="W75" s="45"/>
      <c r="X75" s="45"/>
      <c r="Y75" s="45"/>
      <c r="Z75" s="45"/>
      <c r="AA75" s="12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0"/>
      <c r="E76" s="60"/>
      <c r="F76" s="60"/>
      <c r="G76" s="60"/>
      <c r="H76" s="60"/>
      <c r="I76" s="60"/>
      <c r="J76" s="60"/>
      <c r="K76" s="167"/>
      <c r="L76" s="60"/>
      <c r="M76" s="60"/>
      <c r="N76" s="168"/>
      <c r="O76" s="168"/>
      <c r="P76" s="168"/>
      <c r="Q76" s="168"/>
      <c r="R76" s="168"/>
      <c r="S76" s="168"/>
      <c r="T76" s="168"/>
      <c r="U76" s="169"/>
      <c r="V76" s="169"/>
      <c r="W76" s="45"/>
      <c r="X76" s="166"/>
      <c r="Y76" s="16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0"/>
      <c r="E92" s="60"/>
      <c r="F92" s="60"/>
      <c r="G92" s="60"/>
      <c r="H92" s="60"/>
      <c r="I92" s="60"/>
      <c r="J92" s="60"/>
      <c r="K92" s="167"/>
      <c r="L92" s="60"/>
      <c r="M92" s="60"/>
      <c r="N92" s="168"/>
      <c r="O92" s="168"/>
      <c r="P92" s="168"/>
      <c r="Q92" s="168"/>
      <c r="R92" s="168"/>
      <c r="S92" s="168"/>
      <c r="T92" s="168"/>
      <c r="U92" s="169"/>
      <c r="V92" s="169"/>
      <c r="W92" s="45"/>
      <c r="X92" s="166"/>
      <c r="Y92" s="16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0"/>
      <c r="E93" s="60"/>
      <c r="F93" s="60"/>
      <c r="G93" s="60"/>
      <c r="H93" s="60"/>
      <c r="I93" s="60"/>
      <c r="J93" s="60"/>
      <c r="K93" s="167"/>
      <c r="L93" s="60"/>
      <c r="M93" s="60"/>
      <c r="N93" s="168"/>
      <c r="O93" s="168"/>
      <c r="P93" s="168"/>
      <c r="Q93" s="168"/>
      <c r="R93" s="168"/>
      <c r="S93" s="168"/>
      <c r="T93" s="168"/>
      <c r="U93" s="169"/>
      <c r="V93" s="169"/>
      <c r="W93" s="45"/>
      <c r="X93" s="166"/>
      <c r="Y93" s="16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0"/>
      <c r="E94" s="60"/>
      <c r="F94" s="60"/>
      <c r="G94" s="60"/>
      <c r="H94" s="60"/>
      <c r="I94" s="60"/>
      <c r="J94" s="60"/>
      <c r="K94" s="167"/>
      <c r="L94" s="60"/>
      <c r="M94" s="60"/>
      <c r="N94" s="168"/>
      <c r="O94" s="168"/>
      <c r="P94" s="168"/>
      <c r="Q94" s="168"/>
      <c r="R94" s="168"/>
      <c r="S94" s="168"/>
      <c r="T94" s="168"/>
      <c r="U94" s="169"/>
      <c r="V94" s="169"/>
      <c r="W94" s="45"/>
      <c r="X94" s="166"/>
      <c r="Y94" s="16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0"/>
      <c r="E95" s="60"/>
      <c r="F95" s="60"/>
      <c r="G95" s="60"/>
      <c r="H95" s="60"/>
      <c r="I95" s="60"/>
      <c r="J95" s="60"/>
      <c r="K95" s="167"/>
      <c r="L95" s="60"/>
      <c r="M95" s="60"/>
      <c r="N95" s="168"/>
      <c r="O95" s="168"/>
      <c r="P95" s="168"/>
      <c r="Q95" s="168"/>
      <c r="R95" s="168"/>
      <c r="S95" s="168"/>
      <c r="T95" s="168"/>
      <c r="U95" s="169"/>
      <c r="V95" s="169"/>
      <c r="W95" s="45"/>
      <c r="X95" s="166"/>
      <c r="Y95" s="16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0"/>
      <c r="E96" s="60"/>
      <c r="F96" s="60"/>
      <c r="G96" s="60"/>
      <c r="H96" s="60"/>
      <c r="I96" s="60"/>
      <c r="J96" s="60"/>
      <c r="K96" s="167"/>
      <c r="L96" s="60"/>
      <c r="M96" s="60"/>
      <c r="N96" s="168"/>
      <c r="O96" s="168"/>
      <c r="P96" s="168"/>
      <c r="Q96" s="168"/>
      <c r="R96" s="168"/>
      <c r="S96" s="168"/>
      <c r="T96" s="168"/>
      <c r="U96" s="169"/>
      <c r="V96" s="169"/>
      <c r="W96" s="45"/>
      <c r="X96" s="166"/>
      <c r="Y96" s="16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0"/>
      <c r="E97" s="60"/>
      <c r="F97" s="60"/>
      <c r="G97" s="60"/>
      <c r="H97" s="60"/>
      <c r="I97" s="60"/>
      <c r="J97" s="60"/>
      <c r="K97" s="167"/>
      <c r="L97" s="60"/>
      <c r="M97" s="60"/>
      <c r="N97" s="168"/>
      <c r="O97" s="168"/>
      <c r="P97" s="168"/>
      <c r="Q97" s="168"/>
      <c r="R97" s="168"/>
      <c r="S97" s="168"/>
      <c r="T97" s="168"/>
      <c r="U97" s="169"/>
      <c r="V97" s="169"/>
      <c r="W97" s="45"/>
      <c r="X97" s="166"/>
      <c r="Y97" s="16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0"/>
      <c r="E98" s="60"/>
      <c r="F98" s="60"/>
      <c r="G98" s="60"/>
      <c r="H98" s="60"/>
      <c r="I98" s="60"/>
      <c r="J98" s="60"/>
      <c r="K98" s="167"/>
      <c r="L98" s="60"/>
      <c r="M98" s="60"/>
      <c r="N98" s="168"/>
      <c r="O98" s="168"/>
      <c r="P98" s="168"/>
      <c r="Q98" s="168"/>
      <c r="R98" s="168"/>
      <c r="S98" s="168"/>
      <c r="T98" s="168"/>
      <c r="U98" s="169"/>
      <c r="V98" s="169"/>
      <c r="W98" s="45"/>
      <c r="X98" s="166"/>
      <c r="Y98" s="16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0"/>
      <c r="E99" s="60"/>
      <c r="F99" s="60"/>
      <c r="G99" s="60"/>
      <c r="H99" s="60"/>
      <c r="I99" s="60"/>
      <c r="J99" s="60"/>
      <c r="K99" s="167"/>
      <c r="L99" s="60"/>
      <c r="M99" s="60"/>
      <c r="N99" s="168"/>
      <c r="O99" s="168"/>
      <c r="P99" s="168"/>
      <c r="Q99" s="168"/>
      <c r="R99" s="168"/>
      <c r="S99" s="168"/>
      <c r="T99" s="168"/>
      <c r="U99" s="169"/>
      <c r="V99" s="169"/>
      <c r="W99" s="45"/>
      <c r="X99" s="166"/>
      <c r="Y99" s="16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0"/>
      <c r="E100" s="60"/>
      <c r="F100" s="60"/>
      <c r="G100" s="60"/>
      <c r="H100" s="60"/>
      <c r="I100" s="60"/>
      <c r="J100" s="60"/>
      <c r="K100" s="167"/>
      <c r="L100" s="60"/>
      <c r="M100" s="60"/>
      <c r="N100" s="168"/>
      <c r="O100" s="168"/>
      <c r="P100" s="168"/>
      <c r="Q100" s="168"/>
      <c r="R100" s="168"/>
      <c r="S100" s="168"/>
      <c r="T100" s="168"/>
      <c r="U100" s="169"/>
      <c r="V100" s="169"/>
      <c r="W100" s="45"/>
      <c r="X100" s="166"/>
      <c r="Y100" s="16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169"/>
      <c r="V101" s="169"/>
      <c r="W101" s="45"/>
      <c r="X101" s="166"/>
      <c r="Y101" s="16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169"/>
      <c r="V102" s="169"/>
      <c r="W102" s="45"/>
      <c r="X102" s="166"/>
      <c r="Y102" s="16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0"/>
      <c r="E106" s="60"/>
      <c r="F106" s="60"/>
      <c r="G106" s="60"/>
      <c r="H106" s="60"/>
      <c r="I106" s="170"/>
      <c r="J106" s="60"/>
      <c r="K106" s="167"/>
      <c r="L106" s="60"/>
      <c r="M106" s="60"/>
      <c r="N106" s="168"/>
      <c r="O106" s="168"/>
      <c r="P106" s="168"/>
      <c r="Q106" s="168"/>
      <c r="R106" s="168"/>
      <c r="S106" s="168"/>
      <c r="T106" s="168"/>
      <c r="U106" s="169"/>
      <c r="V106" s="169"/>
      <c r="W106" s="45"/>
      <c r="X106" s="166"/>
      <c r="Y106" s="16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0"/>
      <c r="E107" s="60"/>
      <c r="F107" s="60"/>
      <c r="G107" s="60"/>
      <c r="H107" s="60"/>
      <c r="I107" s="170"/>
      <c r="J107" s="60"/>
      <c r="K107" s="167"/>
      <c r="L107" s="60"/>
      <c r="M107" s="60"/>
      <c r="N107" s="168"/>
      <c r="O107" s="168"/>
      <c r="P107" s="168"/>
      <c r="Q107" s="168"/>
      <c r="R107" s="168"/>
      <c r="S107" s="168"/>
      <c r="T107" s="168"/>
      <c r="U107" s="169"/>
      <c r="V107" s="169"/>
      <c r="W107" s="45"/>
      <c r="X107" s="166"/>
      <c r="Y107" s="16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0"/>
      <c r="E108" s="60"/>
      <c r="F108" s="60"/>
      <c r="G108" s="60"/>
      <c r="H108" s="60"/>
      <c r="I108" s="170"/>
      <c r="J108" s="60"/>
      <c r="K108" s="167"/>
      <c r="L108" s="60"/>
      <c r="M108" s="60"/>
      <c r="N108" s="168"/>
      <c r="O108" s="168"/>
      <c r="P108" s="168"/>
      <c r="Q108" s="168"/>
      <c r="R108" s="168"/>
      <c r="S108" s="168"/>
      <c r="T108" s="168"/>
      <c r="U108" s="169"/>
      <c r="V108" s="169"/>
      <c r="W108" s="45"/>
      <c r="X108" s="166"/>
      <c r="Y108" s="16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0"/>
      <c r="E109" s="60"/>
      <c r="F109" s="60"/>
      <c r="G109" s="60"/>
      <c r="H109" s="60"/>
      <c r="I109" s="60"/>
      <c r="J109" s="60"/>
      <c r="K109" s="167"/>
      <c r="L109" s="60"/>
      <c r="M109" s="60"/>
      <c r="N109" s="168"/>
      <c r="O109" s="168"/>
      <c r="P109" s="168"/>
      <c r="Q109" s="168"/>
      <c r="R109" s="168"/>
      <c r="S109" s="168"/>
      <c r="T109" s="168"/>
      <c r="U109" s="169"/>
      <c r="V109" s="169"/>
      <c r="W109" s="45"/>
      <c r="X109" s="166"/>
      <c r="Y109" s="16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0"/>
      <c r="E110" s="60"/>
      <c r="F110" s="60"/>
      <c r="G110" s="60"/>
      <c r="H110" s="60"/>
      <c r="I110" s="60"/>
      <c r="J110" s="60"/>
      <c r="K110" s="167"/>
      <c r="L110" s="60"/>
      <c r="M110" s="60"/>
      <c r="N110" s="168"/>
      <c r="O110" s="168"/>
      <c r="P110" s="168"/>
      <c r="Q110" s="168"/>
      <c r="R110" s="168"/>
      <c r="S110" s="168"/>
      <c r="T110" s="168"/>
      <c r="U110" s="169"/>
      <c r="V110" s="169"/>
      <c r="W110" s="45"/>
      <c r="X110" s="166"/>
      <c r="Y110" s="16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0"/>
      <c r="E111" s="60"/>
      <c r="F111" s="60"/>
      <c r="G111" s="60"/>
      <c r="H111" s="60"/>
      <c r="I111" s="60"/>
      <c r="J111" s="60"/>
      <c r="K111" s="167"/>
      <c r="L111" s="60"/>
      <c r="M111" s="60"/>
      <c r="N111" s="168"/>
      <c r="O111" s="168"/>
      <c r="P111" s="168"/>
      <c r="Q111" s="168"/>
      <c r="R111" s="168"/>
      <c r="S111" s="168"/>
      <c r="T111" s="168"/>
      <c r="U111" s="169"/>
      <c r="V111" s="169"/>
      <c r="W111" s="45"/>
      <c r="X111" s="166"/>
      <c r="Y111" s="16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0"/>
      <c r="E112" s="60"/>
      <c r="F112" s="60"/>
      <c r="G112" s="60"/>
      <c r="H112" s="60"/>
      <c r="I112" s="60"/>
      <c r="J112" s="60"/>
      <c r="K112" s="167"/>
      <c r="L112" s="60"/>
      <c r="M112" s="60"/>
      <c r="N112" s="168"/>
      <c r="O112" s="168"/>
      <c r="P112" s="168"/>
      <c r="Q112" s="168"/>
      <c r="R112" s="168"/>
      <c r="S112" s="168"/>
      <c r="T112" s="168"/>
      <c r="U112" s="169"/>
      <c r="V112" s="169"/>
      <c r="W112" s="45"/>
      <c r="X112" s="166"/>
      <c r="Y112" s="16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0"/>
      <c r="E113" s="60"/>
      <c r="F113" s="60"/>
      <c r="G113" s="60"/>
      <c r="H113" s="60"/>
      <c r="I113" s="60"/>
      <c r="J113" s="60"/>
      <c r="K113" s="167"/>
      <c r="L113" s="60"/>
      <c r="M113" s="60"/>
      <c r="N113" s="168"/>
      <c r="O113" s="168"/>
      <c r="P113" s="168"/>
      <c r="Q113" s="168"/>
      <c r="R113" s="168"/>
      <c r="S113" s="168"/>
      <c r="T113" s="168"/>
      <c r="U113" s="169"/>
      <c r="V113" s="169"/>
      <c r="W113" s="45"/>
      <c r="X113" s="166"/>
      <c r="Y113" s="16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0"/>
      <c r="E114" s="60"/>
      <c r="F114" s="60"/>
      <c r="G114" s="60"/>
      <c r="H114" s="60"/>
      <c r="I114" s="60"/>
      <c r="J114" s="60"/>
      <c r="K114" s="167"/>
      <c r="L114" s="60"/>
      <c r="M114" s="60"/>
      <c r="N114" s="168"/>
      <c r="O114" s="168"/>
      <c r="P114" s="168"/>
      <c r="Q114" s="168"/>
      <c r="R114" s="168"/>
      <c r="S114" s="168"/>
      <c r="T114" s="168"/>
      <c r="U114" s="169"/>
      <c r="V114" s="169"/>
      <c r="W114" s="45"/>
      <c r="X114" s="166"/>
      <c r="Y114" s="16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0"/>
      <c r="E115" s="60"/>
      <c r="F115" s="60"/>
      <c r="G115" s="60"/>
      <c r="H115" s="60"/>
      <c r="I115" s="60"/>
      <c r="J115" s="60"/>
      <c r="K115" s="167"/>
      <c r="L115" s="60"/>
      <c r="M115" s="60"/>
      <c r="N115" s="168"/>
      <c r="O115" s="168"/>
      <c r="P115" s="168"/>
      <c r="Q115" s="168"/>
      <c r="R115" s="168"/>
      <c r="S115" s="168"/>
      <c r="T115" s="168"/>
      <c r="U115" s="169"/>
      <c r="V115" s="169"/>
      <c r="W115" s="45"/>
      <c r="X115" s="166"/>
      <c r="Y115" s="16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0"/>
      <c r="E116" s="60"/>
      <c r="F116" s="60"/>
      <c r="G116" s="60"/>
      <c r="H116" s="60"/>
      <c r="I116" s="60"/>
      <c r="J116" s="60"/>
      <c r="K116" s="167"/>
      <c r="L116" s="60"/>
      <c r="M116" s="60"/>
      <c r="N116" s="168"/>
      <c r="O116" s="168"/>
      <c r="P116" s="168"/>
      <c r="Q116" s="168"/>
      <c r="R116" s="168"/>
      <c r="S116" s="168"/>
      <c r="T116" s="168"/>
      <c r="U116" s="169"/>
      <c r="V116" s="169"/>
      <c r="W116" s="45"/>
      <c r="X116" s="166"/>
      <c r="Y116" s="16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0"/>
      <c r="E117" s="60"/>
      <c r="F117" s="60"/>
      <c r="G117" s="60"/>
      <c r="H117" s="60"/>
      <c r="I117" s="60"/>
      <c r="J117" s="60"/>
      <c r="K117" s="167"/>
      <c r="L117" s="60"/>
      <c r="M117" s="60"/>
      <c r="N117" s="168"/>
      <c r="O117" s="168"/>
      <c r="P117" s="168"/>
      <c r="Q117" s="168"/>
      <c r="R117" s="168"/>
      <c r="S117" s="168"/>
      <c r="T117" s="168"/>
      <c r="U117" s="169"/>
      <c r="V117" s="169"/>
      <c r="W117" s="45"/>
      <c r="X117" s="166"/>
      <c r="Y117" s="16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0"/>
      <c r="E118" s="60"/>
      <c r="F118" s="60"/>
      <c r="G118" s="60"/>
      <c r="H118" s="60"/>
      <c r="I118" s="60"/>
      <c r="J118" s="60"/>
      <c r="K118" s="167"/>
      <c r="L118" s="60"/>
      <c r="M118" s="60"/>
      <c r="N118" s="168"/>
      <c r="O118" s="168"/>
      <c r="P118" s="168"/>
      <c r="Q118" s="168"/>
      <c r="R118" s="168"/>
      <c r="S118" s="168"/>
      <c r="T118" s="168"/>
      <c r="U118" s="169"/>
      <c r="V118" s="169"/>
      <c r="W118" s="45"/>
      <c r="X118" s="166"/>
      <c r="Y118" s="16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169"/>
      <c r="V119" s="169"/>
      <c r="W119" s="45"/>
      <c r="X119" s="166"/>
      <c r="Y119" s="16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169"/>
      <c r="V120" s="169"/>
      <c r="W120" s="45"/>
      <c r="X120" s="166"/>
      <c r="Y120" s="16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45"/>
      <c r="V121" s="45"/>
      <c r="W121" s="45"/>
      <c r="X121" s="16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45"/>
      <c r="V122" s="45"/>
      <c r="W122" s="45"/>
      <c r="X122" s="16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4" zoomScale="70" zoomScaleNormal="70" workbookViewId="0">
      <selection activeCell="AD9" sqref="AD9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3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285156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15.85546875" bestFit="1" customWidth="1"/>
    <col min="51" max="51" width="10.28515625" bestFit="1" customWidth="1"/>
  </cols>
  <sheetData>
    <row r="1" spans="1:51" ht="90" x14ac:dyDescent="0.25">
      <c r="A1" t="s">
        <v>207</v>
      </c>
      <c r="B1" t="s">
        <v>206</v>
      </c>
      <c r="C1" s="203" t="s">
        <v>46</v>
      </c>
      <c r="D1" s="204" t="s">
        <v>0</v>
      </c>
      <c r="E1" s="204" t="s">
        <v>1</v>
      </c>
      <c r="F1" s="204" t="s">
        <v>10</v>
      </c>
      <c r="G1" s="204" t="s">
        <v>11</v>
      </c>
      <c r="H1" s="204" t="s">
        <v>23</v>
      </c>
      <c r="I1" s="205" t="s">
        <v>97</v>
      </c>
      <c r="J1" s="169"/>
      <c r="K1" s="4" t="s">
        <v>12</v>
      </c>
      <c r="L1" s="4" t="s">
        <v>7</v>
      </c>
      <c r="M1" s="4" t="s">
        <v>56</v>
      </c>
      <c r="N1" s="4" t="s">
        <v>24</v>
      </c>
      <c r="O1" s="4" t="s">
        <v>102</v>
      </c>
      <c r="P1" s="4" t="s">
        <v>25</v>
      </c>
      <c r="Q1" s="4" t="s">
        <v>122</v>
      </c>
      <c r="R1" s="4" t="s">
        <v>26</v>
      </c>
      <c r="S1" s="4" t="s">
        <v>89</v>
      </c>
      <c r="T1" s="4" t="s">
        <v>7</v>
      </c>
      <c r="U1" s="4" t="str">
        <f t="shared" ref="U1:U13" si="0">K1</f>
        <v>Charger Pwr, W</v>
      </c>
      <c r="V1" s="4" t="s">
        <v>156</v>
      </c>
      <c r="W1" s="4" t="s">
        <v>123</v>
      </c>
      <c r="X1" s="4" t="s">
        <v>135</v>
      </c>
      <c r="Y1" s="4" t="s">
        <v>42</v>
      </c>
      <c r="Z1" s="4" t="s">
        <v>143</v>
      </c>
      <c r="AA1" s="4" t="s">
        <v>245</v>
      </c>
      <c r="AB1" s="4" t="s">
        <v>246</v>
      </c>
      <c r="AC1" s="4" t="s">
        <v>151</v>
      </c>
      <c r="AD1" s="4" t="s">
        <v>152</v>
      </c>
      <c r="AE1" s="4" t="s">
        <v>153</v>
      </c>
      <c r="AF1" s="4" t="s">
        <v>199</v>
      </c>
      <c r="AG1" s="4" t="s">
        <v>158</v>
      </c>
      <c r="AH1" s="4" t="s">
        <v>61</v>
      </c>
      <c r="AI1" s="4" t="s">
        <v>58</v>
      </c>
      <c r="AJ1" s="4" t="s">
        <v>62</v>
      </c>
      <c r="AK1" s="4" t="s">
        <v>59</v>
      </c>
      <c r="AL1" s="4" t="s">
        <v>94</v>
      </c>
      <c r="AM1" s="4" t="s">
        <v>95</v>
      </c>
      <c r="AN1" s="4" t="s">
        <v>90</v>
      </c>
      <c r="AO1" s="4" t="s">
        <v>91</v>
      </c>
      <c r="AP1" s="4" t="s">
        <v>78</v>
      </c>
      <c r="AQ1" s="4" t="s">
        <v>124</v>
      </c>
      <c r="AR1" s="4" t="s">
        <v>77</v>
      </c>
      <c r="AS1" s="4" t="s">
        <v>74</v>
      </c>
      <c r="AT1" s="4" t="s">
        <v>92</v>
      </c>
      <c r="AU1" s="4" t="s">
        <v>171</v>
      </c>
      <c r="AV1" t="str">
        <f>E1</f>
        <v>v4, vdc</v>
      </c>
      <c r="AX1" s="4"/>
      <c r="AY1" s="4"/>
    </row>
    <row r="2" spans="1:51" x14ac:dyDescent="0.25">
      <c r="A2" t="s">
        <v>208</v>
      </c>
      <c r="B2" t="s">
        <v>187</v>
      </c>
      <c r="C2" s="200">
        <f t="shared" ref="C2:C13" si="1">D2/180+1</f>
        <v>1.029890722454599</v>
      </c>
      <c r="D2" s="242">
        <f>EXP((0-$Q$41)/$R$41)</f>
        <v>5.3803300418278059</v>
      </c>
      <c r="E2" s="98">
        <v>3.2000000000000002E-3</v>
      </c>
      <c r="F2" s="98">
        <v>12.24</v>
      </c>
      <c r="G2" s="98">
        <v>1.9E-2</v>
      </c>
      <c r="H2" s="128">
        <v>1.0000000000000001E+32</v>
      </c>
      <c r="I2" s="171">
        <v>1.0000000000000001E+32</v>
      </c>
      <c r="J2" s="169"/>
      <c r="K2" s="2">
        <f t="shared" ref="K2:K13" si="2">F2*G2</f>
        <v>0.23255999999999999</v>
      </c>
      <c r="L2" s="209">
        <f t="shared" ref="L2:L13" si="3">D2</f>
        <v>5.3803300418278059</v>
      </c>
      <c r="M2" s="21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38">
        <f t="shared" si="0"/>
        <v>0.23255999999999999</v>
      </c>
      <c r="V2" s="1">
        <f>($U2-$U$2)</f>
        <v>0</v>
      </c>
      <c r="W2" s="214">
        <f>($U2-$U$2)*0.001341022</f>
        <v>0</v>
      </c>
      <c r="X2" s="207">
        <v>0</v>
      </c>
      <c r="Y2" s="207">
        <v>0</v>
      </c>
      <c r="Z2" s="208">
        <f>$Q$37*(P2/$Q$30/100)^2</f>
        <v>7.5021579327112167E-58</v>
      </c>
      <c r="AA2" s="209">
        <f t="shared" ref="AA2:AA13" si="10">SQRT(Z2^3/4/$Q$27/$Q$33)</f>
        <v>2.0154592931120451E-85</v>
      </c>
      <c r="AB2" s="1"/>
      <c r="AC2" s="138">
        <f t="shared" ref="AC2:AC13" si="11">SQRT(Z2/$Q$33/$Q$27)</f>
        <v>5.3730121684699729E-28</v>
      </c>
      <c r="AD2" s="155">
        <f t="shared" ref="AD2:AD9" si="12">AC2*1/1.6/1000*3600</f>
        <v>1.2089277379057438E-27</v>
      </c>
      <c r="AE2" s="4">
        <f t="shared" ref="AE2:AE13" si="13">Q2/60*PI()*$C$39/1000</f>
        <v>0</v>
      </c>
      <c r="AF2" s="138">
        <f>AE2/AC2</f>
        <v>0</v>
      </c>
      <c r="AH2" s="208">
        <f t="shared" ref="AH2:AH13" si="14">D2/$Q$31*$Q$23</f>
        <v>0.14945361227299461</v>
      </c>
      <c r="AI2" s="208">
        <f t="shared" ref="AI2:AI13" si="15">AH2/$Q$23*$Q$31</f>
        <v>5.3803300418278059</v>
      </c>
      <c r="AJ2" s="209">
        <f t="shared" ref="AJ2:AJ13" si="16">MAX(($Q$41+$R$41*LN($AI2)),0)</f>
        <v>0</v>
      </c>
      <c r="AK2" s="209">
        <f t="shared" ref="AK2:AK13" si="17">MAX(($Q$41+$R$41*LN(AI2))/$Q$30,0)</f>
        <v>0</v>
      </c>
      <c r="AL2" s="209">
        <f t="shared" ref="AL2:AL13" si="18">($Q$42+$R$42*AK2*$Q$30)/$Q$30</f>
        <v>-12.585815469150777</v>
      </c>
      <c r="AM2" s="209">
        <f t="shared" ref="AM2:AM13" si="19">($Q$43+$R$43*AL2*$Q$30)/$Q$30</f>
        <v>3.923181115926945E-2</v>
      </c>
      <c r="AN2" s="1"/>
      <c r="AO2" s="1">
        <f t="shared" ref="AO2:AO13" si="20">MAX($Q$42+$R$42*AJ2, 0)</f>
        <v>0</v>
      </c>
      <c r="AP2" s="207"/>
      <c r="AQ2" s="207"/>
      <c r="AR2" s="207"/>
      <c r="AS2" s="1"/>
      <c r="AT2" s="207"/>
      <c r="AU2" s="1"/>
      <c r="AV2">
        <f t="shared" ref="AV2:AV13" si="21">E2</f>
        <v>3.2000000000000002E-3</v>
      </c>
    </row>
    <row r="3" spans="1:51" ht="15" customHeight="1" x14ac:dyDescent="0.25">
      <c r="A3" t="s">
        <v>209</v>
      </c>
      <c r="B3" t="s">
        <v>187</v>
      </c>
      <c r="C3" s="200">
        <f t="shared" si="1"/>
        <v>1.0444444444444445</v>
      </c>
      <c r="D3" s="72">
        <v>8</v>
      </c>
      <c r="E3" s="98">
        <v>4.5999999999999999E-3</v>
      </c>
      <c r="F3" s="72">
        <v>12.23</v>
      </c>
      <c r="G3" s="96">
        <v>0.27700000000000002</v>
      </c>
      <c r="H3" s="72">
        <v>8000</v>
      </c>
      <c r="I3" s="171">
        <v>1.0000000000000001E+32</v>
      </c>
      <c r="J3" s="60"/>
      <c r="K3" s="2">
        <f t="shared" si="2"/>
        <v>3.3877100000000002</v>
      </c>
      <c r="L3" s="1">
        <f t="shared" si="3"/>
        <v>8</v>
      </c>
      <c r="M3" s="21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2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38">
        <f>K3</f>
        <v>3.3877100000000002</v>
      </c>
      <c r="V3" s="1">
        <f t="shared" ref="V3:V13" si="23">($U3-$U$2)</f>
        <v>3.1551500000000003</v>
      </c>
      <c r="W3" s="214">
        <f t="shared" ref="W3:W13" si="24">($U3-$U$2)*0.001341022</f>
        <v>4.2311255633000009E-3</v>
      </c>
      <c r="X3" s="210">
        <f>$W3/$P3*5252</f>
        <v>2.9629161944602139E-3</v>
      </c>
      <c r="Y3" s="210">
        <f>X3-$X$3</f>
        <v>0</v>
      </c>
      <c r="Z3" s="208">
        <f t="shared" ref="Z3:Z12" si="25">$Q$37*(P3/$Q$30/100)^2</f>
        <v>0.1172212176986128</v>
      </c>
      <c r="AA3" s="209">
        <f t="shared" si="10"/>
        <v>0.39364439318594657</v>
      </c>
      <c r="AB3" s="2">
        <f>AA3/U3*100</f>
        <v>11.6197783513331</v>
      </c>
      <c r="AC3" s="138">
        <f t="shared" si="11"/>
        <v>6.7162652105874683</v>
      </c>
      <c r="AD3" s="155">
        <f t="shared" si="12"/>
        <v>15.111596723821805</v>
      </c>
      <c r="AE3" s="4">
        <f t="shared" si="13"/>
        <v>1.7278759594743859E-27</v>
      </c>
      <c r="AF3" s="138">
        <f t="shared" ref="AF3:AF13" si="26">AE3/AC3</f>
        <v>2.5726738079827098E-28</v>
      </c>
      <c r="AH3" s="208">
        <f t="shared" si="14"/>
        <v>0.22222222222222224</v>
      </c>
      <c r="AI3" s="208">
        <f t="shared" si="15"/>
        <v>8</v>
      </c>
      <c r="AJ3" s="209">
        <f t="shared" si="16"/>
        <v>4555.170672024622</v>
      </c>
      <c r="AK3" s="209">
        <f t="shared" si="17"/>
        <v>9.8853530208867664</v>
      </c>
      <c r="AL3" s="209">
        <f t="shared" si="18"/>
        <v>-2.9289255895124828</v>
      </c>
      <c r="AM3" s="209">
        <f t="shared" si="19"/>
        <v>9.9172706414521858</v>
      </c>
      <c r="AN3" s="1"/>
      <c r="AO3" s="1">
        <f t="shared" si="20"/>
        <v>0</v>
      </c>
      <c r="AP3" s="207">
        <f t="shared" ref="AP3:AP13" si="27">MAX($J$47+$AJ3*($K$47+$AJ3*$L$47), 0)</f>
        <v>0</v>
      </c>
      <c r="AQ3" s="207">
        <f>AJ3*AP3/5252</f>
        <v>0</v>
      </c>
      <c r="AR3" s="211">
        <f t="shared" ref="AR3:AR13" si="28">MAX($K$47+$L$47*2*AJ3,1E-32)</f>
        <v>2.8272318367231825E-7</v>
      </c>
      <c r="AS3" s="208"/>
      <c r="AT3" s="1"/>
      <c r="AU3" s="208"/>
      <c r="AV3">
        <f t="shared" si="21"/>
        <v>4.5999999999999999E-3</v>
      </c>
      <c r="AX3" s="111">
        <f>0.21/0.15*9-25</f>
        <v>-12.4</v>
      </c>
      <c r="AY3" s="87"/>
    </row>
    <row r="4" spans="1:51" ht="15" customHeight="1" x14ac:dyDescent="0.25">
      <c r="A4" t="s">
        <v>210</v>
      </c>
      <c r="B4" t="s">
        <v>220</v>
      </c>
      <c r="C4" s="200">
        <f t="shared" si="1"/>
        <v>1.0666666666666667</v>
      </c>
      <c r="D4" s="72">
        <v>12</v>
      </c>
      <c r="E4" s="98">
        <v>0.23799999999999999</v>
      </c>
      <c r="F4" s="72">
        <v>12.25</v>
      </c>
      <c r="G4" s="96">
        <v>0.52800000000000002</v>
      </c>
      <c r="H4" s="72">
        <v>5540</v>
      </c>
      <c r="I4" s="77">
        <v>13200</v>
      </c>
      <c r="J4" s="60"/>
      <c r="K4" s="2">
        <f t="shared" si="2"/>
        <v>6.468</v>
      </c>
      <c r="L4" s="1">
        <f t="shared" si="3"/>
        <v>12</v>
      </c>
      <c r="M4" s="21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38">
        <f t="shared" si="0"/>
        <v>6.468</v>
      </c>
      <c r="V4" s="209">
        <f t="shared" si="23"/>
        <v>6.2354399999999996</v>
      </c>
      <c r="W4" s="214">
        <f t="shared" si="24"/>
        <v>8.3618622196799993E-3</v>
      </c>
      <c r="X4" s="210">
        <f t="shared" ref="X4:X13" si="29">$W4/$P4*5252</f>
        <v>4.0549568682131136E-3</v>
      </c>
      <c r="Y4" s="210">
        <f t="shared" ref="Y4:Y13" si="30">X4-$X$3</f>
        <v>1.0920406737528997E-3</v>
      </c>
      <c r="Z4" s="208">
        <f t="shared" si="25"/>
        <v>0.24443684697804013</v>
      </c>
      <c r="AA4" s="209">
        <f t="shared" si="10"/>
        <v>1.1853449036420962</v>
      </c>
      <c r="AB4" s="2">
        <f t="shared" ref="AB4:AB11" si="31">AA4/U4*100</f>
        <v>18.326297211535191</v>
      </c>
      <c r="AC4" s="138">
        <f t="shared" si="11"/>
        <v>9.6985779214259455</v>
      </c>
      <c r="AD4" s="155">
        <f t="shared" si="12"/>
        <v>21.821800323208375</v>
      </c>
      <c r="AE4" s="155">
        <f t="shared" si="13"/>
        <v>13.089969389957473</v>
      </c>
      <c r="AF4" s="138">
        <f t="shared" si="26"/>
        <v>1.3496792515363845</v>
      </c>
      <c r="AG4" s="131"/>
      <c r="AH4" s="208">
        <f t="shared" si="14"/>
        <v>0.33333333333333331</v>
      </c>
      <c r="AI4" s="208">
        <f t="shared" si="15"/>
        <v>12</v>
      </c>
      <c r="AJ4" s="209">
        <f t="shared" si="16"/>
        <v>9211.0840546388536</v>
      </c>
      <c r="AK4" s="209">
        <f t="shared" si="17"/>
        <v>19.989331715796123</v>
      </c>
      <c r="AL4" s="209">
        <f t="shared" si="18"/>
        <v>6.941537245430192</v>
      </c>
      <c r="AM4" s="209">
        <f t="shared" si="19"/>
        <v>20.013773384235744</v>
      </c>
      <c r="AN4" s="2">
        <f t="shared" ref="AN4:AN13" si="32">AO4/$Q$30</f>
        <v>6.941537245430192</v>
      </c>
      <c r="AO4" s="3">
        <f t="shared" si="20"/>
        <v>3198.6603626942324</v>
      </c>
      <c r="AP4" s="207">
        <f t="shared" si="27"/>
        <v>3.2994267727491818E-4</v>
      </c>
      <c r="AQ4" s="207">
        <f t="shared" ref="AQ4:AQ13" si="33">AJ4*AP4/5252</f>
        <v>5.7866141157499084E-4</v>
      </c>
      <c r="AR4" s="211">
        <f t="shared" si="28"/>
        <v>3.6957404609849427E-7</v>
      </c>
      <c r="AS4" s="208">
        <f t="shared" ref="AS4:AS13" si="34">$Q$35/AR4</f>
        <v>0.10127014572560596</v>
      </c>
      <c r="AT4" s="1"/>
      <c r="AU4" s="208"/>
      <c r="AV4">
        <f t="shared" si="21"/>
        <v>0.23799999999999999</v>
      </c>
      <c r="AX4" s="110">
        <f>47+0.085/0.05*15</f>
        <v>72.5</v>
      </c>
      <c r="AY4" s="87"/>
    </row>
    <row r="5" spans="1:51" ht="13.9" customHeight="1" x14ac:dyDescent="0.25">
      <c r="A5" t="s">
        <v>211</v>
      </c>
      <c r="B5" s="156">
        <v>16</v>
      </c>
      <c r="C5" s="200">
        <f t="shared" si="1"/>
        <v>1.0944444444444446</v>
      </c>
      <c r="D5" s="72">
        <v>17</v>
      </c>
      <c r="E5" s="72">
        <v>0.434</v>
      </c>
      <c r="F5" s="72">
        <v>12.24</v>
      </c>
      <c r="G5" s="72">
        <v>0.65500000000000003</v>
      </c>
      <c r="H5" s="72">
        <v>4900</v>
      </c>
      <c r="I5" s="77">
        <v>10000</v>
      </c>
      <c r="J5" s="60"/>
      <c r="K5" s="2">
        <f t="shared" si="2"/>
        <v>8.0172000000000008</v>
      </c>
      <c r="L5" s="1">
        <f t="shared" si="3"/>
        <v>17</v>
      </c>
      <c r="M5" s="21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38">
        <f t="shared" si="0"/>
        <v>8.0172000000000008</v>
      </c>
      <c r="V5" s="209">
        <f t="shared" si="23"/>
        <v>7.7846400000000004</v>
      </c>
      <c r="W5" s="214">
        <f t="shared" si="24"/>
        <v>1.0439373502080001E-2</v>
      </c>
      <c r="X5" s="210">
        <f t="shared" si="29"/>
        <v>4.477586486688806E-3</v>
      </c>
      <c r="Y5" s="210">
        <f t="shared" si="30"/>
        <v>1.5146702922285921E-3</v>
      </c>
      <c r="Z5" s="208">
        <f t="shared" si="25"/>
        <v>0.31245972231200414</v>
      </c>
      <c r="AA5" s="209">
        <f t="shared" si="10"/>
        <v>1.7131121327950483</v>
      </c>
      <c r="AB5" s="2">
        <f t="shared" si="31"/>
        <v>21.367960544766852</v>
      </c>
      <c r="AC5" s="138">
        <f t="shared" si="11"/>
        <v>10.965330956061171</v>
      </c>
      <c r="AD5" s="155">
        <f t="shared" si="12"/>
        <v>24.671994651137634</v>
      </c>
      <c r="AE5" s="155">
        <f t="shared" si="13"/>
        <v>17.278759594743867</v>
      </c>
      <c r="AF5" s="138">
        <f t="shared" si="26"/>
        <v>1.5757627073894107</v>
      </c>
      <c r="AG5" s="131"/>
      <c r="AH5" s="208">
        <f t="shared" si="14"/>
        <v>0.47222222222222221</v>
      </c>
      <c r="AI5" s="208">
        <f t="shared" si="15"/>
        <v>17</v>
      </c>
      <c r="AJ5" s="209">
        <f t="shared" si="16"/>
        <v>13210.653355839728</v>
      </c>
      <c r="AK5" s="209">
        <f t="shared" si="17"/>
        <v>28.668952595138297</v>
      </c>
      <c r="AL5" s="209">
        <f t="shared" si="18"/>
        <v>15.420560994174144</v>
      </c>
      <c r="AM5" s="209">
        <f t="shared" si="19"/>
        <v>28.686972196378115</v>
      </c>
      <c r="AN5" s="2">
        <f t="shared" si="32"/>
        <v>15.420560994174144</v>
      </c>
      <c r="AO5" s="3">
        <f t="shared" si="20"/>
        <v>7105.794506115446</v>
      </c>
      <c r="AP5" s="207">
        <f t="shared" si="27"/>
        <v>1.9572786136409217E-3</v>
      </c>
      <c r="AQ5" s="207">
        <f t="shared" si="33"/>
        <v>4.9232538624540689E-3</v>
      </c>
      <c r="AR5" s="211">
        <f t="shared" si="28"/>
        <v>4.4418154297325635E-7</v>
      </c>
      <c r="AS5" s="208">
        <f t="shared" si="34"/>
        <v>8.4260181668669082E-2</v>
      </c>
      <c r="AT5" s="212"/>
      <c r="AU5" s="145"/>
      <c r="AV5">
        <f t="shared" si="21"/>
        <v>0.434</v>
      </c>
      <c r="AX5" s="110"/>
      <c r="AY5" s="87"/>
    </row>
    <row r="6" spans="1:51" ht="13.9" customHeight="1" x14ac:dyDescent="0.25">
      <c r="A6" t="s">
        <v>212</v>
      </c>
      <c r="B6" s="156">
        <v>20</v>
      </c>
      <c r="C6" s="200">
        <f t="shared" si="1"/>
        <v>1.1166666666666667</v>
      </c>
      <c r="D6" s="72">
        <v>21</v>
      </c>
      <c r="E6" s="72">
        <v>0.58599999999999997</v>
      </c>
      <c r="F6" s="72">
        <v>12.24</v>
      </c>
      <c r="G6" s="72">
        <v>0.877</v>
      </c>
      <c r="H6" s="72">
        <v>4180</v>
      </c>
      <c r="I6" s="77">
        <v>7500</v>
      </c>
      <c r="J6" s="60"/>
      <c r="K6" s="2">
        <f t="shared" si="2"/>
        <v>10.73448</v>
      </c>
      <c r="L6" s="1">
        <f t="shared" si="3"/>
        <v>21</v>
      </c>
      <c r="M6" s="21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38">
        <f t="shared" si="0"/>
        <v>10.73448</v>
      </c>
      <c r="V6" s="209">
        <f t="shared" si="23"/>
        <v>10.50192</v>
      </c>
      <c r="W6" s="214">
        <f t="shared" si="24"/>
        <v>1.4083305762240001E-2</v>
      </c>
      <c r="X6" s="210">
        <f t="shared" si="29"/>
        <v>5.1529313564754849E-3</v>
      </c>
      <c r="Y6" s="210">
        <f t="shared" si="30"/>
        <v>2.190015162015271E-3</v>
      </c>
      <c r="Z6" s="208">
        <f t="shared" si="25"/>
        <v>0.42937191986854806</v>
      </c>
      <c r="AA6" s="209">
        <f t="shared" si="10"/>
        <v>2.7595939596328032</v>
      </c>
      <c r="AB6" s="2">
        <f t="shared" si="31"/>
        <v>25.707756310811547</v>
      </c>
      <c r="AC6" s="138">
        <f t="shared" si="11"/>
        <v>12.85409609681812</v>
      </c>
      <c r="AD6" s="155">
        <f t="shared" si="12"/>
        <v>28.921716217840768</v>
      </c>
      <c r="AE6" s="155">
        <f t="shared" si="13"/>
        <v>23.038346126325152</v>
      </c>
      <c r="AF6" s="138">
        <f t="shared" si="26"/>
        <v>1.7922960862279553</v>
      </c>
      <c r="AG6" s="131"/>
      <c r="AH6" s="208">
        <f t="shared" si="14"/>
        <v>0.58333333333333337</v>
      </c>
      <c r="AI6" s="208">
        <f t="shared" si="15"/>
        <v>21</v>
      </c>
      <c r="AJ6" s="209">
        <f t="shared" si="16"/>
        <v>15637.093553526916</v>
      </c>
      <c r="AK6" s="209">
        <f t="shared" si="17"/>
        <v>33.934664829702506</v>
      </c>
      <c r="AL6" s="209">
        <f t="shared" si="18"/>
        <v>20.56457588970785</v>
      </c>
      <c r="AM6" s="209">
        <f t="shared" si="19"/>
        <v>33.948788320928394</v>
      </c>
      <c r="AN6" s="2">
        <f t="shared" si="32"/>
        <v>20.564575889707857</v>
      </c>
      <c r="AO6" s="3">
        <f t="shared" si="20"/>
        <v>9476.1565699773801</v>
      </c>
      <c r="AP6" s="207">
        <f t="shared" si="27"/>
        <v>3.0899719769106734E-3</v>
      </c>
      <c r="AQ6" s="207">
        <f t="shared" si="33"/>
        <v>9.1999582788897007E-3</v>
      </c>
      <c r="AR6" s="211">
        <f t="shared" si="28"/>
        <v>4.8944407396912864E-7</v>
      </c>
      <c r="AS6" s="208">
        <f t="shared" si="34"/>
        <v>7.6468016460562963E-2</v>
      </c>
      <c r="AT6" s="212">
        <f t="shared" ref="AT6:AT13" si="35">$Q$44*$Q$27*$Q$36^2*$Q$33*PI()/240*($AC6-$Q$46)/$Q$45*$Q$34</f>
        <v>-1.1524856999214299E-7</v>
      </c>
      <c r="AU6" s="145">
        <f t="shared" ref="AU6:AU13" si="36">-$Q$35/AT6</f>
        <v>0.32474864987346808</v>
      </c>
      <c r="AV6">
        <f t="shared" si="21"/>
        <v>0.58599999999999997</v>
      </c>
      <c r="AW6">
        <v>0.44</v>
      </c>
      <c r="AX6" s="212">
        <f>-$Q$35/AW6</f>
        <v>-8.5060948874537106E-8</v>
      </c>
      <c r="AY6" s="87"/>
    </row>
    <row r="7" spans="1:51" ht="13.9" customHeight="1" x14ac:dyDescent="0.25">
      <c r="A7" t="s">
        <v>213</v>
      </c>
      <c r="B7" s="156">
        <v>25</v>
      </c>
      <c r="C7" s="200">
        <f t="shared" si="1"/>
        <v>1.1499999999999999</v>
      </c>
      <c r="D7" s="72">
        <v>27</v>
      </c>
      <c r="E7" s="72">
        <v>0.79300000000000004</v>
      </c>
      <c r="F7" s="72">
        <v>12.23</v>
      </c>
      <c r="G7" s="72">
        <v>1.23</v>
      </c>
      <c r="H7" s="72">
        <v>3540</v>
      </c>
      <c r="I7" s="77">
        <v>5580</v>
      </c>
      <c r="J7" s="60"/>
      <c r="K7" s="2">
        <f t="shared" si="2"/>
        <v>15.042899999999999</v>
      </c>
      <c r="L7" s="1">
        <f t="shared" si="3"/>
        <v>27</v>
      </c>
      <c r="M7" s="21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38">
        <f t="shared" si="0"/>
        <v>15.042899999999999</v>
      </c>
      <c r="V7" s="209">
        <f t="shared" si="23"/>
        <v>14.81034</v>
      </c>
      <c r="W7" s="214">
        <f t="shared" si="24"/>
        <v>1.9860991767480001E-2</v>
      </c>
      <c r="X7" s="210">
        <f t="shared" si="29"/>
        <v>6.1542857970054926E-3</v>
      </c>
      <c r="Y7" s="210">
        <f t="shared" si="30"/>
        <v>3.1913696025452788E-3</v>
      </c>
      <c r="Z7" s="208">
        <f t="shared" si="25"/>
        <v>0.59865922409837669</v>
      </c>
      <c r="AA7" s="209">
        <f t="shared" si="10"/>
        <v>4.5432249941347047</v>
      </c>
      <c r="AB7" s="2">
        <f t="shared" si="31"/>
        <v>30.201789509567334</v>
      </c>
      <c r="AC7" s="138">
        <f t="shared" si="11"/>
        <v>15.178000475903881</v>
      </c>
      <c r="AD7" s="155">
        <f t="shared" si="12"/>
        <v>34.150501070783733</v>
      </c>
      <c r="AE7" s="155">
        <f t="shared" si="13"/>
        <v>30.965518986996173</v>
      </c>
      <c r="AF7" s="138">
        <f t="shared" si="26"/>
        <v>2.0401579928895157</v>
      </c>
      <c r="AG7" s="131"/>
      <c r="AH7" s="208">
        <f t="shared" si="14"/>
        <v>0.75</v>
      </c>
      <c r="AI7" s="208">
        <f t="shared" si="15"/>
        <v>27</v>
      </c>
      <c r="AJ7" s="209">
        <f t="shared" si="16"/>
        <v>18522.910819867313</v>
      </c>
      <c r="AK7" s="213">
        <f t="shared" si="17"/>
        <v>40.197289105614828</v>
      </c>
      <c r="AL7" s="213">
        <f t="shared" si="18"/>
        <v>26.682462915315533</v>
      </c>
      <c r="AM7" s="213">
        <f t="shared" si="19"/>
        <v>40.206778869802854</v>
      </c>
      <c r="AN7" s="9">
        <f t="shared" si="32"/>
        <v>26.682462915315533</v>
      </c>
      <c r="AO7" s="10">
        <f t="shared" si="20"/>
        <v>12295.278911377398</v>
      </c>
      <c r="AP7" s="210">
        <f t="shared" si="27"/>
        <v>4.5800923567918947E-3</v>
      </c>
      <c r="AQ7" s="210">
        <f t="shared" si="33"/>
        <v>1.6153206830086093E-2</v>
      </c>
      <c r="AR7" s="212">
        <f t="shared" si="28"/>
        <v>5.432757709508463E-7</v>
      </c>
      <c r="AS7" s="208">
        <f t="shared" si="34"/>
        <v>6.889101172189506E-2</v>
      </c>
      <c r="AT7" s="212">
        <f t="shared" si="35"/>
        <v>-1.6099887064636095E-7</v>
      </c>
      <c r="AU7" s="145">
        <f t="shared" si="36"/>
        <v>0.23246633566148114</v>
      </c>
      <c r="AV7">
        <f t="shared" si="21"/>
        <v>0.79300000000000004</v>
      </c>
      <c r="AX7" s="110"/>
      <c r="AY7" s="87"/>
    </row>
    <row r="8" spans="1:51" ht="13.5" customHeight="1" thickBot="1" x14ac:dyDescent="0.3">
      <c r="A8" t="s">
        <v>214</v>
      </c>
      <c r="B8" s="156">
        <v>36</v>
      </c>
      <c r="C8" s="278">
        <f t="shared" si="1"/>
        <v>1.2333333333333334</v>
      </c>
      <c r="D8" s="279">
        <v>42</v>
      </c>
      <c r="E8" s="279">
        <v>1.175</v>
      </c>
      <c r="F8" s="279">
        <v>12.19</v>
      </c>
      <c r="G8" s="279">
        <v>2.41</v>
      </c>
      <c r="H8" s="279">
        <v>2770</v>
      </c>
      <c r="I8" s="280">
        <v>3760</v>
      </c>
      <c r="J8" s="60"/>
      <c r="K8" s="2">
        <f t="shared" si="2"/>
        <v>29.3779</v>
      </c>
      <c r="L8" s="1">
        <f t="shared" si="3"/>
        <v>42</v>
      </c>
      <c r="M8" s="21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38">
        <f t="shared" si="0"/>
        <v>29.3779</v>
      </c>
      <c r="V8" s="209">
        <f t="shared" si="23"/>
        <v>29.145340000000001</v>
      </c>
      <c r="W8" s="214">
        <f t="shared" si="24"/>
        <v>3.9084542137480006E-2</v>
      </c>
      <c r="X8" s="210">
        <f t="shared" si="29"/>
        <v>9.476724706629077E-3</v>
      </c>
      <c r="Y8" s="210">
        <f t="shared" si="30"/>
        <v>6.5138085121688631E-3</v>
      </c>
      <c r="Z8" s="208">
        <f t="shared" si="25"/>
        <v>0.97774738791216054</v>
      </c>
      <c r="AA8" s="209">
        <f t="shared" si="10"/>
        <v>9.4827592291367697</v>
      </c>
      <c r="AB8" s="2">
        <f t="shared" si="31"/>
        <v>32.278546897963331</v>
      </c>
      <c r="AC8" s="138">
        <f t="shared" si="11"/>
        <v>19.397155842851891</v>
      </c>
      <c r="AD8" s="155">
        <f t="shared" si="12"/>
        <v>43.643600646416751</v>
      </c>
      <c r="AE8" s="155">
        <f t="shared" si="13"/>
        <v>45.954147858361345</v>
      </c>
      <c r="AF8" s="138">
        <f t="shared" si="26"/>
        <v>2.3691178351436535</v>
      </c>
      <c r="AG8" s="131"/>
      <c r="AH8" s="208">
        <f t="shared" si="14"/>
        <v>1.1666666666666667</v>
      </c>
      <c r="AI8" s="208">
        <f t="shared" si="15"/>
        <v>42</v>
      </c>
      <c r="AJ8" s="209">
        <f t="shared" si="16"/>
        <v>23596.430052660289</v>
      </c>
      <c r="AK8" s="209">
        <f t="shared" si="17"/>
        <v>51.207530496224585</v>
      </c>
      <c r="AL8" s="209">
        <f t="shared" si="18"/>
        <v>37.438243556907246</v>
      </c>
      <c r="AM8" s="209">
        <f t="shared" si="19"/>
        <v>51.208873762877822</v>
      </c>
      <c r="AN8" s="2">
        <f t="shared" si="32"/>
        <v>37.438243556907246</v>
      </c>
      <c r="AO8" s="3">
        <f t="shared" si="20"/>
        <v>17251.542631022858</v>
      </c>
      <c r="AP8" s="207">
        <f t="shared" si="27"/>
        <v>7.5764934726365541E-3</v>
      </c>
      <c r="AQ8" s="207">
        <f t="shared" si="33"/>
        <v>3.4040022519327057E-2</v>
      </c>
      <c r="AR8" s="211">
        <f t="shared" si="28"/>
        <v>6.3791660395028843E-7</v>
      </c>
      <c r="AS8" s="208">
        <f t="shared" si="34"/>
        <v>5.8670392451037258E-2</v>
      </c>
      <c r="AT8" s="212">
        <f t="shared" si="35"/>
        <v>-2.4406064731923215E-7</v>
      </c>
      <c r="AU8" s="145">
        <f t="shared" si="36"/>
        <v>0.15335048036581631</v>
      </c>
      <c r="AV8">
        <f t="shared" si="21"/>
        <v>1.175</v>
      </c>
      <c r="AW8">
        <v>0.28899999999999998</v>
      </c>
      <c r="AX8" s="212">
        <f>-$Q$35/AW8</f>
        <v>-1.2950455884012569E-7</v>
      </c>
      <c r="AY8" s="87"/>
    </row>
    <row r="9" spans="1:51" s="35" customFormat="1" ht="13.9" customHeight="1" thickBot="1" x14ac:dyDescent="0.3">
      <c r="A9" s="38" t="s">
        <v>215</v>
      </c>
      <c r="B9" s="284">
        <v>45</v>
      </c>
      <c r="C9" s="285">
        <f t="shared" si="1"/>
        <v>1.3722222222222222</v>
      </c>
      <c r="D9" s="286">
        <v>67</v>
      </c>
      <c r="E9" s="286">
        <v>1.6240000000000001</v>
      </c>
      <c r="F9" s="286">
        <v>12.13</v>
      </c>
      <c r="G9" s="286">
        <v>4.2699999999999996</v>
      </c>
      <c r="H9" s="286">
        <v>2170</v>
      </c>
      <c r="I9" s="287">
        <v>2810</v>
      </c>
      <c r="J9" s="36"/>
      <c r="K9" s="288">
        <f t="shared" si="2"/>
        <v>51.795099999999998</v>
      </c>
      <c r="L9" s="289">
        <f t="shared" si="3"/>
        <v>67</v>
      </c>
      <c r="M9" s="290">
        <f t="shared" si="4"/>
        <v>4.2046926193909657</v>
      </c>
      <c r="N9" s="291">
        <f t="shared" si="5"/>
        <v>460.82949308755764</v>
      </c>
      <c r="O9" s="291">
        <f t="shared" si="5"/>
        <v>355.87188612099646</v>
      </c>
      <c r="P9" s="291">
        <f t="shared" si="6"/>
        <v>27649.76958525346</v>
      </c>
      <c r="Q9" s="291">
        <f t="shared" si="22"/>
        <v>21352.313167259788</v>
      </c>
      <c r="R9" s="291">
        <f t="shared" si="7"/>
        <v>60.003840245775734</v>
      </c>
      <c r="S9" s="291">
        <f t="shared" si="8"/>
        <v>46.337485172004747</v>
      </c>
      <c r="T9" s="291">
        <f t="shared" si="9"/>
        <v>67</v>
      </c>
      <c r="U9" s="292">
        <f t="shared" si="0"/>
        <v>51.795099999999998</v>
      </c>
      <c r="V9" s="293">
        <f t="shared" si="23"/>
        <v>51.562539999999998</v>
      </c>
      <c r="W9" s="290">
        <f t="shared" si="24"/>
        <v>6.9146500515880005E-2</v>
      </c>
      <c r="X9" s="294">
        <f t="shared" si="29"/>
        <v>1.3134193382323363E-2</v>
      </c>
      <c r="Y9" s="294">
        <f t="shared" si="30"/>
        <v>1.0171277187863148E-2</v>
      </c>
      <c r="Z9" s="295">
        <f t="shared" si="25"/>
        <v>1.5931869295825387</v>
      </c>
      <c r="AA9" s="293">
        <f t="shared" si="10"/>
        <v>19.723992532936165</v>
      </c>
      <c r="AB9" s="288">
        <f t="shared" si="31"/>
        <v>38.080807900624123</v>
      </c>
      <c r="AC9" s="292">
        <f t="shared" si="11"/>
        <v>24.760424739492965</v>
      </c>
      <c r="AD9" s="296">
        <f t="shared" si="12"/>
        <v>55.710955663859167</v>
      </c>
      <c r="AE9" s="296">
        <f t="shared" si="13"/>
        <v>61.49024766812763</v>
      </c>
      <c r="AF9" s="297">
        <f t="shared" si="26"/>
        <v>2.4834084356416741</v>
      </c>
      <c r="AG9" s="298"/>
      <c r="AH9" s="295">
        <f t="shared" si="14"/>
        <v>1.8611111111111112</v>
      </c>
      <c r="AI9" s="295">
        <f t="shared" si="15"/>
        <v>67</v>
      </c>
      <c r="AJ9" s="293">
        <f t="shared" si="16"/>
        <v>28959.20627523346</v>
      </c>
      <c r="AK9" s="293">
        <f t="shared" si="17"/>
        <v>62.845499729239279</v>
      </c>
      <c r="AL9" s="293">
        <f t="shared" si="18"/>
        <v>48.807244448264356</v>
      </c>
      <c r="AM9" s="293">
        <f t="shared" si="19"/>
        <v>62.838232041390853</v>
      </c>
      <c r="AN9" s="288">
        <f t="shared" si="32"/>
        <v>48.807244448264363</v>
      </c>
      <c r="AO9" s="291">
        <f t="shared" si="20"/>
        <v>22490.37824176022</v>
      </c>
      <c r="AP9" s="299">
        <f t="shared" si="27"/>
        <v>1.1265734415476743E-2</v>
      </c>
      <c r="AQ9" s="299">
        <f t="shared" si="33"/>
        <v>6.2118569455405115E-2</v>
      </c>
      <c r="AR9" s="300">
        <f t="shared" si="28"/>
        <v>7.3795320292746935E-7</v>
      </c>
      <c r="AS9" s="295">
        <f t="shared" si="34"/>
        <v>5.0717060860124577E-2</v>
      </c>
      <c r="AT9" s="301">
        <f t="shared" si="35"/>
        <v>-3.4964638773049448E-7</v>
      </c>
      <c r="AU9" s="297">
        <f t="shared" si="36"/>
        <v>0.10704191096532852</v>
      </c>
      <c r="AV9" s="35">
        <f t="shared" si="21"/>
        <v>1.6240000000000001</v>
      </c>
      <c r="AX9" s="302"/>
      <c r="AY9" s="303"/>
    </row>
    <row r="10" spans="1:51" ht="13.9" customHeight="1" x14ac:dyDescent="0.25">
      <c r="A10" t="s">
        <v>217</v>
      </c>
      <c r="B10" s="156">
        <v>52</v>
      </c>
      <c r="C10" s="281">
        <f t="shared" si="1"/>
        <v>1.4388888888888889</v>
      </c>
      <c r="D10" s="282">
        <v>79</v>
      </c>
      <c r="E10" s="282">
        <v>1.786</v>
      </c>
      <c r="F10" s="282">
        <v>12.09</v>
      </c>
      <c r="G10" s="282">
        <v>5.32</v>
      </c>
      <c r="H10" s="282">
        <v>2020</v>
      </c>
      <c r="I10" s="283">
        <v>2560</v>
      </c>
      <c r="J10" s="60"/>
      <c r="K10" s="2">
        <f t="shared" si="2"/>
        <v>64.318799999999996</v>
      </c>
      <c r="L10" s="1">
        <f t="shared" si="3"/>
        <v>79</v>
      </c>
      <c r="M10" s="21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2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38">
        <f t="shared" ref="U10:U12" si="39">K10</f>
        <v>64.318799999999996</v>
      </c>
      <c r="V10" s="209">
        <f t="shared" si="23"/>
        <v>64.086239999999989</v>
      </c>
      <c r="W10" s="214">
        <f t="shared" si="24"/>
        <v>8.5941057737279988E-2</v>
      </c>
      <c r="X10" s="210">
        <f t="shared" si="29"/>
        <v>1.5195868652951881E-2</v>
      </c>
      <c r="Y10" s="210">
        <f t="shared" ref="Y10:Y12" si="40">X10-$X$3</f>
        <v>1.2232952458491667E-2</v>
      </c>
      <c r="Z10" s="208">
        <f t="shared" si="25"/>
        <v>1.8385839458658995</v>
      </c>
      <c r="AA10" s="209">
        <f t="shared" si="10"/>
        <v>24.45231166804707</v>
      </c>
      <c r="AB10" s="2">
        <f t="shared" si="31"/>
        <v>38.017362991920045</v>
      </c>
      <c r="AC10" s="138">
        <f t="shared" si="11"/>
        <v>26.599070140940462</v>
      </c>
      <c r="AD10" s="155">
        <f t="shared" ref="AD10:AD13" si="41">AC10*1/1.6/1000*3600</f>
        <v>59.847907817116038</v>
      </c>
      <c r="AE10" s="155">
        <f t="shared" si="13"/>
        <v>67.495154666968219</v>
      </c>
      <c r="AF10" s="143">
        <f t="shared" ref="AF10:AF12" si="42">AE10/AC10</f>
        <v>2.5375005332641978</v>
      </c>
      <c r="AG10" s="139">
        <f>$N$41/($Q$27*$Q$36*$Q$33*($AC10-$Q$46)^2/4/$AF10)/(PI()*$Q$36/60/($AC10-$Q$46))</f>
        <v>-0.65811052474077714</v>
      </c>
      <c r="AH10" s="208">
        <f t="shared" si="14"/>
        <v>2.1944444444444446</v>
      </c>
      <c r="AI10" s="208">
        <f t="shared" si="15"/>
        <v>79.000000000000014</v>
      </c>
      <c r="AJ10" s="209">
        <f t="shared" si="16"/>
        <v>30851.073366124794</v>
      </c>
      <c r="AK10" s="209">
        <f t="shared" si="17"/>
        <v>66.951114075791651</v>
      </c>
      <c r="AL10" s="209">
        <f t="shared" si="18"/>
        <v>52.817972800519279</v>
      </c>
      <c r="AM10" s="209">
        <f t="shared" si="19"/>
        <v>66.940808636456552</v>
      </c>
      <c r="AN10" s="2">
        <f t="shared" si="32"/>
        <v>52.817972800519286</v>
      </c>
      <c r="AO10" s="3">
        <f t="shared" si="20"/>
        <v>24338.521866479288</v>
      </c>
      <c r="AP10" s="207">
        <f t="shared" si="27"/>
        <v>1.2695226420403077E-2</v>
      </c>
      <c r="AQ10" s="207">
        <f t="shared" ref="AQ10:AQ12" si="43">AJ10*AP10/5252</f>
        <v>7.4573755082905785E-2</v>
      </c>
      <c r="AR10" s="211">
        <f t="shared" si="28"/>
        <v>7.7324386985722134E-7</v>
      </c>
      <c r="AS10" s="208">
        <f t="shared" si="34"/>
        <v>4.8402346224493374E-2</v>
      </c>
      <c r="AT10" s="212">
        <f t="shared" si="35"/>
        <v>-3.858434794308902E-7</v>
      </c>
      <c r="AU10" s="145">
        <f t="shared" si="36"/>
        <v>9.6999999999999933E-2</v>
      </c>
      <c r="AV10">
        <f t="shared" si="21"/>
        <v>1.786</v>
      </c>
      <c r="AX10" s="110"/>
      <c r="AY10" s="87"/>
    </row>
    <row r="11" spans="1:51" ht="13.9" customHeight="1" x14ac:dyDescent="0.25">
      <c r="A11" t="s">
        <v>218</v>
      </c>
      <c r="B11" s="156">
        <v>55</v>
      </c>
      <c r="C11" s="200">
        <f t="shared" si="1"/>
        <v>1.4666666666666668</v>
      </c>
      <c r="D11" s="72">
        <v>84</v>
      </c>
      <c r="E11" s="72">
        <v>1.8420000000000001</v>
      </c>
      <c r="F11" s="72">
        <v>12.08</v>
      </c>
      <c r="G11" s="72">
        <v>5.63</v>
      </c>
      <c r="H11" s="72">
        <v>1970</v>
      </c>
      <c r="I11" s="77">
        <v>2480</v>
      </c>
      <c r="J11" s="60"/>
      <c r="K11" s="2">
        <f t="shared" si="2"/>
        <v>68.010400000000004</v>
      </c>
      <c r="L11" s="1">
        <f t="shared" si="3"/>
        <v>84</v>
      </c>
      <c r="M11" s="21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2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38">
        <f t="shared" si="39"/>
        <v>68.010400000000004</v>
      </c>
      <c r="V11" s="209">
        <f t="shared" si="23"/>
        <v>67.777839999999998</v>
      </c>
      <c r="W11" s="214">
        <f t="shared" si="24"/>
        <v>9.0891574552480009E-2</v>
      </c>
      <c r="X11" s="210">
        <f t="shared" si="29"/>
        <v>1.5673403710212686E-2</v>
      </c>
      <c r="Y11" s="210">
        <f t="shared" si="40"/>
        <v>1.2710487515752471E-2</v>
      </c>
      <c r="Z11" s="208">
        <f t="shared" si="25"/>
        <v>1.9330974600508184</v>
      </c>
      <c r="AA11" s="209">
        <f t="shared" si="10"/>
        <v>26.361817704800632</v>
      </c>
      <c r="AB11" s="2">
        <f t="shared" si="31"/>
        <v>38.76145075576769</v>
      </c>
      <c r="AC11" s="138">
        <f t="shared" si="11"/>
        <v>27.274173444010025</v>
      </c>
      <c r="AD11" s="155">
        <f t="shared" si="41"/>
        <v>61.366890249022553</v>
      </c>
      <c r="AE11" s="155">
        <f t="shared" si="13"/>
        <v>69.672417720741393</v>
      </c>
      <c r="AF11" s="145">
        <f t="shared" si="42"/>
        <v>2.5545198597408971</v>
      </c>
      <c r="AG11" s="131"/>
      <c r="AH11" s="208">
        <f t="shared" si="14"/>
        <v>2.3333333333333335</v>
      </c>
      <c r="AI11" s="208">
        <f t="shared" si="15"/>
        <v>84</v>
      </c>
      <c r="AJ11" s="209">
        <f t="shared" si="16"/>
        <v>31555.766551793655</v>
      </c>
      <c r="AK11" s="209">
        <f t="shared" si="17"/>
        <v>68.480396162746644</v>
      </c>
      <c r="AL11" s="209">
        <f t="shared" si="18"/>
        <v>54.311911224106609</v>
      </c>
      <c r="AM11" s="209">
        <f t="shared" si="19"/>
        <v>68.468959204827215</v>
      </c>
      <c r="AN11" s="2">
        <f t="shared" si="32"/>
        <v>54.311911224106609</v>
      </c>
      <c r="AO11" s="3">
        <f t="shared" si="20"/>
        <v>25026.928692068326</v>
      </c>
      <c r="AP11" s="207">
        <f t="shared" si="27"/>
        <v>1.3244757795360145E-2</v>
      </c>
      <c r="AQ11" s="207">
        <f t="shared" si="43"/>
        <v>7.9578919464096329E-2</v>
      </c>
      <c r="AR11" s="211">
        <f t="shared" si="28"/>
        <v>7.863891339314479E-7</v>
      </c>
      <c r="AS11" s="208">
        <f t="shared" si="34"/>
        <v>4.7593253632188338E-2</v>
      </c>
      <c r="AT11" s="212">
        <f t="shared" si="35"/>
        <v>-3.9913412054592562E-7</v>
      </c>
      <c r="AU11" s="145">
        <f t="shared" si="36"/>
        <v>9.3770027612785564E-2</v>
      </c>
      <c r="AV11">
        <f t="shared" si="21"/>
        <v>1.8420000000000001</v>
      </c>
      <c r="AW11">
        <v>8.5000000000000006E-2</v>
      </c>
      <c r="AX11" s="212">
        <f>-$Q$35/AW11</f>
        <v>-4.4031550005642732E-7</v>
      </c>
      <c r="AY11" s="87"/>
    </row>
    <row r="12" spans="1:51" ht="13.9" customHeight="1" x14ac:dyDescent="0.25">
      <c r="A12" t="s">
        <v>218</v>
      </c>
      <c r="B12" s="156">
        <v>62</v>
      </c>
      <c r="C12" s="200">
        <f t="shared" ref="C12" si="44">D12/180+1</f>
        <v>1.6722222222222223</v>
      </c>
      <c r="D12" s="72">
        <v>121</v>
      </c>
      <c r="E12" s="72">
        <v>2.19</v>
      </c>
      <c r="F12" s="72">
        <v>11.97</v>
      </c>
      <c r="G12" s="72">
        <v>8.66</v>
      </c>
      <c r="H12" s="72">
        <v>1650</v>
      </c>
      <c r="I12" s="77">
        <v>2040</v>
      </c>
      <c r="J12" s="60"/>
      <c r="K12" s="2">
        <f t="shared" ref="K12" si="45">F12*G12</f>
        <v>103.6602</v>
      </c>
      <c r="L12" s="1">
        <f t="shared" ref="L12" si="46">D12</f>
        <v>121</v>
      </c>
      <c r="M12" s="21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2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38">
        <f t="shared" si="39"/>
        <v>103.6602</v>
      </c>
      <c r="V12" s="209">
        <f t="shared" si="23"/>
        <v>103.42764</v>
      </c>
      <c r="W12" s="214">
        <f t="shared" si="24"/>
        <v>0.13869874064807999</v>
      </c>
      <c r="X12" s="210">
        <f t="shared" si="29"/>
        <v>2.0032259111802193E-2</v>
      </c>
      <c r="Y12" s="210">
        <f t="shared" si="40"/>
        <v>1.7069342917341978E-2</v>
      </c>
      <c r="Z12" s="208">
        <f t="shared" si="25"/>
        <v>2.7556135657341487</v>
      </c>
      <c r="AA12" s="209">
        <f t="shared" si="10"/>
        <v>44.866500667547022</v>
      </c>
      <c r="AB12" s="2">
        <f t="shared" ref="AB12" si="49">AA12/U12*100</f>
        <v>43.2822825612405</v>
      </c>
      <c r="AC12" s="138">
        <f t="shared" si="11"/>
        <v>32.563710111939244</v>
      </c>
      <c r="AD12" s="155">
        <f t="shared" si="41"/>
        <v>73.268347751863303</v>
      </c>
      <c r="AE12" s="155">
        <f t="shared" si="13"/>
        <v>84.699801935018925</v>
      </c>
      <c r="AF12" s="145">
        <f t="shared" si="42"/>
        <v>2.601048886747225</v>
      </c>
      <c r="AG12" s="131"/>
      <c r="AH12" s="208">
        <f t="shared" si="14"/>
        <v>3.3611111111111116</v>
      </c>
      <c r="AI12" s="208">
        <f t="shared" si="15"/>
        <v>121.00000000000001</v>
      </c>
      <c r="AJ12" s="209">
        <f t="shared" si="16"/>
        <v>35746.721871576265</v>
      </c>
      <c r="AK12" s="209">
        <f t="shared" si="17"/>
        <v>77.575351283802661</v>
      </c>
      <c r="AL12" s="209">
        <f t="shared" si="18"/>
        <v>63.196670309464153</v>
      </c>
      <c r="AM12" s="209">
        <f t="shared" si="19"/>
        <v>77.557184952126192</v>
      </c>
      <c r="AN12" s="2">
        <f t="shared" si="32"/>
        <v>63.196670309464153</v>
      </c>
      <c r="AO12" s="3">
        <f t="shared" si="20"/>
        <v>29121.025678601083</v>
      </c>
      <c r="AP12" s="207">
        <f t="shared" si="27"/>
        <v>1.6704298911363304E-2</v>
      </c>
      <c r="AQ12" s="207">
        <f t="shared" si="43"/>
        <v>0.11369457868320224</v>
      </c>
      <c r="AR12" s="211">
        <f t="shared" si="28"/>
        <v>8.6456672316063497E-7</v>
      </c>
      <c r="AS12" s="208">
        <f t="shared" si="34"/>
        <v>4.3289680833392991E-2</v>
      </c>
      <c r="AT12" s="212">
        <f t="shared" si="35"/>
        <v>-5.0326830741572941E-7</v>
      </c>
      <c r="AU12" s="145">
        <f t="shared" si="36"/>
        <v>7.436752315476039E-2</v>
      </c>
      <c r="AV12">
        <f t="shared" si="21"/>
        <v>2.19</v>
      </c>
      <c r="AX12" s="110"/>
      <c r="AY12" s="87"/>
    </row>
    <row r="13" spans="1:51" ht="13.9" customHeight="1" thickBot="1" x14ac:dyDescent="0.3">
      <c r="A13" t="s">
        <v>219</v>
      </c>
      <c r="B13" t="s">
        <v>220</v>
      </c>
      <c r="C13" s="201">
        <f t="shared" si="1"/>
        <v>1.9722222222222223</v>
      </c>
      <c r="D13" s="79">
        <v>175</v>
      </c>
      <c r="E13" s="79">
        <v>2.66</v>
      </c>
      <c r="F13" s="79">
        <v>11.7</v>
      </c>
      <c r="G13" s="79">
        <v>14.72</v>
      </c>
      <c r="H13" s="79">
        <v>1360</v>
      </c>
      <c r="I13" s="80">
        <v>1620</v>
      </c>
      <c r="J13" s="60"/>
      <c r="K13" s="2">
        <f t="shared" si="2"/>
        <v>172.22399999999999</v>
      </c>
      <c r="L13" s="1">
        <f t="shared" si="3"/>
        <v>175</v>
      </c>
      <c r="M13" s="21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2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38">
        <f t="shared" si="0"/>
        <v>172.22399999999999</v>
      </c>
      <c r="V13" s="209">
        <f t="shared" si="23"/>
        <v>171.99143999999998</v>
      </c>
      <c r="W13" s="214">
        <f t="shared" si="24"/>
        <v>0.23064430485168</v>
      </c>
      <c r="X13" s="210">
        <f t="shared" si="29"/>
        <v>2.7457128152503195E-2</v>
      </c>
      <c r="Y13" s="210">
        <f t="shared" si="30"/>
        <v>2.449421195804298E-2</v>
      </c>
      <c r="Z13" s="143">
        <f>C33/0.224</f>
        <v>4.4249528005034611</v>
      </c>
      <c r="AA13" s="209">
        <f t="shared" si="10"/>
        <v>91.297248929319878</v>
      </c>
      <c r="AB13" s="2">
        <f>AA13/U13*100</f>
        <v>53.010758622096731</v>
      </c>
      <c r="AC13" s="138">
        <f t="shared" si="11"/>
        <v>41.264733453849395</v>
      </c>
      <c r="AD13" s="155">
        <f t="shared" si="41"/>
        <v>92.845650271161119</v>
      </c>
      <c r="AE13" s="155">
        <f t="shared" si="13"/>
        <v>106.65900984409792</v>
      </c>
      <c r="AF13" s="145">
        <f t="shared" si="26"/>
        <v>2.5847497588560868</v>
      </c>
      <c r="AG13" s="131"/>
      <c r="AH13" s="208">
        <f t="shared" si="14"/>
        <v>4.8611111111111107</v>
      </c>
      <c r="AI13" s="208">
        <f t="shared" si="15"/>
        <v>174.99999999999997</v>
      </c>
      <c r="AJ13" s="209">
        <f t="shared" si="16"/>
        <v>39983.857739779705</v>
      </c>
      <c r="AK13" s="209">
        <f t="shared" si="17"/>
        <v>86.770524608896935</v>
      </c>
      <c r="AL13" s="209">
        <f t="shared" si="18"/>
        <v>72.179331428091302</v>
      </c>
      <c r="AM13" s="209">
        <f t="shared" si="19"/>
        <v>86.745554751832856</v>
      </c>
      <c r="AN13" s="2">
        <f t="shared" si="32"/>
        <v>72.179331428091302</v>
      </c>
      <c r="AO13" s="3">
        <f t="shared" si="20"/>
        <v>33260.235922064472</v>
      </c>
      <c r="AP13" s="207">
        <f t="shared" si="27"/>
        <v>2.0535035151237838E-2</v>
      </c>
      <c r="AQ13" s="207">
        <f t="shared" si="33"/>
        <v>0.15633471518820818</v>
      </c>
      <c r="AR13" s="211">
        <f t="shared" si="28"/>
        <v>9.4360575892631468E-7</v>
      </c>
      <c r="AS13" s="208">
        <f t="shared" si="34"/>
        <v>3.9663617088753857E-2</v>
      </c>
      <c r="AT13" s="212">
        <f t="shared" si="35"/>
        <v>-6.7456383810721296E-7</v>
      </c>
      <c r="AU13" s="145">
        <f t="shared" si="36"/>
        <v>5.5482988251806982E-2</v>
      </c>
      <c r="AV13">
        <f t="shared" si="21"/>
        <v>2.66</v>
      </c>
      <c r="AW13">
        <v>3.5000000000000003E-2</v>
      </c>
      <c r="AX13" s="212">
        <f>-$Q$35/AW13</f>
        <v>-1.0693376429941806E-6</v>
      </c>
      <c r="AY13" s="87"/>
    </row>
    <row r="14" spans="1:51" ht="13.9" customHeight="1" x14ac:dyDescent="0.25">
      <c r="AE14" s="45"/>
      <c r="AF14" s="30"/>
      <c r="AV14" s="126"/>
      <c r="AW14" s="86"/>
      <c r="AX14" s="111"/>
      <c r="AY14" s="87"/>
    </row>
    <row r="15" spans="1:51" x14ac:dyDescent="0.25">
      <c r="A15" t="s">
        <v>221</v>
      </c>
      <c r="AE15" s="174"/>
      <c r="AF15" s="30"/>
    </row>
    <row r="16" spans="1:51" ht="13.9" customHeight="1" x14ac:dyDescent="0.25">
      <c r="A16">
        <v>1</v>
      </c>
      <c r="C16" t="s">
        <v>222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223</v>
      </c>
      <c r="I17" s="3"/>
      <c r="J17" s="13" t="s">
        <v>262</v>
      </c>
      <c r="K17" s="14"/>
      <c r="L17" s="14"/>
      <c r="AE17" s="129"/>
      <c r="AF17" s="30"/>
    </row>
    <row r="18" spans="1:48" ht="13.9" customHeight="1" x14ac:dyDescent="0.25">
      <c r="A18">
        <v>3</v>
      </c>
      <c r="C18" t="s">
        <v>225</v>
      </c>
      <c r="I18" s="3"/>
      <c r="J18" s="15" t="s">
        <v>260</v>
      </c>
      <c r="K18" s="16"/>
      <c r="L18" s="16"/>
      <c r="AE18" s="129"/>
      <c r="AF18" s="30"/>
    </row>
    <row r="19" spans="1:48" ht="13.9" customHeight="1" x14ac:dyDescent="0.25">
      <c r="A19">
        <v>4</v>
      </c>
      <c r="C19" t="s">
        <v>224</v>
      </c>
      <c r="J19" s="267" t="s">
        <v>283</v>
      </c>
      <c r="K19" s="266"/>
      <c r="L19" s="266"/>
      <c r="M19" s="266"/>
      <c r="N19" s="266"/>
      <c r="O19" s="268"/>
      <c r="AE19" s="129"/>
      <c r="AF19" s="30"/>
      <c r="AN19" s="45"/>
    </row>
    <row r="20" spans="1:48" ht="13.9" customHeight="1" x14ac:dyDescent="0.25">
      <c r="A20">
        <v>5</v>
      </c>
      <c r="C20" t="s">
        <v>226</v>
      </c>
      <c r="O20" s="168"/>
      <c r="AE20" s="12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227</v>
      </c>
      <c r="O21" s="168"/>
      <c r="AN21" s="45"/>
      <c r="AO21" s="5"/>
      <c r="AV21" s="5"/>
    </row>
    <row r="22" spans="1:48" ht="13.9" customHeight="1" x14ac:dyDescent="0.25">
      <c r="A22">
        <v>7</v>
      </c>
      <c r="C22" t="s">
        <v>229</v>
      </c>
      <c r="O22" s="168"/>
      <c r="P22" s="194" t="s">
        <v>256</v>
      </c>
      <c r="Q22" s="63"/>
      <c r="R22" s="63"/>
      <c r="S22" s="63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261</v>
      </c>
      <c r="D23" s="60"/>
      <c r="E23" s="60"/>
      <c r="F23" s="60"/>
      <c r="G23" s="60"/>
      <c r="O23" s="168"/>
      <c r="P23" s="247" t="s">
        <v>15</v>
      </c>
      <c r="Q23" s="248">
        <f>C45</f>
        <v>5</v>
      </c>
      <c r="R23" s="45"/>
      <c r="S23" s="30"/>
      <c r="T23" s="31" t="s">
        <v>251</v>
      </c>
      <c r="AN23" s="45"/>
      <c r="AO23" s="5"/>
      <c r="AV23" s="5"/>
    </row>
    <row r="24" spans="1:48" ht="13.9" customHeight="1" thickBot="1" x14ac:dyDescent="0.3">
      <c r="H24" s="60"/>
      <c r="I24" s="60"/>
      <c r="J24" s="60"/>
      <c r="K24" s="167"/>
      <c r="L24" s="60"/>
      <c r="M24" s="60"/>
      <c r="N24" s="168"/>
      <c r="O24" s="168"/>
      <c r="P24" s="247" t="s">
        <v>17</v>
      </c>
      <c r="Q24" s="248">
        <f>C37</f>
        <v>5</v>
      </c>
      <c r="R24" s="30"/>
      <c r="S24" s="30"/>
      <c r="T24" s="31" t="s">
        <v>251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E25" s="60"/>
      <c r="F25" s="169"/>
      <c r="G25" s="60"/>
      <c r="I25" s="17" t="s">
        <v>120</v>
      </c>
      <c r="J25" s="28"/>
      <c r="K25" s="28"/>
      <c r="L25" s="29"/>
      <c r="M25" s="60"/>
      <c r="N25" s="168"/>
      <c r="O25" s="168"/>
      <c r="P25" s="247" t="s">
        <v>16</v>
      </c>
      <c r="Q25" s="248">
        <f>C36</f>
        <v>0</v>
      </c>
      <c r="R25" s="30"/>
      <c r="S25" s="30"/>
      <c r="T25" s="31" t="s">
        <v>251</v>
      </c>
      <c r="AN25" s="45"/>
      <c r="AO25" s="5"/>
      <c r="AV25" s="5"/>
    </row>
    <row r="26" spans="1:48" ht="13.9" customHeight="1" x14ac:dyDescent="0.25">
      <c r="A26" s="169"/>
      <c r="B26" s="19" t="s">
        <v>4</v>
      </c>
      <c r="C26" s="20">
        <v>4800</v>
      </c>
      <c r="D26" t="s">
        <v>71</v>
      </c>
      <c r="E26" s="60"/>
      <c r="F26" s="169"/>
      <c r="G26" s="60"/>
      <c r="I26" s="19" t="s">
        <v>114</v>
      </c>
      <c r="J26" s="188">
        <v>25</v>
      </c>
      <c r="K26" s="30" t="s">
        <v>83</v>
      </c>
      <c r="L26" s="31"/>
      <c r="M26" s="60"/>
      <c r="N26" s="168"/>
      <c r="O26" s="168"/>
      <c r="P26" s="247" t="s">
        <v>14</v>
      </c>
      <c r="Q26" s="248">
        <f>C44</f>
        <v>0</v>
      </c>
      <c r="R26" s="45"/>
      <c r="S26" s="30"/>
      <c r="T26" s="31" t="s">
        <v>251</v>
      </c>
      <c r="AN26" s="45"/>
      <c r="AO26" s="5"/>
      <c r="AP26" s="5"/>
    </row>
    <row r="27" spans="1:48" ht="13.9" customHeight="1" x14ac:dyDescent="0.25">
      <c r="A27" s="169"/>
      <c r="B27" s="19" t="s">
        <v>5</v>
      </c>
      <c r="C27" s="20">
        <v>12</v>
      </c>
      <c r="D27"/>
      <c r="E27" s="60"/>
      <c r="F27" s="60"/>
      <c r="G27" s="60"/>
      <c r="I27" s="19" t="s">
        <v>130</v>
      </c>
      <c r="J27" s="188">
        <v>2.1797</v>
      </c>
      <c r="K27" s="30" t="s">
        <v>84</v>
      </c>
      <c r="L27" s="31"/>
      <c r="M27" s="60"/>
      <c r="N27" s="168"/>
      <c r="O27" s="168"/>
      <c r="P27" s="247" t="s">
        <v>163</v>
      </c>
      <c r="Q27" s="249">
        <f>$C$42</f>
        <v>1.2250000000000001</v>
      </c>
      <c r="R27" s="30"/>
      <c r="S27" s="30"/>
      <c r="T27" s="31" t="s">
        <v>147</v>
      </c>
      <c r="AN27" s="45"/>
      <c r="AO27" s="5"/>
      <c r="AP27" s="5"/>
    </row>
    <row r="28" spans="1:48" ht="13.9" customHeight="1" x14ac:dyDescent="0.25">
      <c r="A28" s="169"/>
      <c r="B28" s="56" t="s">
        <v>63</v>
      </c>
      <c r="C28" s="20">
        <v>3.9899999999999998E-2</v>
      </c>
      <c r="D28" t="s">
        <v>70</v>
      </c>
      <c r="E28" s="60"/>
      <c r="F28" s="60"/>
      <c r="G28" s="6"/>
      <c r="I28" s="19" t="s">
        <v>115</v>
      </c>
      <c r="J28" s="44">
        <f>($J$26/25.4)^2*$J$27/1000*2.2/3</f>
        <v>1.5484983053299442E-3</v>
      </c>
      <c r="K28" s="30" t="s">
        <v>86</v>
      </c>
      <c r="L28" s="157" t="s">
        <v>132</v>
      </c>
      <c r="N28" s="3"/>
      <c r="O28" s="3"/>
      <c r="P28" s="195"/>
      <c r="Q28" s="193"/>
      <c r="R28" s="193"/>
      <c r="S28" s="193"/>
      <c r="T28" s="196"/>
      <c r="AN28" s="45"/>
      <c r="AO28" s="5"/>
      <c r="AP28" s="5"/>
      <c r="AQ28" s="5"/>
      <c r="AR28" s="5"/>
      <c r="AS28" s="131"/>
      <c r="AT28" s="133"/>
      <c r="AU28" s="5"/>
    </row>
    <row r="29" spans="1:48" ht="13.9" customHeight="1" x14ac:dyDescent="0.25">
      <c r="A29" s="169"/>
      <c r="B29" s="56" t="s">
        <v>64</v>
      </c>
      <c r="C29" s="112">
        <v>4.1999999999999996E-6</v>
      </c>
      <c r="D29" t="s">
        <v>69</v>
      </c>
      <c r="E29" s="60"/>
      <c r="F29" s="60"/>
      <c r="G29" s="6"/>
      <c r="I29" s="19" t="s">
        <v>127</v>
      </c>
      <c r="J29" s="190">
        <f>3/8/2*25.4</f>
        <v>4.7624999999999993</v>
      </c>
      <c r="K29" s="30" t="s">
        <v>83</v>
      </c>
      <c r="L29" s="31" t="s">
        <v>128</v>
      </c>
      <c r="N29" s="3"/>
      <c r="O29" s="3"/>
      <c r="P29" s="197" t="s">
        <v>257</v>
      </c>
      <c r="Q29" s="193"/>
      <c r="R29" s="193"/>
      <c r="S29" s="193"/>
      <c r="T29" s="196"/>
      <c r="AN29" s="45"/>
      <c r="AO29" s="5"/>
      <c r="AP29" s="5"/>
      <c r="AQ29" s="5"/>
      <c r="AR29" s="5"/>
      <c r="AS29" s="131"/>
      <c r="AT29" s="133"/>
      <c r="AU29" s="5"/>
    </row>
    <row r="30" spans="1:48" ht="13.9" customHeight="1" x14ac:dyDescent="0.25">
      <c r="A30" s="169"/>
      <c r="B30" s="19" t="s">
        <v>241</v>
      </c>
      <c r="C30" s="20">
        <v>240</v>
      </c>
      <c r="D30" t="s">
        <v>242</v>
      </c>
      <c r="E30" s="60"/>
      <c r="F30" s="60"/>
      <c r="G30" s="6"/>
      <c r="I30" s="19" t="s">
        <v>129</v>
      </c>
      <c r="J30" s="190">
        <f>3/4*25.4</f>
        <v>19.049999999999997</v>
      </c>
      <c r="K30" s="30" t="s">
        <v>83</v>
      </c>
      <c r="L30" s="31" t="s">
        <v>128</v>
      </c>
      <c r="N30" s="3"/>
      <c r="O30" s="3"/>
      <c r="P30" s="247" t="s">
        <v>27</v>
      </c>
      <c r="Q30" s="248">
        <f>$C$26*$C$27/$B$49/100</f>
        <v>460.8</v>
      </c>
      <c r="R30" s="30"/>
      <c r="S30" s="30"/>
      <c r="T30" s="31" t="s">
        <v>252</v>
      </c>
      <c r="AN30" s="45"/>
      <c r="AO30" s="5"/>
    </row>
    <row r="31" spans="1:48" x14ac:dyDescent="0.25">
      <c r="A31" s="169"/>
      <c r="B31" s="56" t="s">
        <v>65</v>
      </c>
      <c r="C31" s="113">
        <f>C26*2*PI()/60</f>
        <v>502.6548245743669</v>
      </c>
      <c r="D31" t="s">
        <v>67</v>
      </c>
      <c r="E31" s="60"/>
      <c r="F31" s="60"/>
      <c r="G31" s="6"/>
      <c r="I31" s="19" t="s">
        <v>131</v>
      </c>
      <c r="J31" s="44">
        <f>PI()*($J$29/25.4)^2/4*3/4*0.3</f>
        <v>6.2126221909368446E-3</v>
      </c>
      <c r="K31" s="30" t="s">
        <v>134</v>
      </c>
      <c r="L31" s="31" t="s">
        <v>128</v>
      </c>
      <c r="N31" s="3"/>
      <c r="O31" s="3"/>
      <c r="P31" s="247" t="s">
        <v>18</v>
      </c>
      <c r="Q31" s="248">
        <f>C47</f>
        <v>180</v>
      </c>
      <c r="R31" s="30"/>
      <c r="S31" s="30"/>
      <c r="T31" s="31" t="s">
        <v>161</v>
      </c>
    </row>
    <row r="32" spans="1:48" ht="13.9" customHeight="1" x14ac:dyDescent="0.25">
      <c r="A32" s="169"/>
      <c r="B32" s="56" t="s">
        <v>66</v>
      </c>
      <c r="C32" s="115">
        <f>7/C31</f>
        <v>1.3926057520540842E-2</v>
      </c>
      <c r="D32" t="s">
        <v>68</v>
      </c>
      <c r="E32" s="60"/>
      <c r="F32" s="60"/>
      <c r="G32" s="6"/>
      <c r="I32" s="19" t="s">
        <v>121</v>
      </c>
      <c r="J32" s="44">
        <f>($J$29/25.4)^2*$J$31/2</f>
        <v>1.0920624945006168E-4</v>
      </c>
      <c r="K32" s="30" t="s">
        <v>86</v>
      </c>
      <c r="L32" s="31" t="s">
        <v>133</v>
      </c>
      <c r="N32" s="3"/>
      <c r="O32" s="3"/>
      <c r="P32" s="247" t="s">
        <v>13</v>
      </c>
      <c r="Q32" s="248">
        <f>C46</f>
        <v>0</v>
      </c>
      <c r="R32" s="30"/>
      <c r="S32" s="30"/>
      <c r="T32" s="31" t="s">
        <v>161</v>
      </c>
    </row>
    <row r="33" spans="1:50" ht="13.9" customHeight="1" thickBot="1" x14ac:dyDescent="0.3">
      <c r="B33" s="114" t="s">
        <v>243</v>
      </c>
      <c r="C33" s="184">
        <f>450/454</f>
        <v>0.99118942731277537</v>
      </c>
      <c r="D33" s="6" t="s">
        <v>141</v>
      </c>
      <c r="E33" s="60"/>
      <c r="F33" s="60"/>
      <c r="G33" s="6"/>
      <c r="I33" s="19" t="s">
        <v>85</v>
      </c>
      <c r="J33" s="44">
        <f>$J$28+$J$32</f>
        <v>1.6577045547800059E-3</v>
      </c>
      <c r="K33" s="30" t="s">
        <v>86</v>
      </c>
      <c r="L33" s="31"/>
      <c r="N33" s="3"/>
      <c r="O33" s="3"/>
      <c r="P33" s="247" t="s">
        <v>164</v>
      </c>
      <c r="Q33" s="249">
        <f>(C39^2-C40^2)*PI()/4/1000^2</f>
        <v>2.1213604393365078E-3</v>
      </c>
      <c r="R33" s="30"/>
      <c r="S33" s="30"/>
      <c r="T33" s="31" t="s">
        <v>250</v>
      </c>
    </row>
    <row r="34" spans="1:50" ht="15" customHeight="1" thickBot="1" x14ac:dyDescent="0.3">
      <c r="D34"/>
      <c r="E34" s="60"/>
      <c r="F34" s="60"/>
      <c r="G34" s="6"/>
      <c r="I34" s="19" t="s">
        <v>85</v>
      </c>
      <c r="J34" s="44">
        <f>$J$33/144</f>
        <v>1.1511837185972264E-5</v>
      </c>
      <c r="K34" s="30" t="s">
        <v>87</v>
      </c>
      <c r="L34" s="31"/>
      <c r="N34" s="3"/>
      <c r="O34" s="3"/>
      <c r="P34" s="247" t="s">
        <v>169</v>
      </c>
      <c r="Q34" s="250">
        <f>1/1.3556</f>
        <v>0.73768073177928595</v>
      </c>
      <c r="R34" s="30"/>
      <c r="S34" s="30"/>
      <c r="T34" s="31" t="s">
        <v>255</v>
      </c>
    </row>
    <row r="35" spans="1:50" ht="15" customHeight="1" thickBot="1" x14ac:dyDescent="0.3">
      <c r="A35" t="s">
        <v>33</v>
      </c>
      <c r="B35" s="17"/>
      <c r="C35" s="202" t="s">
        <v>22</v>
      </c>
      <c r="D35"/>
      <c r="E35" s="60"/>
      <c r="F35" s="60"/>
      <c r="G35" s="6"/>
      <c r="I35" s="21" t="s">
        <v>85</v>
      </c>
      <c r="J35" s="97">
        <f>$J$34/2048.5*6.66</f>
        <v>3.7426817504796325E-8</v>
      </c>
      <c r="K35" s="32" t="s">
        <v>88</v>
      </c>
      <c r="L35" s="33"/>
      <c r="N35" s="3"/>
      <c r="O35" s="3"/>
      <c r="P35" s="247" t="s">
        <v>170</v>
      </c>
      <c r="Q35" s="251">
        <f>$J$34/2048.5*6.66</f>
        <v>3.7426817504796325E-8</v>
      </c>
      <c r="R35" s="30"/>
      <c r="S35" s="30"/>
      <c r="T35" s="31" t="s">
        <v>73</v>
      </c>
    </row>
    <row r="36" spans="1:50" ht="15" customHeight="1" x14ac:dyDescent="0.25">
      <c r="B36" s="24" t="s">
        <v>16</v>
      </c>
      <c r="C36" s="183">
        <v>0</v>
      </c>
      <c r="D36"/>
      <c r="F36" s="6"/>
      <c r="G36" s="6"/>
      <c r="I36" s="30"/>
      <c r="J36" s="45"/>
      <c r="K36" s="30"/>
      <c r="L36" s="30"/>
      <c r="N36" s="3"/>
      <c r="O36" s="3"/>
      <c r="P36" s="247" t="s">
        <v>185</v>
      </c>
      <c r="Q36" s="249">
        <f>C39/1000</f>
        <v>5.5E-2</v>
      </c>
      <c r="R36" s="30"/>
      <c r="S36" s="30"/>
      <c r="T36" s="31" t="s">
        <v>248</v>
      </c>
    </row>
    <row r="37" spans="1:50" ht="15.75" thickBot="1" x14ac:dyDescent="0.3">
      <c r="B37" s="26" t="s">
        <v>17</v>
      </c>
      <c r="C37" s="180">
        <v>5</v>
      </c>
      <c r="I37" s="188" t="s">
        <v>228</v>
      </c>
      <c r="J37" s="188"/>
      <c r="K37" s="188"/>
      <c r="L37" s="188"/>
      <c r="N37" s="3"/>
      <c r="O37" s="3"/>
      <c r="P37" s="247" t="s">
        <v>204</v>
      </c>
      <c r="Q37" s="250">
        <f>$Z$13</f>
        <v>4.4249528005034611</v>
      </c>
      <c r="R37" s="30"/>
      <c r="S37" s="30"/>
      <c r="T37" s="31" t="s">
        <v>144</v>
      </c>
      <c r="AI37" s="5"/>
    </row>
    <row r="38" spans="1:50" ht="75.75" thickBot="1" x14ac:dyDescent="0.3">
      <c r="I38" s="173" t="s">
        <v>89</v>
      </c>
      <c r="J38" s="216" t="s">
        <v>280</v>
      </c>
      <c r="K38" s="216" t="s">
        <v>332</v>
      </c>
      <c r="L38" s="271" t="s">
        <v>284</v>
      </c>
      <c r="M38" s="243" t="s">
        <v>258</v>
      </c>
      <c r="N38" s="244" t="s">
        <v>259</v>
      </c>
      <c r="P38" s="195"/>
      <c r="Q38" s="193"/>
      <c r="R38" s="193"/>
      <c r="S38" s="193"/>
      <c r="T38" s="196"/>
      <c r="AI38" s="5"/>
    </row>
    <row r="39" spans="1:50" ht="18.75" x14ac:dyDescent="0.3">
      <c r="A39" s="3" t="s">
        <v>232</v>
      </c>
      <c r="B39" s="17" t="s">
        <v>233</v>
      </c>
      <c r="C39" s="179">
        <v>55</v>
      </c>
      <c r="D39" t="s">
        <v>83</v>
      </c>
      <c r="E39"/>
      <c r="I39" s="228">
        <f>(L39-L41)/(L40-L41)*(I40-I41)+I41</f>
        <v>68.268656716417908</v>
      </c>
      <c r="J39" s="233">
        <f t="shared" ref="J39:J44" si="50">(I39*$Q$30*$R$43+$Q$43)/$Q$30</f>
        <v>82.745323089669455</v>
      </c>
      <c r="K39" s="276">
        <f>LOG10(J39)</f>
        <v>1.9177434560580273</v>
      </c>
      <c r="L39" s="222">
        <v>0</v>
      </c>
      <c r="M39" s="193"/>
      <c r="N39" s="196"/>
      <c r="P39" s="206" t="s">
        <v>288</v>
      </c>
      <c r="Q39" s="57"/>
      <c r="R39" s="57"/>
      <c r="S39" s="57"/>
      <c r="T39" s="25"/>
      <c r="AI39" s="5"/>
    </row>
    <row r="40" spans="1:50" ht="15.75" thickBot="1" x14ac:dyDescent="0.3">
      <c r="B40" s="21" t="s">
        <v>234</v>
      </c>
      <c r="C40" s="180">
        <v>18</v>
      </c>
      <c r="D40" t="s">
        <v>83</v>
      </c>
      <c r="E40"/>
      <c r="I40" s="221">
        <v>62</v>
      </c>
      <c r="J40" s="233">
        <f t="shared" si="50"/>
        <v>76.333110127697495</v>
      </c>
      <c r="K40" s="276">
        <f t="shared" ref="K40:K44" si="51">LOG10(J40)</f>
        <v>1.882712957701653</v>
      </c>
      <c r="L40" s="223">
        <v>0.03</v>
      </c>
      <c r="M40" s="229"/>
      <c r="N40" s="230"/>
      <c r="P40" s="64" t="s">
        <v>108</v>
      </c>
      <c r="Q40" s="185">
        <f>INDEX(LINEST($Q$4:$Q$13,$E$4:$E$13^{1,2},FALSE,FALSE),3)</f>
        <v>0</v>
      </c>
      <c r="R40" s="185">
        <f>INDEX(LINEST($Q$4:$Q$13,$E$4:$E$13^{1,2},FALSE,FALSE),2)</f>
        <v>12959.722951697393</v>
      </c>
      <c r="S40" s="185">
        <f>INDEX(LINEST($Q$4:$Q$13,$E$4:$E$13^{1,2},FALSE,FALSE),1)</f>
        <v>264.09253191549305</v>
      </c>
      <c r="T40" s="31" t="s">
        <v>253</v>
      </c>
      <c r="AI40" s="5"/>
    </row>
    <row r="41" spans="1:50" ht="15.75" thickBot="1" x14ac:dyDescent="0.3">
      <c r="B41" s="30"/>
      <c r="C41" s="181"/>
      <c r="D41"/>
      <c r="E41"/>
      <c r="H41" s="10"/>
      <c r="I41" s="221">
        <v>48</v>
      </c>
      <c r="J41" s="233">
        <f t="shared" si="50"/>
        <v>62.012501179293423</v>
      </c>
      <c r="K41" s="276">
        <f t="shared" si="51"/>
        <v>1.7924792483032321</v>
      </c>
      <c r="L41" s="223">
        <v>9.7000000000000003E-2</v>
      </c>
      <c r="M41" s="231">
        <f>$Q$35/L41</f>
        <v>3.8584347943088994E-7</v>
      </c>
      <c r="N41" s="232">
        <f>-M41/$Q$34</f>
        <v>-5.2304942071651441E-7</v>
      </c>
      <c r="P41" s="64" t="s">
        <v>21</v>
      </c>
      <c r="Q41" s="185">
        <f>INDEX(LINEST($P$3:$P$13,$M$3:$M$13),2)</f>
        <v>-19322.838825375489</v>
      </c>
      <c r="R41" s="66">
        <f>INDEX(LINEST($P$3:$P$13,$M$3:$M$13),1)</f>
        <v>11482.895296066237</v>
      </c>
      <c r="S41" s="30"/>
      <c r="T41" s="31" t="s">
        <v>253</v>
      </c>
      <c r="AI41" s="5"/>
      <c r="AW41" s="131"/>
      <c r="AX41" s="144"/>
    </row>
    <row r="42" spans="1:50" ht="15.75" thickBot="1" x14ac:dyDescent="0.3">
      <c r="A42" s="10" t="s">
        <v>235</v>
      </c>
      <c r="B42" s="177" t="s">
        <v>236</v>
      </c>
      <c r="C42" s="182">
        <v>1.2250000000000001</v>
      </c>
      <c r="D42" t="s">
        <v>147</v>
      </c>
      <c r="E42" t="s">
        <v>155</v>
      </c>
      <c r="G42" s="6"/>
      <c r="I42" s="221">
        <v>25</v>
      </c>
      <c r="J42" s="233">
        <f t="shared" si="50"/>
        <v>38.485786478343883</v>
      </c>
      <c r="K42" s="276">
        <f t="shared" si="51"/>
        <v>1.5853003660342497</v>
      </c>
      <c r="L42" s="223">
        <v>0.28699999999999998</v>
      </c>
      <c r="M42" s="60"/>
      <c r="N42" s="230"/>
      <c r="P42" s="64" t="s">
        <v>109</v>
      </c>
      <c r="Q42" s="185">
        <f>INDEX(LINEST($Q$4:$Q$13,$P$4:$P$13),2)</f>
        <v>-5799.5437681846779</v>
      </c>
      <c r="R42" s="68">
        <f>INDEX(LINEST($Q$4:$Q$13,$P$4:$P$13),1)</f>
        <v>0.97688872205517074</v>
      </c>
      <c r="S42" s="30"/>
      <c r="T42" s="31" t="s">
        <v>253</v>
      </c>
      <c r="AI42" s="5"/>
    </row>
    <row r="43" spans="1:50" ht="15.75" thickBot="1" x14ac:dyDescent="0.3">
      <c r="C43" s="178"/>
      <c r="D43"/>
      <c r="E43"/>
      <c r="G43" s="6"/>
      <c r="I43" s="221">
        <v>16</v>
      </c>
      <c r="J43" s="233">
        <f t="shared" si="50"/>
        <v>29.279680725798411</v>
      </c>
      <c r="K43" s="276">
        <f t="shared" si="51"/>
        <v>1.4665663367381319</v>
      </c>
      <c r="L43" s="223">
        <v>0.442</v>
      </c>
      <c r="M43" s="60"/>
      <c r="N43" s="230"/>
      <c r="P43" s="64" t="s">
        <v>110</v>
      </c>
      <c r="Q43" s="185">
        <f>INDEX(LINEST($P$4:$P$13,$Q$4:$Q$13),2)</f>
        <v>5950.4350459626585</v>
      </c>
      <c r="R43" s="68">
        <f>INDEX(LINEST($P$4:$P$13,$Q$4:$Q$13),1)</f>
        <v>1.022900639171719</v>
      </c>
      <c r="S43" s="30"/>
      <c r="T43" s="31" t="s">
        <v>253</v>
      </c>
      <c r="AI43" s="5"/>
    </row>
    <row r="44" spans="1:50" ht="15.75" thickBot="1" x14ac:dyDescent="0.3">
      <c r="A44" s="168" t="s">
        <v>237</v>
      </c>
      <c r="B44" s="173" t="s">
        <v>238</v>
      </c>
      <c r="C44" s="179">
        <v>0</v>
      </c>
      <c r="D44" s="30" t="s">
        <v>244</v>
      </c>
      <c r="E44"/>
      <c r="F44" s="6"/>
      <c r="I44" s="234">
        <f>(L44-L42)/(L43-L42)*(I43-I42)+I42</f>
        <v>12.63225806451613</v>
      </c>
      <c r="J44" s="237">
        <f t="shared" si="50"/>
        <v>25.834815347426559</v>
      </c>
      <c r="K44" s="277">
        <f t="shared" si="51"/>
        <v>1.4122053618027062</v>
      </c>
      <c r="L44" s="226">
        <v>0.5</v>
      </c>
      <c r="M44" s="235"/>
      <c r="N44" s="236"/>
      <c r="P44" s="64" t="s">
        <v>166</v>
      </c>
      <c r="Q44" s="186">
        <f>AG10</f>
        <v>-0.65811052474077714</v>
      </c>
      <c r="R44" s="30"/>
      <c r="S44" s="30"/>
      <c r="T44" s="31" t="s">
        <v>247</v>
      </c>
      <c r="U44" s="5"/>
      <c r="AI44" s="5"/>
      <c r="AJ44" s="5"/>
      <c r="AK44" s="131"/>
    </row>
    <row r="45" spans="1:50" x14ac:dyDescent="0.25">
      <c r="A45" s="30"/>
      <c r="B45" s="56" t="s">
        <v>239</v>
      </c>
      <c r="C45" s="183">
        <v>5</v>
      </c>
      <c r="D45" s="45" t="s">
        <v>244</v>
      </c>
      <c r="E45"/>
      <c r="F45" s="6"/>
      <c r="P45" s="64" t="s">
        <v>168</v>
      </c>
      <c r="Q45" s="187">
        <f>AF10</f>
        <v>2.5375005332641978</v>
      </c>
      <c r="R45" s="30"/>
      <c r="S45" s="30"/>
      <c r="T45" s="31" t="s">
        <v>247</v>
      </c>
      <c r="AI45" s="5"/>
      <c r="AJ45" s="5"/>
      <c r="AK45" s="131"/>
      <c r="AX45" s="144"/>
    </row>
    <row r="46" spans="1:50" ht="15.75" thickBot="1" x14ac:dyDescent="0.3">
      <c r="A46" s="168"/>
      <c r="B46" s="56" t="s">
        <v>238</v>
      </c>
      <c r="C46" s="183">
        <v>0</v>
      </c>
      <c r="D46" s="45" t="s">
        <v>240</v>
      </c>
      <c r="E46"/>
      <c r="H46" s="6"/>
      <c r="I46" s="6"/>
      <c r="J46" s="6"/>
      <c r="K46" s="9"/>
      <c r="L46" s="6"/>
      <c r="M46" s="6"/>
      <c r="N46" s="10"/>
      <c r="O46" s="10"/>
      <c r="P46" s="198" t="s">
        <v>197</v>
      </c>
      <c r="Q46" s="199">
        <v>7</v>
      </c>
      <c r="R46" s="32"/>
      <c r="S46" s="32"/>
      <c r="T46" s="33" t="s">
        <v>249</v>
      </c>
      <c r="W46" s="45"/>
      <c r="X46" s="175"/>
      <c r="Y46" s="45"/>
      <c r="AI46" s="5"/>
      <c r="AJ46" s="5"/>
      <c r="AK46" s="131"/>
    </row>
    <row r="47" spans="1:50" ht="15.75" thickBot="1" x14ac:dyDescent="0.3">
      <c r="A47" s="168"/>
      <c r="B47" s="114" t="s">
        <v>239</v>
      </c>
      <c r="C47" s="180">
        <v>180</v>
      </c>
      <c r="D47" s="45" t="s">
        <v>240</v>
      </c>
      <c r="E47"/>
      <c r="H47" s="6"/>
      <c r="I47" s="192" t="s">
        <v>82</v>
      </c>
      <c r="J47" s="191">
        <f>INDEX(LINEST($Y$3:$Y$13,$P$3:$P$13^{1,2}),3)</f>
        <v>-2.2828992630213674E-3</v>
      </c>
      <c r="K47" s="160">
        <f>INDEX(LINEST($Y$3:$Y$13,$P$3:$P$13^{1,2}),2)</f>
        <v>1.9775156395940451E-7</v>
      </c>
      <c r="L47" s="160">
        <f>INDEX(LINEST($Y$3:$Y$13,$P$3:$P$13^{1,2}),1)</f>
        <v>9.3269413849587629E-12</v>
      </c>
      <c r="M47" s="44" t="s">
        <v>254</v>
      </c>
      <c r="N47" s="10"/>
      <c r="O47" s="10"/>
      <c r="U47" s="10"/>
      <c r="V47" s="3"/>
      <c r="W47" s="45"/>
      <c r="X47" s="60"/>
      <c r="Y47" s="45"/>
      <c r="AX47" s="144"/>
    </row>
    <row r="48" spans="1:50" ht="15.75" thickBot="1" x14ac:dyDescent="0.3">
      <c r="U48" s="168"/>
      <c r="V48" s="30"/>
    </row>
    <row r="49" spans="1:45" ht="15.75" thickBot="1" x14ac:dyDescent="0.3">
      <c r="A49" s="3" t="s">
        <v>230</v>
      </c>
      <c r="B49" s="189">
        <v>1.25</v>
      </c>
      <c r="C49" s="45" t="s">
        <v>231</v>
      </c>
      <c r="D49" s="5"/>
      <c r="E49" s="172">
        <f>C30</f>
        <v>240</v>
      </c>
      <c r="F49" s="172" t="s">
        <v>142</v>
      </c>
      <c r="I49" s="156" t="s">
        <v>269</v>
      </c>
      <c r="M49" s="217" t="s">
        <v>268</v>
      </c>
      <c r="N49" s="122"/>
      <c r="Q49" s="60"/>
      <c r="R49" s="193"/>
      <c r="T49" s="193"/>
      <c r="U49" s="168"/>
      <c r="V49" s="30"/>
      <c r="W49" s="174"/>
      <c r="X49" s="45"/>
      <c r="Y49" s="45"/>
    </row>
    <row r="50" spans="1:45" x14ac:dyDescent="0.25">
      <c r="I50" s="218" t="s">
        <v>263</v>
      </c>
      <c r="J50" s="216" t="s">
        <v>89</v>
      </c>
      <c r="K50" s="219" t="s">
        <v>264</v>
      </c>
      <c r="L50" s="219" t="s">
        <v>265</v>
      </c>
      <c r="M50" s="219" t="s">
        <v>266</v>
      </c>
      <c r="N50" s="220" t="s">
        <v>267</v>
      </c>
      <c r="P50" s="215" t="s">
        <v>272</v>
      </c>
      <c r="Q50" s="240">
        <v>0</v>
      </c>
      <c r="R50" s="238">
        <f ca="1">J55</f>
        <v>21.690322580645159</v>
      </c>
      <c r="S50" s="238">
        <f ca="1">J54</f>
        <v>37.347368421052636</v>
      </c>
      <c r="T50" s="238">
        <f ca="1">J53</f>
        <v>50.507462686567166</v>
      </c>
      <c r="U50" s="239">
        <f ca="1">J52</f>
        <v>64.089552238805979</v>
      </c>
      <c r="V50" s="241">
        <v>80</v>
      </c>
      <c r="W50" s="45"/>
      <c r="X50" s="45"/>
      <c r="Y50" s="45"/>
    </row>
    <row r="51" spans="1:45" x14ac:dyDescent="0.25">
      <c r="I51" s="221">
        <v>0</v>
      </c>
      <c r="J51" s="233">
        <f t="shared" ref="J51:J56" ca="1" si="52">FORECAST(I51,OFFSET(MeasNt,MATCH(I51,MeasTauT,1)-1,0,2),OFFSET(MeasTauT,MATCH(I51,MeasTauT,1)-1,0,2))</f>
        <v>68.268656716417922</v>
      </c>
      <c r="K51" s="57">
        <v>0.2</v>
      </c>
      <c r="L51" s="57">
        <v>4.4000000000000004</v>
      </c>
      <c r="M51" s="57">
        <v>0.09</v>
      </c>
      <c r="N51" s="25">
        <v>5</v>
      </c>
      <c r="P51" s="252" t="s">
        <v>264</v>
      </c>
      <c r="Q51" s="253">
        <f>K56</f>
        <v>0.47499999999999998</v>
      </c>
      <c r="R51" s="253">
        <f>K55</f>
        <v>0.47499999999999998</v>
      </c>
      <c r="S51" s="253">
        <f>K54</f>
        <v>0.32500000000000001</v>
      </c>
      <c r="T51" s="253">
        <f>K53</f>
        <v>0.22500000000000001</v>
      </c>
      <c r="U51" s="254">
        <f>K52</f>
        <v>0.2</v>
      </c>
      <c r="V51" s="255">
        <f>K51</f>
        <v>0.2</v>
      </c>
      <c r="W51" s="45" t="s">
        <v>273</v>
      </c>
      <c r="X51" s="45"/>
      <c r="Y51" s="45"/>
      <c r="AJ51" s="94"/>
      <c r="AR51" s="3"/>
    </row>
    <row r="52" spans="1:45" x14ac:dyDescent="0.25">
      <c r="I52" s="221">
        <v>0.02</v>
      </c>
      <c r="J52" s="233">
        <f t="shared" ca="1" si="52"/>
        <v>64.089552238805979</v>
      </c>
      <c r="K52" s="57">
        <v>0.2</v>
      </c>
      <c r="L52" s="57">
        <v>3.75</v>
      </c>
      <c r="M52" s="57">
        <v>0.09</v>
      </c>
      <c r="N52" s="25">
        <v>5</v>
      </c>
      <c r="P52" s="252" t="s">
        <v>265</v>
      </c>
      <c r="Q52" s="256">
        <f>L56</f>
        <v>2.4</v>
      </c>
      <c r="R52" s="256">
        <f>L55</f>
        <v>2.4</v>
      </c>
      <c r="S52" s="256">
        <f>L54</f>
        <v>2.7</v>
      </c>
      <c r="T52" s="256">
        <f>L53</f>
        <v>3.2</v>
      </c>
      <c r="U52" s="257">
        <f>L52</f>
        <v>3.75</v>
      </c>
      <c r="V52" s="258">
        <f>L51</f>
        <v>4.4000000000000004</v>
      </c>
      <c r="W52" s="45"/>
      <c r="X52" s="45"/>
      <c r="Y52" s="45"/>
      <c r="AS52" s="3"/>
    </row>
    <row r="53" spans="1:45" x14ac:dyDescent="0.25">
      <c r="I53" s="221">
        <v>8.5000000000000006E-2</v>
      </c>
      <c r="J53" s="233">
        <f t="shared" ca="1" si="52"/>
        <v>50.507462686567166</v>
      </c>
      <c r="K53" s="57">
        <v>0.22500000000000001</v>
      </c>
      <c r="L53" s="57">
        <v>3.2</v>
      </c>
      <c r="M53" s="223">
        <v>0.125</v>
      </c>
      <c r="N53" s="224">
        <v>4.05</v>
      </c>
      <c r="P53" s="252" t="s">
        <v>270</v>
      </c>
      <c r="Q53" s="259">
        <v>0.15</v>
      </c>
      <c r="R53" s="259"/>
      <c r="S53" s="259"/>
      <c r="T53" s="259"/>
      <c r="U53" s="260"/>
      <c r="V53" s="261"/>
      <c r="W53" s="45"/>
      <c r="X53" s="45"/>
      <c r="Y53" s="45"/>
    </row>
    <row r="54" spans="1:45" x14ac:dyDescent="0.25">
      <c r="I54" s="221">
        <v>0.185</v>
      </c>
      <c r="J54" s="233">
        <f t="shared" ca="1" si="52"/>
        <v>37.347368421052636</v>
      </c>
      <c r="K54" s="57">
        <v>0.32500000000000001</v>
      </c>
      <c r="L54" s="57">
        <v>2.7</v>
      </c>
      <c r="M54" s="57">
        <v>0.24</v>
      </c>
      <c r="N54" s="25">
        <v>3.75</v>
      </c>
      <c r="P54" s="252" t="s">
        <v>271</v>
      </c>
      <c r="Q54" s="259">
        <v>0.03</v>
      </c>
      <c r="R54" s="259"/>
      <c r="S54" s="259"/>
      <c r="T54" s="259"/>
      <c r="U54" s="260"/>
      <c r="V54" s="261"/>
      <c r="W54" s="45"/>
      <c r="X54" s="176"/>
      <c r="Y54" s="45"/>
    </row>
    <row r="55" spans="1:45" x14ac:dyDescent="0.25">
      <c r="I55" s="221">
        <v>0.34399999999999997</v>
      </c>
      <c r="J55" s="233">
        <f t="shared" ca="1" si="52"/>
        <v>21.690322580645159</v>
      </c>
      <c r="K55" s="57">
        <v>0.47499999999999998</v>
      </c>
      <c r="L55" s="57">
        <v>2.4</v>
      </c>
      <c r="M55" s="57">
        <v>0.42</v>
      </c>
      <c r="N55" s="25">
        <v>3.6</v>
      </c>
      <c r="P55" s="252" t="s">
        <v>266</v>
      </c>
      <c r="Q55" s="253">
        <f>M56</f>
        <v>0.42</v>
      </c>
      <c r="R55" s="253">
        <f>M55</f>
        <v>0.42</v>
      </c>
      <c r="S55" s="253">
        <f>M54</f>
        <v>0.24</v>
      </c>
      <c r="T55" s="253">
        <f>M53</f>
        <v>0.125</v>
      </c>
      <c r="U55" s="254">
        <f>M52</f>
        <v>0.09</v>
      </c>
      <c r="V55" s="255">
        <f>M51</f>
        <v>0.09</v>
      </c>
      <c r="W55" s="45" t="s">
        <v>274</v>
      </c>
      <c r="X55" s="176"/>
      <c r="Y55" s="45"/>
    </row>
    <row r="56" spans="1:45" ht="15.75" thickBot="1" x14ac:dyDescent="0.3">
      <c r="I56" s="225">
        <v>0.5</v>
      </c>
      <c r="J56" s="237">
        <f t="shared" ca="1" si="52"/>
        <v>12.632258064516126</v>
      </c>
      <c r="K56" s="227">
        <v>0.47499999999999998</v>
      </c>
      <c r="L56" s="227">
        <v>2.4</v>
      </c>
      <c r="M56" s="227">
        <v>0.42</v>
      </c>
      <c r="N56" s="27">
        <v>3.6</v>
      </c>
      <c r="P56" s="262" t="s">
        <v>267</v>
      </c>
      <c r="Q56" s="263">
        <f>N56</f>
        <v>3.6</v>
      </c>
      <c r="R56" s="263">
        <f>N55</f>
        <v>3.6</v>
      </c>
      <c r="S56" s="263">
        <f>N54</f>
        <v>3.75</v>
      </c>
      <c r="T56" s="263">
        <f>N53</f>
        <v>4.05</v>
      </c>
      <c r="U56" s="264">
        <f>N52</f>
        <v>5</v>
      </c>
      <c r="V56" s="265">
        <f>N51</f>
        <v>5</v>
      </c>
      <c r="W56" s="45"/>
      <c r="X56" s="176"/>
      <c r="Y56" s="45"/>
    </row>
    <row r="57" spans="1:45" x14ac:dyDescent="0.25">
      <c r="V57" s="45"/>
      <c r="W57" s="45"/>
      <c r="X57" s="176"/>
      <c r="Y57" s="45"/>
    </row>
    <row r="58" spans="1:45" x14ac:dyDescent="0.25">
      <c r="W58" s="45"/>
      <c r="X58" s="176"/>
      <c r="Y58" s="45"/>
    </row>
    <row r="59" spans="1:45" x14ac:dyDescent="0.25">
      <c r="W59" s="45"/>
      <c r="X59" s="129"/>
      <c r="Y59" s="45"/>
    </row>
    <row r="60" spans="1:45" x14ac:dyDescent="0.25">
      <c r="W60" s="45"/>
      <c r="X60" s="129"/>
      <c r="Y60" s="45"/>
    </row>
    <row r="61" spans="1:45" x14ac:dyDescent="0.25">
      <c r="W61" s="45"/>
      <c r="X61" s="129"/>
      <c r="Y61" s="45"/>
    </row>
    <row r="62" spans="1:45" x14ac:dyDescent="0.25">
      <c r="H62" s="15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2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2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2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0"/>
      <c r="E70" s="60"/>
      <c r="F70" s="60"/>
      <c r="G70" s="60"/>
      <c r="H70" s="60"/>
      <c r="I70" s="170"/>
      <c r="J70" s="60"/>
      <c r="K70" s="167"/>
      <c r="L70" s="60"/>
      <c r="M70" s="60"/>
      <c r="N70" s="168"/>
      <c r="O70" s="168"/>
      <c r="P70" s="168"/>
      <c r="Q70" s="168"/>
      <c r="R70" s="168"/>
      <c r="S70" s="168"/>
      <c r="T70" s="168"/>
      <c r="U70" s="169"/>
      <c r="V70" s="16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0"/>
      <c r="E71" s="60"/>
      <c r="F71" s="60"/>
      <c r="G71" s="60"/>
      <c r="H71" s="60"/>
      <c r="I71" s="170"/>
      <c r="J71" s="60"/>
      <c r="K71" s="167"/>
      <c r="L71" s="60"/>
      <c r="M71" s="60"/>
      <c r="N71" s="168"/>
      <c r="O71" s="168"/>
      <c r="P71" s="168"/>
      <c r="Q71" s="168"/>
      <c r="R71" s="168"/>
      <c r="S71" s="168"/>
      <c r="T71" s="168"/>
      <c r="U71" s="169"/>
      <c r="V71" s="169"/>
      <c r="W71" s="9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0"/>
      <c r="E72" s="60"/>
      <c r="F72" s="60"/>
      <c r="G72" s="60"/>
      <c r="H72" s="60"/>
      <c r="I72" s="170"/>
      <c r="J72" s="60"/>
      <c r="K72" s="167"/>
      <c r="L72" s="60"/>
      <c r="M72" s="60"/>
      <c r="N72" s="168"/>
      <c r="O72" s="168"/>
      <c r="P72" s="168"/>
      <c r="Q72" s="168"/>
      <c r="R72" s="168"/>
      <c r="S72" s="168"/>
      <c r="T72" s="168"/>
      <c r="U72" s="169"/>
      <c r="V72" s="16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0"/>
      <c r="E73" s="60"/>
      <c r="F73" s="60"/>
      <c r="G73" s="60"/>
      <c r="H73" s="60"/>
      <c r="I73" s="170"/>
      <c r="J73" s="60"/>
      <c r="K73" s="167"/>
      <c r="L73" s="60"/>
      <c r="M73" s="60"/>
      <c r="N73" s="168"/>
      <c r="O73" s="168"/>
      <c r="P73" s="168"/>
      <c r="Q73" s="168"/>
      <c r="R73" s="168"/>
      <c r="S73" s="168"/>
      <c r="T73" s="168"/>
      <c r="U73" s="169"/>
      <c r="V73" s="169"/>
      <c r="W73" s="45"/>
      <c r="X73" s="45"/>
      <c r="Y73" s="45"/>
      <c r="Z73" s="45"/>
      <c r="AA73" s="12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0"/>
      <c r="E74" s="60"/>
      <c r="F74" s="60"/>
      <c r="G74" s="60"/>
      <c r="H74" s="60"/>
      <c r="I74" s="170"/>
      <c r="J74" s="60"/>
      <c r="K74" s="167"/>
      <c r="L74" s="60"/>
      <c r="M74" s="60"/>
      <c r="N74" s="168"/>
      <c r="O74" s="168"/>
      <c r="P74" s="168"/>
      <c r="Q74" s="168"/>
      <c r="R74" s="168"/>
      <c r="S74" s="168"/>
      <c r="T74" s="168"/>
      <c r="U74" s="169"/>
      <c r="V74" s="169"/>
      <c r="W74" s="45"/>
      <c r="X74" s="45"/>
      <c r="Y74" s="45"/>
      <c r="Z74" s="45"/>
      <c r="AA74" s="12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0"/>
      <c r="E75" s="60"/>
      <c r="F75" s="60"/>
      <c r="G75" s="60"/>
      <c r="H75" s="60"/>
      <c r="I75" s="170"/>
      <c r="J75" s="60"/>
      <c r="K75" s="167"/>
      <c r="L75" s="60"/>
      <c r="M75" s="60"/>
      <c r="N75" s="168"/>
      <c r="O75" s="168"/>
      <c r="P75" s="168"/>
      <c r="Q75" s="168"/>
      <c r="R75" s="168"/>
      <c r="S75" s="168"/>
      <c r="T75" s="168"/>
      <c r="U75" s="169"/>
      <c r="V75" s="169"/>
      <c r="W75" s="45"/>
      <c r="X75" s="45"/>
      <c r="Y75" s="45"/>
      <c r="Z75" s="45"/>
      <c r="AA75" s="12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0"/>
      <c r="E76" s="60"/>
      <c r="F76" s="60"/>
      <c r="G76" s="60"/>
      <c r="H76" s="60"/>
      <c r="I76" s="60"/>
      <c r="J76" s="60"/>
      <c r="K76" s="167"/>
      <c r="L76" s="60"/>
      <c r="M76" s="60"/>
      <c r="N76" s="168"/>
      <c r="O76" s="168"/>
      <c r="P76" s="168"/>
      <c r="Q76" s="168"/>
      <c r="R76" s="168"/>
      <c r="S76" s="168"/>
      <c r="T76" s="168"/>
      <c r="U76" s="169"/>
      <c r="V76" s="169"/>
      <c r="W76" s="45"/>
      <c r="X76" s="166"/>
      <c r="Y76" s="16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0"/>
      <c r="E92" s="60"/>
      <c r="F92" s="60"/>
      <c r="G92" s="60"/>
      <c r="H92" s="60"/>
      <c r="I92" s="60"/>
      <c r="J92" s="60"/>
      <c r="K92" s="167"/>
      <c r="L92" s="60"/>
      <c r="M92" s="60"/>
      <c r="N92" s="168"/>
      <c r="O92" s="168"/>
      <c r="P92" s="168"/>
      <c r="Q92" s="168"/>
      <c r="R92" s="168"/>
      <c r="S92" s="168"/>
      <c r="T92" s="168"/>
      <c r="U92" s="169"/>
      <c r="V92" s="169"/>
      <c r="W92" s="45"/>
      <c r="X92" s="166"/>
      <c r="Y92" s="16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0"/>
      <c r="E93" s="60"/>
      <c r="F93" s="60"/>
      <c r="G93" s="60"/>
      <c r="H93" s="60"/>
      <c r="I93" s="60"/>
      <c r="J93" s="60"/>
      <c r="K93" s="167"/>
      <c r="L93" s="60"/>
      <c r="M93" s="60"/>
      <c r="N93" s="168"/>
      <c r="O93" s="168"/>
      <c r="P93" s="168"/>
      <c r="Q93" s="168"/>
      <c r="R93" s="168"/>
      <c r="S93" s="168"/>
      <c r="T93" s="168"/>
      <c r="U93" s="169"/>
      <c r="V93" s="169"/>
      <c r="W93" s="45"/>
      <c r="X93" s="166"/>
      <c r="Y93" s="16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0"/>
      <c r="E94" s="60"/>
      <c r="F94" s="60"/>
      <c r="G94" s="60"/>
      <c r="H94" s="60"/>
      <c r="I94" s="60"/>
      <c r="J94" s="60"/>
      <c r="K94" s="167"/>
      <c r="L94" s="60"/>
      <c r="M94" s="60"/>
      <c r="N94" s="168"/>
      <c r="O94" s="168"/>
      <c r="P94" s="168"/>
      <c r="Q94" s="168"/>
      <c r="R94" s="168"/>
      <c r="S94" s="168"/>
      <c r="T94" s="168"/>
      <c r="U94" s="169"/>
      <c r="V94" s="169"/>
      <c r="W94" s="45"/>
      <c r="X94" s="166"/>
      <c r="Y94" s="16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0"/>
      <c r="E95" s="60"/>
      <c r="F95" s="60"/>
      <c r="G95" s="60"/>
      <c r="H95" s="60"/>
      <c r="I95" s="60"/>
      <c r="J95" s="60"/>
      <c r="K95" s="167"/>
      <c r="L95" s="60"/>
      <c r="M95" s="60"/>
      <c r="N95" s="168"/>
      <c r="O95" s="168"/>
      <c r="P95" s="168"/>
      <c r="Q95" s="168"/>
      <c r="R95" s="168"/>
      <c r="S95" s="168"/>
      <c r="T95" s="168"/>
      <c r="U95" s="169"/>
      <c r="V95" s="169"/>
      <c r="W95" s="45"/>
      <c r="X95" s="166"/>
      <c r="Y95" s="16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0"/>
      <c r="E96" s="60"/>
      <c r="F96" s="60"/>
      <c r="G96" s="60"/>
      <c r="H96" s="60"/>
      <c r="I96" s="60"/>
      <c r="J96" s="60"/>
      <c r="K96" s="167"/>
      <c r="L96" s="60"/>
      <c r="M96" s="60"/>
      <c r="N96" s="168"/>
      <c r="O96" s="168"/>
      <c r="P96" s="168"/>
      <c r="Q96" s="168"/>
      <c r="R96" s="168"/>
      <c r="S96" s="168"/>
      <c r="T96" s="168"/>
      <c r="U96" s="169"/>
      <c r="V96" s="169"/>
      <c r="W96" s="45"/>
      <c r="X96" s="166"/>
      <c r="Y96" s="16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0"/>
      <c r="E97" s="60"/>
      <c r="F97" s="60"/>
      <c r="G97" s="60"/>
      <c r="H97" s="60"/>
      <c r="I97" s="60"/>
      <c r="J97" s="60"/>
      <c r="K97" s="167"/>
      <c r="L97" s="60"/>
      <c r="M97" s="60"/>
      <c r="N97" s="168"/>
      <c r="O97" s="168"/>
      <c r="P97" s="168"/>
      <c r="Q97" s="168"/>
      <c r="R97" s="168"/>
      <c r="S97" s="168"/>
      <c r="T97" s="168"/>
      <c r="U97" s="169"/>
      <c r="V97" s="169"/>
      <c r="W97" s="45"/>
      <c r="X97" s="166"/>
      <c r="Y97" s="16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0"/>
      <c r="E98" s="60"/>
      <c r="F98" s="60"/>
      <c r="G98" s="60"/>
      <c r="H98" s="60"/>
      <c r="I98" s="60"/>
      <c r="J98" s="60"/>
      <c r="K98" s="167"/>
      <c r="L98" s="60"/>
      <c r="M98" s="60"/>
      <c r="N98" s="168"/>
      <c r="O98" s="168"/>
      <c r="P98" s="168"/>
      <c r="Q98" s="168"/>
      <c r="R98" s="168"/>
      <c r="S98" s="168"/>
      <c r="T98" s="168"/>
      <c r="U98" s="169"/>
      <c r="V98" s="169"/>
      <c r="W98" s="45"/>
      <c r="X98" s="166"/>
      <c r="Y98" s="16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0"/>
      <c r="E99" s="60"/>
      <c r="F99" s="60"/>
      <c r="G99" s="60"/>
      <c r="H99" s="60"/>
      <c r="I99" s="60"/>
      <c r="J99" s="60"/>
      <c r="K99" s="167"/>
      <c r="L99" s="60"/>
      <c r="M99" s="60"/>
      <c r="N99" s="168"/>
      <c r="O99" s="168"/>
      <c r="P99" s="168"/>
      <c r="Q99" s="168"/>
      <c r="R99" s="168"/>
      <c r="S99" s="168"/>
      <c r="T99" s="168"/>
      <c r="U99" s="169"/>
      <c r="V99" s="169"/>
      <c r="W99" s="45"/>
      <c r="X99" s="166"/>
      <c r="Y99" s="16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0"/>
      <c r="E100" s="60"/>
      <c r="F100" s="60"/>
      <c r="G100" s="60"/>
      <c r="H100" s="60"/>
      <c r="I100" s="60"/>
      <c r="J100" s="60"/>
      <c r="K100" s="167"/>
      <c r="L100" s="60"/>
      <c r="M100" s="60"/>
      <c r="N100" s="168"/>
      <c r="O100" s="168"/>
      <c r="P100" s="168"/>
      <c r="Q100" s="168"/>
      <c r="R100" s="168"/>
      <c r="S100" s="168"/>
      <c r="T100" s="168"/>
      <c r="U100" s="169"/>
      <c r="V100" s="169"/>
      <c r="W100" s="45"/>
      <c r="X100" s="166"/>
      <c r="Y100" s="16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169"/>
      <c r="V101" s="169"/>
      <c r="W101" s="45"/>
      <c r="X101" s="166"/>
      <c r="Y101" s="16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169"/>
      <c r="V102" s="169"/>
      <c r="W102" s="45"/>
      <c r="X102" s="166"/>
      <c r="Y102" s="16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0"/>
      <c r="E106" s="60"/>
      <c r="F106" s="60"/>
      <c r="G106" s="60"/>
      <c r="H106" s="60"/>
      <c r="I106" s="170"/>
      <c r="J106" s="60"/>
      <c r="K106" s="167"/>
      <c r="L106" s="60"/>
      <c r="M106" s="60"/>
      <c r="N106" s="168"/>
      <c r="O106" s="168"/>
      <c r="P106" s="168"/>
      <c r="Q106" s="168"/>
      <c r="R106" s="168"/>
      <c r="S106" s="168"/>
      <c r="T106" s="168"/>
      <c r="U106" s="169"/>
      <c r="V106" s="169"/>
      <c r="W106" s="45"/>
      <c r="X106" s="166"/>
      <c r="Y106" s="16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0"/>
      <c r="E107" s="60"/>
      <c r="F107" s="60"/>
      <c r="G107" s="60"/>
      <c r="H107" s="60"/>
      <c r="I107" s="170"/>
      <c r="J107" s="60"/>
      <c r="K107" s="167"/>
      <c r="L107" s="60"/>
      <c r="M107" s="60"/>
      <c r="N107" s="168"/>
      <c r="O107" s="168"/>
      <c r="P107" s="168"/>
      <c r="Q107" s="168"/>
      <c r="R107" s="168"/>
      <c r="S107" s="168"/>
      <c r="T107" s="168"/>
      <c r="U107" s="169"/>
      <c r="V107" s="169"/>
      <c r="W107" s="45"/>
      <c r="X107" s="166"/>
      <c r="Y107" s="16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0"/>
      <c r="E108" s="60"/>
      <c r="F108" s="60"/>
      <c r="G108" s="60"/>
      <c r="H108" s="60"/>
      <c r="I108" s="170"/>
      <c r="J108" s="60"/>
      <c r="K108" s="167"/>
      <c r="L108" s="60"/>
      <c r="M108" s="60"/>
      <c r="N108" s="168"/>
      <c r="O108" s="168"/>
      <c r="P108" s="168"/>
      <c r="Q108" s="168"/>
      <c r="R108" s="168"/>
      <c r="S108" s="168"/>
      <c r="T108" s="168"/>
      <c r="U108" s="169"/>
      <c r="V108" s="169"/>
      <c r="W108" s="45"/>
      <c r="X108" s="166"/>
      <c r="Y108" s="16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0"/>
      <c r="E109" s="60"/>
      <c r="F109" s="60"/>
      <c r="G109" s="60"/>
      <c r="H109" s="60"/>
      <c r="I109" s="60"/>
      <c r="J109" s="60"/>
      <c r="K109" s="167"/>
      <c r="L109" s="60"/>
      <c r="M109" s="60"/>
      <c r="N109" s="168"/>
      <c r="O109" s="168"/>
      <c r="P109" s="168"/>
      <c r="Q109" s="168"/>
      <c r="R109" s="168"/>
      <c r="S109" s="168"/>
      <c r="T109" s="168"/>
      <c r="U109" s="169"/>
      <c r="V109" s="169"/>
      <c r="W109" s="45"/>
      <c r="X109" s="166"/>
      <c r="Y109" s="16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0"/>
      <c r="E110" s="60"/>
      <c r="F110" s="60"/>
      <c r="G110" s="60"/>
      <c r="H110" s="60"/>
      <c r="I110" s="60"/>
      <c r="J110" s="60"/>
      <c r="K110" s="167"/>
      <c r="L110" s="60"/>
      <c r="M110" s="60"/>
      <c r="N110" s="168"/>
      <c r="O110" s="168"/>
      <c r="P110" s="168"/>
      <c r="Q110" s="168"/>
      <c r="R110" s="168"/>
      <c r="S110" s="168"/>
      <c r="T110" s="168"/>
      <c r="U110" s="169"/>
      <c r="V110" s="169"/>
      <c r="W110" s="45"/>
      <c r="X110" s="166"/>
      <c r="Y110" s="16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0"/>
      <c r="E111" s="60"/>
      <c r="F111" s="60"/>
      <c r="G111" s="60"/>
      <c r="H111" s="60"/>
      <c r="I111" s="60"/>
      <c r="J111" s="60"/>
      <c r="K111" s="167"/>
      <c r="L111" s="60"/>
      <c r="M111" s="60"/>
      <c r="N111" s="168"/>
      <c r="O111" s="168"/>
      <c r="P111" s="168"/>
      <c r="Q111" s="168"/>
      <c r="R111" s="168"/>
      <c r="S111" s="168"/>
      <c r="T111" s="168"/>
      <c r="U111" s="169"/>
      <c r="V111" s="169"/>
      <c r="W111" s="45"/>
      <c r="X111" s="166"/>
      <c r="Y111" s="16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0"/>
      <c r="E112" s="60"/>
      <c r="F112" s="60"/>
      <c r="G112" s="60"/>
      <c r="H112" s="60"/>
      <c r="I112" s="60"/>
      <c r="J112" s="60"/>
      <c r="K112" s="167"/>
      <c r="L112" s="60"/>
      <c r="M112" s="60"/>
      <c r="N112" s="168"/>
      <c r="O112" s="168"/>
      <c r="P112" s="168"/>
      <c r="Q112" s="168"/>
      <c r="R112" s="168"/>
      <c r="S112" s="168"/>
      <c r="T112" s="168"/>
      <c r="U112" s="169"/>
      <c r="V112" s="169"/>
      <c r="W112" s="45"/>
      <c r="X112" s="166"/>
      <c r="Y112" s="16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0"/>
      <c r="E113" s="60"/>
      <c r="F113" s="60"/>
      <c r="G113" s="60"/>
      <c r="H113" s="60"/>
      <c r="I113" s="60"/>
      <c r="J113" s="60"/>
      <c r="K113" s="167"/>
      <c r="L113" s="60"/>
      <c r="M113" s="60"/>
      <c r="N113" s="168"/>
      <c r="O113" s="168"/>
      <c r="P113" s="168"/>
      <c r="Q113" s="168"/>
      <c r="R113" s="168"/>
      <c r="S113" s="168"/>
      <c r="T113" s="168"/>
      <c r="U113" s="169"/>
      <c r="V113" s="169"/>
      <c r="W113" s="45"/>
      <c r="X113" s="166"/>
      <c r="Y113" s="16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0"/>
      <c r="E114" s="60"/>
      <c r="F114" s="60"/>
      <c r="G114" s="60"/>
      <c r="H114" s="60"/>
      <c r="I114" s="60"/>
      <c r="J114" s="60"/>
      <c r="K114" s="167"/>
      <c r="L114" s="60"/>
      <c r="M114" s="60"/>
      <c r="N114" s="168"/>
      <c r="O114" s="168"/>
      <c r="P114" s="168"/>
      <c r="Q114" s="168"/>
      <c r="R114" s="168"/>
      <c r="S114" s="168"/>
      <c r="T114" s="168"/>
      <c r="U114" s="169"/>
      <c r="V114" s="169"/>
      <c r="W114" s="45"/>
      <c r="X114" s="166"/>
      <c r="Y114" s="16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0"/>
      <c r="E115" s="60"/>
      <c r="F115" s="60"/>
      <c r="G115" s="60"/>
      <c r="H115" s="60"/>
      <c r="I115" s="60"/>
      <c r="J115" s="60"/>
      <c r="K115" s="167"/>
      <c r="L115" s="60"/>
      <c r="M115" s="60"/>
      <c r="N115" s="168"/>
      <c r="O115" s="168"/>
      <c r="P115" s="168"/>
      <c r="Q115" s="168"/>
      <c r="R115" s="168"/>
      <c r="S115" s="168"/>
      <c r="T115" s="168"/>
      <c r="U115" s="169"/>
      <c r="V115" s="169"/>
      <c r="W115" s="45"/>
      <c r="X115" s="166"/>
      <c r="Y115" s="16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0"/>
      <c r="E116" s="60"/>
      <c r="F116" s="60"/>
      <c r="G116" s="60"/>
      <c r="H116" s="60"/>
      <c r="I116" s="60"/>
      <c r="J116" s="60"/>
      <c r="K116" s="167"/>
      <c r="L116" s="60"/>
      <c r="M116" s="60"/>
      <c r="N116" s="168"/>
      <c r="O116" s="168"/>
      <c r="P116" s="168"/>
      <c r="Q116" s="168"/>
      <c r="R116" s="168"/>
      <c r="S116" s="168"/>
      <c r="T116" s="168"/>
      <c r="U116" s="169"/>
      <c r="V116" s="169"/>
      <c r="W116" s="45"/>
      <c r="X116" s="166"/>
      <c r="Y116" s="16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0"/>
      <c r="E117" s="60"/>
      <c r="F117" s="60"/>
      <c r="G117" s="60"/>
      <c r="H117" s="60"/>
      <c r="I117" s="60"/>
      <c r="J117" s="60"/>
      <c r="K117" s="167"/>
      <c r="L117" s="60"/>
      <c r="M117" s="60"/>
      <c r="N117" s="168"/>
      <c r="O117" s="168"/>
      <c r="P117" s="168"/>
      <c r="Q117" s="168"/>
      <c r="R117" s="168"/>
      <c r="S117" s="168"/>
      <c r="T117" s="168"/>
      <c r="U117" s="169"/>
      <c r="V117" s="169"/>
      <c r="W117" s="45"/>
      <c r="X117" s="166"/>
      <c r="Y117" s="16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0"/>
      <c r="E118" s="60"/>
      <c r="F118" s="60"/>
      <c r="G118" s="60"/>
      <c r="H118" s="60"/>
      <c r="I118" s="60"/>
      <c r="J118" s="60"/>
      <c r="K118" s="167"/>
      <c r="L118" s="60"/>
      <c r="M118" s="60"/>
      <c r="N118" s="168"/>
      <c r="O118" s="168"/>
      <c r="P118" s="168"/>
      <c r="Q118" s="168"/>
      <c r="R118" s="168"/>
      <c r="S118" s="168"/>
      <c r="T118" s="168"/>
      <c r="U118" s="169"/>
      <c r="V118" s="169"/>
      <c r="W118" s="45"/>
      <c r="X118" s="166"/>
      <c r="Y118" s="16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169"/>
      <c r="V119" s="169"/>
      <c r="W119" s="45"/>
      <c r="X119" s="166"/>
      <c r="Y119" s="16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169"/>
      <c r="V120" s="169"/>
      <c r="W120" s="45"/>
      <c r="X120" s="166"/>
      <c r="Y120" s="16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45"/>
      <c r="V121" s="45"/>
      <c r="W121" s="45"/>
      <c r="X121" s="16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45"/>
      <c r="V122" s="45"/>
      <c r="W122" s="45"/>
      <c r="X122" s="16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18" zoomScale="60" zoomScaleNormal="60" workbookViewId="0">
      <selection activeCell="K45" sqref="K4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207</v>
      </c>
      <c r="B1" t="s">
        <v>206</v>
      </c>
      <c r="C1" s="203" t="s">
        <v>46</v>
      </c>
      <c r="D1" s="204" t="s">
        <v>0</v>
      </c>
      <c r="E1" s="204" t="s">
        <v>1</v>
      </c>
      <c r="F1" s="204" t="s">
        <v>10</v>
      </c>
      <c r="G1" s="204" t="s">
        <v>11</v>
      </c>
      <c r="H1" s="204" t="s">
        <v>23</v>
      </c>
      <c r="I1" s="205" t="s">
        <v>97</v>
      </c>
      <c r="J1" s="169"/>
      <c r="K1" s="4" t="s">
        <v>12</v>
      </c>
      <c r="L1" s="4" t="s">
        <v>7</v>
      </c>
      <c r="M1" s="4" t="s">
        <v>56</v>
      </c>
      <c r="N1" s="4" t="s">
        <v>24</v>
      </c>
      <c r="O1" s="4" t="s">
        <v>102</v>
      </c>
      <c r="P1" s="4" t="s">
        <v>25</v>
      </c>
      <c r="Q1" s="4" t="s">
        <v>122</v>
      </c>
      <c r="R1" s="4" t="s">
        <v>26</v>
      </c>
      <c r="S1" s="4" t="s">
        <v>89</v>
      </c>
      <c r="T1" s="4" t="s">
        <v>7</v>
      </c>
      <c r="U1" s="4" t="str">
        <f t="shared" ref="U1:U13" si="0">K1</f>
        <v>Charger Pwr, W</v>
      </c>
      <c r="V1" s="4" t="s">
        <v>156</v>
      </c>
      <c r="W1" s="4" t="s">
        <v>123</v>
      </c>
      <c r="X1" s="4" t="s">
        <v>135</v>
      </c>
      <c r="Y1" s="4" t="s">
        <v>42</v>
      </c>
      <c r="Z1" s="4" t="s">
        <v>143</v>
      </c>
      <c r="AA1" s="4" t="s">
        <v>245</v>
      </c>
      <c r="AB1" s="4" t="s">
        <v>246</v>
      </c>
      <c r="AC1" s="4" t="s">
        <v>151</v>
      </c>
      <c r="AD1" s="4" t="s">
        <v>152</v>
      </c>
      <c r="AE1" s="4" t="s">
        <v>153</v>
      </c>
      <c r="AF1" s="4" t="s">
        <v>199</v>
      </c>
      <c r="AG1" s="4" t="s">
        <v>158</v>
      </c>
      <c r="AH1" s="4" t="s">
        <v>61</v>
      </c>
      <c r="AI1" s="4" t="s">
        <v>58</v>
      </c>
      <c r="AJ1" s="4" t="s">
        <v>62</v>
      </c>
      <c r="AK1" s="4" t="s">
        <v>59</v>
      </c>
      <c r="AL1" s="4" t="s">
        <v>94</v>
      </c>
      <c r="AM1" s="4" t="s">
        <v>95</v>
      </c>
      <c r="AN1" s="4" t="s">
        <v>90</v>
      </c>
      <c r="AO1" s="4" t="s">
        <v>91</v>
      </c>
      <c r="AP1" s="4" t="s">
        <v>78</v>
      </c>
      <c r="AQ1" s="4" t="s">
        <v>124</v>
      </c>
      <c r="AR1" s="4" t="s">
        <v>77</v>
      </c>
      <c r="AS1" s="4" t="s">
        <v>74</v>
      </c>
      <c r="AT1" s="4" t="s">
        <v>92</v>
      </c>
      <c r="AU1" s="4" t="s">
        <v>171</v>
      </c>
      <c r="AX1" s="4"/>
      <c r="AY1" s="4"/>
    </row>
    <row r="2" spans="1:51" x14ac:dyDescent="0.25">
      <c r="A2" t="s">
        <v>208</v>
      </c>
      <c r="B2" t="s">
        <v>187</v>
      </c>
      <c r="C2" s="200">
        <f t="shared" ref="C2:C13" si="1">D2/180+1</f>
        <v>1.0322055169770046</v>
      </c>
      <c r="D2" s="242">
        <f>EXP((0-$Q$41)/$R$41)</f>
        <v>5.7969930558608072</v>
      </c>
      <c r="E2" s="98">
        <v>3.3999999999999998E-3</v>
      </c>
      <c r="F2" s="98">
        <v>12.22</v>
      </c>
      <c r="G2" s="98">
        <v>5.0999999999999997E-2</v>
      </c>
      <c r="H2" s="128">
        <v>1.0000000000000001E+32</v>
      </c>
      <c r="I2" s="171">
        <v>1.0000000000000001E+32</v>
      </c>
      <c r="J2" s="169"/>
      <c r="K2" s="2">
        <f t="shared" ref="K2:K13" si="2">F2*G2</f>
        <v>0.62322</v>
      </c>
      <c r="L2" s="209">
        <f t="shared" ref="L2:L13" si="3">D2</f>
        <v>5.7969930558608072</v>
      </c>
      <c r="M2" s="214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38">
        <f t="shared" si="0"/>
        <v>0.62322</v>
      </c>
      <c r="V2" s="1">
        <f>($U2-$U$2)</f>
        <v>0</v>
      </c>
      <c r="W2" s="214">
        <f>($U2-$U$2)*0.001341022</f>
        <v>0</v>
      </c>
      <c r="X2" s="207">
        <v>0</v>
      </c>
      <c r="Y2" s="207">
        <v>0</v>
      </c>
      <c r="Z2" s="208">
        <f>$Q$37*(P2/$Q$30/100)^2</f>
        <v>7.5021579327112167E-58</v>
      </c>
      <c r="AA2" s="209">
        <f t="shared" ref="AA2:AA13" si="10">SQRT(Z2^3/4/$Q$27/$Q$33)</f>
        <v>2.0154592931120451E-85</v>
      </c>
      <c r="AB2" s="1"/>
      <c r="AC2" s="138">
        <f t="shared" ref="AC2:AC13" si="11">SQRT(Z2/$Q$33/$Q$27)</f>
        <v>5.3730121684699729E-28</v>
      </c>
      <c r="AD2" s="155">
        <f t="shared" ref="AD2:AD12" si="12">AC2*1/1.6/1000*3600</f>
        <v>1.2089277379057438E-27</v>
      </c>
      <c r="AE2" s="4">
        <f t="shared" ref="AE2:AE13" si="13">Q2/60*PI()*$C$39/1000</f>
        <v>0</v>
      </c>
      <c r="AF2" s="138">
        <f>AE2/AC2</f>
        <v>0</v>
      </c>
      <c r="AH2" s="208">
        <f t="shared" ref="AH2:AH13" si="14">D2/$Q$31*$Q$23</f>
        <v>0.16102758488502239</v>
      </c>
      <c r="AI2" s="208">
        <f t="shared" ref="AI2:AI13" si="15">AH2/$Q$23*$Q$31</f>
        <v>5.7969930558608063</v>
      </c>
      <c r="AJ2" s="209">
        <f t="shared" ref="AJ2:AJ13" si="16">MAX(($Q$41+$R$41*LN($AI2)),0)</f>
        <v>0</v>
      </c>
      <c r="AK2" s="209">
        <f t="shared" ref="AK2:AK13" si="17">MAX(($Q$41+$R$41*LN(AI2))/$Q$30,0)</f>
        <v>0</v>
      </c>
      <c r="AL2" s="209">
        <f t="shared" ref="AL2:AL13" si="18">($Q$42+$R$42*AK2*$Q$30)/$Q$30</f>
        <v>-12.051452687191878</v>
      </c>
      <c r="AM2" s="209">
        <f t="shared" ref="AM2:AM13" si="19">($Q$43+$R$43*AL2*$Q$30)/$Q$30</f>
        <v>6.141569148348304E-2</v>
      </c>
      <c r="AN2" s="1"/>
      <c r="AO2" s="1">
        <f t="shared" ref="AO2:AO13" si="20">MAX($Q$42+$R$42*AJ2, 0)</f>
        <v>0</v>
      </c>
      <c r="AP2" s="207"/>
      <c r="AQ2" s="207"/>
      <c r="AR2" s="207"/>
      <c r="AS2" s="1"/>
      <c r="AT2" s="207"/>
      <c r="AU2" s="1"/>
    </row>
    <row r="3" spans="1:51" ht="15" customHeight="1" x14ac:dyDescent="0.25">
      <c r="A3" t="s">
        <v>209</v>
      </c>
      <c r="B3" t="s">
        <v>187</v>
      </c>
      <c r="C3" s="200">
        <f t="shared" si="1"/>
        <v>1.05</v>
      </c>
      <c r="D3" s="72">
        <v>9</v>
      </c>
      <c r="E3" s="98">
        <v>3.0000000000000001E-3</v>
      </c>
      <c r="F3" s="72">
        <v>12.2</v>
      </c>
      <c r="G3" s="96">
        <v>0.39</v>
      </c>
      <c r="H3" s="72">
        <v>7000</v>
      </c>
      <c r="I3" s="171">
        <v>1.0000000000000001E+32</v>
      </c>
      <c r="J3" s="60"/>
      <c r="K3" s="2">
        <f t="shared" si="2"/>
        <v>4.758</v>
      </c>
      <c r="L3" s="1">
        <f t="shared" si="3"/>
        <v>9</v>
      </c>
      <c r="M3" s="214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1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38">
        <f>K3</f>
        <v>4.758</v>
      </c>
      <c r="V3" s="1">
        <f t="shared" ref="V3:V13" si="22">($U3-$U$2)</f>
        <v>4.1347800000000001</v>
      </c>
      <c r="W3" s="214">
        <f t="shared" ref="W3:W13" si="23">($U3-$U$2)*0.001341022</f>
        <v>5.5448309451600003E-3</v>
      </c>
      <c r="X3" s="210">
        <f>$W3/$P3*5252</f>
        <v>3.3975027477977041E-3</v>
      </c>
      <c r="Y3" s="210">
        <f>X3-$X$3</f>
        <v>0</v>
      </c>
      <c r="Z3" s="208">
        <f t="shared" ref="Z3:Z12" si="24">$Q$37*(P3/$Q$30/100)^2</f>
        <v>0.15310526393288199</v>
      </c>
      <c r="AA3" s="209">
        <f t="shared" si="10"/>
        <v>0.58759746154870141</v>
      </c>
      <c r="AB3" s="2">
        <f>AA3/U3*100</f>
        <v>12.349673424731009</v>
      </c>
      <c r="AC3" s="138">
        <f t="shared" si="11"/>
        <v>7.6757316692428201</v>
      </c>
      <c r="AD3" s="155">
        <f t="shared" si="12"/>
        <v>17.270396255796342</v>
      </c>
      <c r="AE3" s="4">
        <f t="shared" si="13"/>
        <v>1.7278759594743859E-27</v>
      </c>
      <c r="AF3" s="138">
        <f t="shared" ref="AF3:AF13" si="25">AE3/AC3</f>
        <v>2.2510895819848715E-28</v>
      </c>
      <c r="AH3" s="208">
        <f t="shared" si="14"/>
        <v>0.25</v>
      </c>
      <c r="AI3" s="208">
        <f t="shared" si="15"/>
        <v>9</v>
      </c>
      <c r="AJ3" s="209">
        <f t="shared" si="16"/>
        <v>5341.5559957732476</v>
      </c>
      <c r="AK3" s="209">
        <f t="shared" si="17"/>
        <v>11.591918393605138</v>
      </c>
      <c r="AL3" s="209">
        <f t="shared" si="18"/>
        <v>-1.2570730193706521</v>
      </c>
      <c r="AM3" s="209">
        <f t="shared" si="19"/>
        <v>11.641491887218354</v>
      </c>
      <c r="AN3" s="1"/>
      <c r="AO3" s="1">
        <f t="shared" si="20"/>
        <v>0</v>
      </c>
      <c r="AP3" s="207">
        <f t="shared" ref="AP3:AP13" si="26">MAX($J$47+$AJ3*($K$47+$AJ3*$L$47), 0)</f>
        <v>0</v>
      </c>
      <c r="AQ3" s="207">
        <f>AJ3*AP3/5252</f>
        <v>0</v>
      </c>
      <c r="AR3" s="211">
        <f t="shared" ref="AR3:AR13" si="27">MAX($K$47+$L$47*2*AJ3,1E-32)</f>
        <v>2.511671370675344E-7</v>
      </c>
      <c r="AS3" s="208"/>
      <c r="AT3" s="1"/>
      <c r="AU3" s="208"/>
      <c r="AX3" s="111"/>
      <c r="AY3" s="87"/>
    </row>
    <row r="4" spans="1:51" ht="15" customHeight="1" x14ac:dyDescent="0.25">
      <c r="A4" t="s">
        <v>210</v>
      </c>
      <c r="B4" t="s">
        <v>220</v>
      </c>
      <c r="C4" s="200">
        <f t="shared" si="1"/>
        <v>1.0666666666666667</v>
      </c>
      <c r="D4" s="72">
        <v>12</v>
      </c>
      <c r="E4" s="98">
        <v>0.46200000000000002</v>
      </c>
      <c r="F4" s="72">
        <v>12.19</v>
      </c>
      <c r="G4" s="96">
        <v>0.44</v>
      </c>
      <c r="H4" s="72">
        <v>6040</v>
      </c>
      <c r="I4" s="77">
        <v>19200</v>
      </c>
      <c r="J4" s="60"/>
      <c r="K4" s="2">
        <f t="shared" si="2"/>
        <v>5.3635999999999999</v>
      </c>
      <c r="L4" s="1">
        <f t="shared" si="3"/>
        <v>12</v>
      </c>
      <c r="M4" s="214">
        <f t="shared" si="4"/>
        <v>2.4849066497880004</v>
      </c>
      <c r="N4" s="3">
        <f t="shared" si="5"/>
        <v>165.56291390728478</v>
      </c>
      <c r="O4" s="3">
        <f t="shared" si="5"/>
        <v>52.083333333333336</v>
      </c>
      <c r="P4" s="3">
        <f t="shared" si="6"/>
        <v>9933.7748344370866</v>
      </c>
      <c r="Q4" s="3">
        <f t="shared" si="21"/>
        <v>3125</v>
      </c>
      <c r="R4" s="3">
        <f t="shared" si="7"/>
        <v>21.557671081677704</v>
      </c>
      <c r="S4" s="3">
        <f t="shared" si="8"/>
        <v>6.7816840277777777</v>
      </c>
      <c r="T4" s="3">
        <f t="shared" si="9"/>
        <v>12</v>
      </c>
      <c r="U4" s="138">
        <f t="shared" si="0"/>
        <v>5.3635999999999999</v>
      </c>
      <c r="V4" s="209">
        <f t="shared" si="22"/>
        <v>4.74038</v>
      </c>
      <c r="W4" s="214">
        <f t="shared" si="23"/>
        <v>6.3569538683600005E-3</v>
      </c>
      <c r="X4" s="210">
        <f t="shared" ref="X4:X13" si="28">$W4/$P4*5252</f>
        <v>3.3609299861404236E-3</v>
      </c>
      <c r="Y4" s="210">
        <f t="shared" ref="Y4:Y13" si="29">X4-$X$3</f>
        <v>-3.6572761657280555E-5</v>
      </c>
      <c r="Z4" s="208">
        <f t="shared" si="24"/>
        <v>0.20564223972389414</v>
      </c>
      <c r="AA4" s="209">
        <f t="shared" si="10"/>
        <v>0.9146674307846876</v>
      </c>
      <c r="AB4" s="2">
        <f t="shared" ref="AB4:AB12" si="30">AA4/U4*100</f>
        <v>17.053237206068452</v>
      </c>
      <c r="AC4" s="138">
        <f t="shared" si="11"/>
        <v>8.8957155107118773</v>
      </c>
      <c r="AD4" s="155">
        <f t="shared" si="12"/>
        <v>20.015359899101721</v>
      </c>
      <c r="AE4" s="155">
        <f t="shared" si="13"/>
        <v>8.9993539555957618</v>
      </c>
      <c r="AF4" s="138">
        <f t="shared" si="25"/>
        <v>1.0116503776182013</v>
      </c>
      <c r="AG4" s="131"/>
      <c r="AH4" s="208">
        <f t="shared" si="14"/>
        <v>0.33333333333333331</v>
      </c>
      <c r="AI4" s="208">
        <f t="shared" si="15"/>
        <v>12</v>
      </c>
      <c r="AJ4" s="209">
        <f t="shared" si="16"/>
        <v>8834.8987683306477</v>
      </c>
      <c r="AK4" s="209">
        <f t="shared" si="17"/>
        <v>19.172957396550885</v>
      </c>
      <c r="AL4" s="209">
        <f t="shared" si="18"/>
        <v>5.8023808601098592</v>
      </c>
      <c r="AM4" s="209">
        <f t="shared" si="19"/>
        <v>19.214786170016261</v>
      </c>
      <c r="AN4" s="2">
        <f t="shared" ref="AN4:AN13" si="31">AO4/$Q$30</f>
        <v>5.8023808601098592</v>
      </c>
      <c r="AO4" s="3">
        <f t="shared" si="20"/>
        <v>2673.7371003386233</v>
      </c>
      <c r="AP4" s="207">
        <f t="shared" si="26"/>
        <v>0</v>
      </c>
      <c r="AQ4" s="207">
        <f t="shared" ref="AQ4:AQ13" si="32">AJ4*AP4/5252</f>
        <v>0</v>
      </c>
      <c r="AR4" s="211">
        <f t="shared" si="27"/>
        <v>3.1894909088325442E-7</v>
      </c>
      <c r="AS4" s="208">
        <f t="shared" ref="AS4:AS13" si="33">$Q$35/AR4</f>
        <v>0.11734417364586795</v>
      </c>
      <c r="AT4" s="1"/>
      <c r="AU4" s="208"/>
      <c r="AX4" s="110"/>
      <c r="AY4" s="87"/>
    </row>
    <row r="5" spans="1:51" ht="13.9" customHeight="1" x14ac:dyDescent="0.25">
      <c r="A5" t="s">
        <v>211</v>
      </c>
      <c r="B5" s="156">
        <v>16</v>
      </c>
      <c r="C5" s="200">
        <f t="shared" si="1"/>
        <v>1.1333333333333333</v>
      </c>
      <c r="D5" s="72">
        <v>24</v>
      </c>
      <c r="E5" s="72">
        <v>0.72499999999999998</v>
      </c>
      <c r="F5" s="72">
        <v>12.17</v>
      </c>
      <c r="G5" s="72">
        <v>1.1299999999999999</v>
      </c>
      <c r="H5" s="72">
        <v>3720</v>
      </c>
      <c r="I5" s="77">
        <v>6440</v>
      </c>
      <c r="J5" s="60"/>
      <c r="K5" s="2">
        <f t="shared" si="2"/>
        <v>13.752099999999999</v>
      </c>
      <c r="L5" s="1">
        <f t="shared" si="3"/>
        <v>24</v>
      </c>
      <c r="M5" s="214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1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38">
        <f t="shared" si="0"/>
        <v>13.752099999999999</v>
      </c>
      <c r="V5" s="209">
        <f t="shared" si="22"/>
        <v>13.128879999999999</v>
      </c>
      <c r="W5" s="214">
        <f t="shared" si="23"/>
        <v>1.7606116915360001E-2</v>
      </c>
      <c r="X5" s="210">
        <f t="shared" si="28"/>
        <v>5.7329742144471858E-3</v>
      </c>
      <c r="Y5" s="210">
        <f t="shared" si="29"/>
        <v>2.3354714666494816E-3</v>
      </c>
      <c r="Z5" s="208">
        <f t="shared" si="24"/>
        <v>0.54212610798294714</v>
      </c>
      <c r="AA5" s="209">
        <f t="shared" si="10"/>
        <v>3.9151212030075833</v>
      </c>
      <c r="AB5" s="2">
        <f t="shared" si="30"/>
        <v>28.469260716600253</v>
      </c>
      <c r="AC5" s="138">
        <f t="shared" si="11"/>
        <v>14.443581098037562</v>
      </c>
      <c r="AD5" s="155">
        <f t="shared" si="12"/>
        <v>32.498057470584513</v>
      </c>
      <c r="AE5" s="155">
        <f t="shared" si="13"/>
        <v>26.830372041527738</v>
      </c>
      <c r="AF5" s="138">
        <f t="shared" si="25"/>
        <v>1.8575983240868956</v>
      </c>
      <c r="AG5" s="131"/>
      <c r="AH5" s="208">
        <f t="shared" si="14"/>
        <v>0.66666666666666663</v>
      </c>
      <c r="AI5" s="208">
        <f t="shared" si="15"/>
        <v>24</v>
      </c>
      <c r="AJ5" s="209">
        <f t="shared" si="16"/>
        <v>17251.831644582377</v>
      </c>
      <c r="AK5" s="209">
        <f t="shared" si="17"/>
        <v>37.43887075647217</v>
      </c>
      <c r="AL5" s="209">
        <f t="shared" si="18"/>
        <v>22.811576153900912</v>
      </c>
      <c r="AM5" s="209">
        <f t="shared" si="19"/>
        <v>37.462039239816058</v>
      </c>
      <c r="AN5" s="2">
        <f t="shared" si="31"/>
        <v>22.811576153900912</v>
      </c>
      <c r="AO5" s="3">
        <f t="shared" si="20"/>
        <v>10511.574291717541</v>
      </c>
      <c r="AP5" s="207">
        <f t="shared" si="26"/>
        <v>3.0617544365980232E-3</v>
      </c>
      <c r="AQ5" s="207">
        <f t="shared" si="32"/>
        <v>1.0057287143420081E-2</v>
      </c>
      <c r="AR5" s="211">
        <f t="shared" si="27"/>
        <v>4.822643429592618E-7</v>
      </c>
      <c r="AS5" s="208">
        <f t="shared" si="33"/>
        <v>7.7606437322607261E-2</v>
      </c>
      <c r="AT5" s="212">
        <f t="shared" ref="AT5:AT13" si="34">$Q$44*$Q$27*$Q$36^2*$Q$33*PI()/240*($AC5-$Q$46)/$Q$45*$Q$34</f>
        <v>-1.2717554570324253E-7</v>
      </c>
      <c r="AU5" s="145">
        <f t="shared" ref="AU5" si="35">-$Q$35/AT5</f>
        <v>0.29429256464233966</v>
      </c>
      <c r="AX5" s="110"/>
      <c r="AY5" s="87"/>
    </row>
    <row r="6" spans="1:51" ht="13.9" customHeight="1" x14ac:dyDescent="0.25">
      <c r="A6" t="s">
        <v>212</v>
      </c>
      <c r="B6" s="156">
        <v>20</v>
      </c>
      <c r="C6" s="200">
        <f t="shared" si="1"/>
        <v>1.1555555555555554</v>
      </c>
      <c r="D6" s="72">
        <v>28</v>
      </c>
      <c r="E6" s="72">
        <v>0.81899999999999995</v>
      </c>
      <c r="F6" s="72">
        <v>12.16</v>
      </c>
      <c r="G6" s="72">
        <v>1.33</v>
      </c>
      <c r="H6" s="72">
        <v>3460</v>
      </c>
      <c r="I6" s="77">
        <v>5580</v>
      </c>
      <c r="J6" s="60"/>
      <c r="K6" s="2">
        <f t="shared" si="2"/>
        <v>16.172800000000002</v>
      </c>
      <c r="L6" s="1">
        <f t="shared" si="3"/>
        <v>28</v>
      </c>
      <c r="M6" s="214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1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38">
        <f t="shared" si="0"/>
        <v>16.172800000000002</v>
      </c>
      <c r="V6" s="209">
        <f t="shared" si="22"/>
        <v>15.549580000000002</v>
      </c>
      <c r="W6" s="214">
        <f t="shared" si="23"/>
        <v>2.0852328870760006E-2</v>
      </c>
      <c r="X6" s="210">
        <f t="shared" si="28"/>
        <v>6.3154475342190189E-3</v>
      </c>
      <c r="Y6" s="210">
        <f t="shared" si="29"/>
        <v>2.9179447864213148E-3</v>
      </c>
      <c r="Z6" s="208">
        <f t="shared" si="24"/>
        <v>0.62666292999358642</v>
      </c>
      <c r="AA6" s="209">
        <f t="shared" si="10"/>
        <v>4.8657045496887097</v>
      </c>
      <c r="AB6" s="2">
        <f t="shared" si="30"/>
        <v>30.085727577715112</v>
      </c>
      <c r="AC6" s="138">
        <f t="shared" si="11"/>
        <v>15.528936903092411</v>
      </c>
      <c r="AD6" s="155">
        <f t="shared" si="12"/>
        <v>34.940108031957919</v>
      </c>
      <c r="AE6" s="155">
        <f t="shared" si="13"/>
        <v>30.965518986996173</v>
      </c>
      <c r="AF6" s="138">
        <f t="shared" si="25"/>
        <v>1.9940527275134812</v>
      </c>
      <c r="AG6" s="131"/>
      <c r="AH6" s="208">
        <f t="shared" si="14"/>
        <v>0.77777777777777779</v>
      </c>
      <c r="AI6" s="208">
        <f t="shared" si="15"/>
        <v>28</v>
      </c>
      <c r="AJ6" s="209">
        <f t="shared" si="16"/>
        <v>19123.693727158348</v>
      </c>
      <c r="AK6" s="209">
        <f t="shared" si="17"/>
        <v>41.501071456506828</v>
      </c>
      <c r="AL6" s="209">
        <f t="shared" si="18"/>
        <v>26.594292280271606</v>
      </c>
      <c r="AM6" s="209">
        <f t="shared" si="19"/>
        <v>41.520090032747753</v>
      </c>
      <c r="AN6" s="2">
        <f t="shared" si="31"/>
        <v>26.594292280271613</v>
      </c>
      <c r="AO6" s="3">
        <f t="shared" si="20"/>
        <v>12254.64988274916</v>
      </c>
      <c r="AP6" s="207">
        <f t="shared" si="26"/>
        <v>3.9984798589682664E-3</v>
      </c>
      <c r="AQ6" s="207">
        <f t="shared" si="32"/>
        <v>1.4559349618644407E-2</v>
      </c>
      <c r="AR6" s="211">
        <f t="shared" si="27"/>
        <v>5.1858441730961745E-7</v>
      </c>
      <c r="AS6" s="208">
        <f t="shared" si="33"/>
        <v>7.2171118636699963E-2</v>
      </c>
      <c r="AT6" s="212">
        <f t="shared" si="34"/>
        <v>-1.5253214723156241E-7</v>
      </c>
      <c r="AU6" s="145">
        <f t="shared" ref="AU6:AU13" si="36">-$Q$35/AT6</f>
        <v>0.24537002975495947</v>
      </c>
      <c r="AX6" s="110"/>
      <c r="AY6" s="87"/>
    </row>
    <row r="7" spans="1:51" ht="13.9" customHeight="1" x14ac:dyDescent="0.25">
      <c r="A7" t="s">
        <v>213</v>
      </c>
      <c r="B7" s="156">
        <v>25</v>
      </c>
      <c r="C7" s="200">
        <f t="shared" si="1"/>
        <v>1.1777777777777778</v>
      </c>
      <c r="D7" s="72">
        <v>32</v>
      </c>
      <c r="E7" s="72">
        <v>0.94799999999999995</v>
      </c>
      <c r="F7" s="72">
        <v>12.16</v>
      </c>
      <c r="G7" s="72">
        <v>1.607</v>
      </c>
      <c r="H7" s="72">
        <v>3180</v>
      </c>
      <c r="I7" s="77">
        <v>4940</v>
      </c>
      <c r="J7" s="60"/>
      <c r="K7" s="2">
        <f t="shared" si="2"/>
        <v>19.541119999999999</v>
      </c>
      <c r="L7" s="1">
        <f t="shared" si="3"/>
        <v>32</v>
      </c>
      <c r="M7" s="214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1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38">
        <f t="shared" si="0"/>
        <v>19.541119999999999</v>
      </c>
      <c r="V7" s="209">
        <f t="shared" si="22"/>
        <v>18.917899999999999</v>
      </c>
      <c r="W7" s="214">
        <f t="shared" si="23"/>
        <v>2.53693200938E-2</v>
      </c>
      <c r="X7" s="210">
        <f t="shared" si="28"/>
        <v>7.0617024640297916E-3</v>
      </c>
      <c r="Y7" s="210">
        <f t="shared" si="29"/>
        <v>3.6641997162320875E-3</v>
      </c>
      <c r="Z7" s="208">
        <f t="shared" si="24"/>
        <v>0.74187709472639729</v>
      </c>
      <c r="AA7" s="209">
        <f t="shared" si="10"/>
        <v>6.2674758765315799</v>
      </c>
      <c r="AB7" s="2">
        <f t="shared" si="30"/>
        <v>32.073268454068035</v>
      </c>
      <c r="AC7" s="138">
        <f t="shared" si="11"/>
        <v>16.896264680723192</v>
      </c>
      <c r="AD7" s="155">
        <f t="shared" si="12"/>
        <v>38.016595531627182</v>
      </c>
      <c r="AE7" s="155">
        <f t="shared" si="13"/>
        <v>34.977246143206202</v>
      </c>
      <c r="AF7" s="138">
        <f t="shared" si="25"/>
        <v>2.0701170823342658</v>
      </c>
      <c r="AG7" s="131"/>
      <c r="AH7" s="208">
        <f t="shared" si="14"/>
        <v>0.88888888888888895</v>
      </c>
      <c r="AI7" s="208">
        <f t="shared" si="15"/>
        <v>32</v>
      </c>
      <c r="AJ7" s="213">
        <f t="shared" si="16"/>
        <v>20745.174417139777</v>
      </c>
      <c r="AK7" s="213">
        <f t="shared" si="17"/>
        <v>45.019909759417921</v>
      </c>
      <c r="AL7" s="213">
        <f t="shared" si="18"/>
        <v>29.87103003338143</v>
      </c>
      <c r="AM7" s="213">
        <f t="shared" si="19"/>
        <v>45.035333522613982</v>
      </c>
      <c r="AN7" s="9">
        <f t="shared" si="31"/>
        <v>29.871030033381423</v>
      </c>
      <c r="AO7" s="10">
        <f t="shared" si="20"/>
        <v>13764.57063938216</v>
      </c>
      <c r="AP7" s="210">
        <f t="shared" si="26"/>
        <v>4.8648618927728876E-3</v>
      </c>
      <c r="AQ7" s="210">
        <f t="shared" si="32"/>
        <v>1.9215995521871726E-2</v>
      </c>
      <c r="AR7" s="212">
        <f t="shared" si="27"/>
        <v>5.5004629677498183E-7</v>
      </c>
      <c r="AS7" s="208">
        <f t="shared" si="33"/>
        <v>6.8043031512504196E-2</v>
      </c>
      <c r="AT7" s="212">
        <f t="shared" si="34"/>
        <v>-1.8447631287246467E-7</v>
      </c>
      <c r="AU7" s="145">
        <f t="shared" si="36"/>
        <v>0.20288142646623078</v>
      </c>
      <c r="AX7" s="110"/>
      <c r="AY7" s="87"/>
    </row>
    <row r="8" spans="1:51" ht="13.9" customHeight="1" x14ac:dyDescent="0.25">
      <c r="A8" t="s">
        <v>214</v>
      </c>
      <c r="B8" s="156">
        <v>36</v>
      </c>
      <c r="C8" s="200">
        <f t="shared" si="1"/>
        <v>1.2777777777777777</v>
      </c>
      <c r="D8" s="72">
        <v>50</v>
      </c>
      <c r="E8" s="72">
        <v>1.343</v>
      </c>
      <c r="F8" s="72">
        <v>12.11</v>
      </c>
      <c r="G8" s="72">
        <v>2.95</v>
      </c>
      <c r="H8" s="72">
        <v>2480</v>
      </c>
      <c r="I8" s="77">
        <v>3420</v>
      </c>
      <c r="J8" s="60"/>
      <c r="K8" s="2">
        <f t="shared" si="2"/>
        <v>35.724499999999999</v>
      </c>
      <c r="L8" s="1">
        <f t="shared" si="3"/>
        <v>50</v>
      </c>
      <c r="M8" s="214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1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38">
        <f t="shared" si="0"/>
        <v>35.724499999999999</v>
      </c>
      <c r="V8" s="209">
        <f t="shared" si="22"/>
        <v>35.101279999999996</v>
      </c>
      <c r="W8" s="214">
        <f t="shared" si="23"/>
        <v>4.707158870816E-2</v>
      </c>
      <c r="X8" s="210">
        <f t="shared" si="28"/>
        <v>1.0218426001003927E-2</v>
      </c>
      <c r="Y8" s="210">
        <f t="shared" si="29"/>
        <v>6.8209232532062229E-3</v>
      </c>
      <c r="Z8" s="208">
        <f t="shared" si="24"/>
        <v>1.2197837429616314</v>
      </c>
      <c r="AA8" s="209">
        <f t="shared" si="10"/>
        <v>13.213534060150598</v>
      </c>
      <c r="AB8" s="2">
        <f t="shared" si="30"/>
        <v>36.987316995760885</v>
      </c>
      <c r="AC8" s="138">
        <f t="shared" si="11"/>
        <v>21.665371647056347</v>
      </c>
      <c r="AD8" s="155">
        <f t="shared" si="12"/>
        <v>48.747086205876784</v>
      </c>
      <c r="AE8" s="155">
        <f t="shared" si="13"/>
        <v>50.522688873520067</v>
      </c>
      <c r="AF8" s="138">
        <f t="shared" si="25"/>
        <v>2.3319557908615214</v>
      </c>
      <c r="AG8" s="131"/>
      <c r="AH8" s="208">
        <f t="shared" si="14"/>
        <v>1.3888888888888888</v>
      </c>
      <c r="AI8" s="208">
        <f t="shared" si="15"/>
        <v>50</v>
      </c>
      <c r="AJ8" s="209">
        <f t="shared" si="16"/>
        <v>26164.468748432828</v>
      </c>
      <c r="AK8" s="209">
        <f t="shared" si="17"/>
        <v>56.780531138092073</v>
      </c>
      <c r="AL8" s="209">
        <f t="shared" si="18"/>
        <v>40.822505706375907</v>
      </c>
      <c r="AM8" s="209">
        <f t="shared" si="19"/>
        <v>56.78394035799041</v>
      </c>
      <c r="AN8" s="2">
        <f t="shared" si="31"/>
        <v>40.822505706375907</v>
      </c>
      <c r="AO8" s="3">
        <f t="shared" si="20"/>
        <v>18811.010629498018</v>
      </c>
      <c r="AP8" s="207">
        <f t="shared" si="26"/>
        <v>8.1306482321405645E-3</v>
      </c>
      <c r="AQ8" s="207">
        <f t="shared" si="32"/>
        <v>4.0505348738450575E-2</v>
      </c>
      <c r="AR8" s="211">
        <f t="shared" si="27"/>
        <v>6.5519783270873869E-7</v>
      </c>
      <c r="AS8" s="208">
        <f t="shared" si="33"/>
        <v>5.7122926292453143E-2</v>
      </c>
      <c r="AT8" s="212">
        <f t="shared" si="34"/>
        <v>-2.9589447125706296E-7</v>
      </c>
      <c r="AU8" s="145">
        <f t="shared" si="36"/>
        <v>0.12648704568826225</v>
      </c>
      <c r="AX8" s="110"/>
      <c r="AY8" s="87"/>
    </row>
    <row r="9" spans="1:51" ht="13.9" customHeight="1" x14ac:dyDescent="0.25">
      <c r="A9" t="s">
        <v>215</v>
      </c>
      <c r="B9" s="156">
        <v>45</v>
      </c>
      <c r="C9" s="200">
        <f t="shared" si="1"/>
        <v>1.4333333333333333</v>
      </c>
      <c r="D9" s="72">
        <v>78</v>
      </c>
      <c r="E9" s="72">
        <v>1.74</v>
      </c>
      <c r="F9" s="72">
        <v>12.04</v>
      </c>
      <c r="G9" s="72">
        <v>5.14</v>
      </c>
      <c r="H9" s="72">
        <v>1990</v>
      </c>
      <c r="I9" s="77">
        <v>2650</v>
      </c>
      <c r="J9" s="60"/>
      <c r="K9" s="2">
        <f t="shared" si="2"/>
        <v>61.88559999999999</v>
      </c>
      <c r="L9" s="1">
        <f t="shared" si="3"/>
        <v>78</v>
      </c>
      <c r="M9" s="214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1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38">
        <f t="shared" si="0"/>
        <v>61.88559999999999</v>
      </c>
      <c r="V9" s="209">
        <f t="shared" si="22"/>
        <v>61.262379999999986</v>
      </c>
      <c r="W9" s="214">
        <f t="shared" si="23"/>
        <v>8.2154199352359986E-2</v>
      </c>
      <c r="X9" s="210">
        <f t="shared" si="28"/>
        <v>1.4310549524120055E-2</v>
      </c>
      <c r="Y9" s="210">
        <f t="shared" si="29"/>
        <v>1.0913046776322351E-2</v>
      </c>
      <c r="Z9" s="208">
        <f t="shared" si="24"/>
        <v>1.8944364871369959</v>
      </c>
      <c r="AA9" s="209">
        <f t="shared" si="10"/>
        <v>25.574950496936154</v>
      </c>
      <c r="AB9" s="2">
        <f t="shared" si="30"/>
        <v>41.326173612174976</v>
      </c>
      <c r="AC9" s="138">
        <f t="shared" si="11"/>
        <v>27.000061148090321</v>
      </c>
      <c r="AD9" s="155">
        <f t="shared" si="12"/>
        <v>60.75013758320322</v>
      </c>
      <c r="AE9" s="155">
        <f t="shared" si="13"/>
        <v>65.202866395259861</v>
      </c>
      <c r="AF9" s="143">
        <f t="shared" si="25"/>
        <v>2.4149155084366014</v>
      </c>
      <c r="AG9" s="139">
        <f>$N$41/($Q$27*$Q$36*$Q$33*($AC9-$Q$46)^2/4/$AF9)/(PI()*$Q$36/60/($AC9-$Q$46))</f>
        <v>-0.74325501619329493</v>
      </c>
      <c r="AH9" s="208">
        <f t="shared" si="14"/>
        <v>2.166666666666667</v>
      </c>
      <c r="AI9" s="208">
        <f t="shared" si="15"/>
        <v>78.000000000000014</v>
      </c>
      <c r="AJ9" s="209">
        <f t="shared" si="16"/>
        <v>31564.318612288345</v>
      </c>
      <c r="AK9" s="209">
        <f t="shared" si="17"/>
        <v>68.498955321806307</v>
      </c>
      <c r="AL9" s="209">
        <f t="shared" si="18"/>
        <v>51.734687405081729</v>
      </c>
      <c r="AM9" s="209">
        <f t="shared" si="19"/>
        <v>68.490393106675569</v>
      </c>
      <c r="AN9" s="2">
        <f t="shared" si="31"/>
        <v>51.734687405081729</v>
      </c>
      <c r="AO9" s="3">
        <f t="shared" si="20"/>
        <v>23839.343956261662</v>
      </c>
      <c r="AP9" s="207">
        <f t="shared" si="26"/>
        <v>1.1951500773628936E-2</v>
      </c>
      <c r="AQ9" s="207">
        <f t="shared" si="32"/>
        <v>7.1828061369732368E-2</v>
      </c>
      <c r="AR9" s="211">
        <f t="shared" si="27"/>
        <v>7.5997208416752902E-7</v>
      </c>
      <c r="AS9" s="208">
        <f t="shared" si="33"/>
        <v>4.9247621438349994E-2</v>
      </c>
      <c r="AT9" s="212">
        <f t="shared" si="34"/>
        <v>-4.2052603937973419E-7</v>
      </c>
      <c r="AU9" s="145">
        <f t="shared" si="36"/>
        <v>8.8999999999999954E-2</v>
      </c>
      <c r="AX9" s="110"/>
      <c r="AY9" s="87"/>
    </row>
    <row r="10" spans="1:51" ht="13.9" customHeight="1" x14ac:dyDescent="0.25">
      <c r="A10" t="s">
        <v>216</v>
      </c>
      <c r="B10" s="156">
        <v>50</v>
      </c>
      <c r="C10" s="200">
        <f t="shared" si="1"/>
        <v>1.6388888888888888</v>
      </c>
      <c r="D10" s="72">
        <v>115</v>
      </c>
      <c r="E10" s="72">
        <v>2.08</v>
      </c>
      <c r="F10" s="72">
        <v>11.94</v>
      </c>
      <c r="G10" s="72">
        <v>7.9</v>
      </c>
      <c r="H10" s="72">
        <v>1700</v>
      </c>
      <c r="I10" s="77">
        <v>2175</v>
      </c>
      <c r="J10" s="60"/>
      <c r="K10" s="2">
        <f t="shared" si="2"/>
        <v>94.325999999999993</v>
      </c>
      <c r="L10" s="1">
        <f t="shared" si="3"/>
        <v>115</v>
      </c>
      <c r="M10" s="214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1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38">
        <f t="shared" si="0"/>
        <v>94.325999999999993</v>
      </c>
      <c r="V10" s="209">
        <f t="shared" si="22"/>
        <v>93.70277999999999</v>
      </c>
      <c r="W10" s="214">
        <f t="shared" si="23"/>
        <v>0.12565748944116001</v>
      </c>
      <c r="X10" s="210">
        <f t="shared" si="28"/>
        <v>1.8698672145440881E-2</v>
      </c>
      <c r="Y10" s="210">
        <f t="shared" si="29"/>
        <v>1.5301169397643177E-2</v>
      </c>
      <c r="Z10" s="208">
        <f t="shared" si="24"/>
        <v>2.5959023988620133</v>
      </c>
      <c r="AA10" s="209">
        <f t="shared" si="10"/>
        <v>41.022985815429394</v>
      </c>
      <c r="AB10" s="2">
        <f t="shared" si="30"/>
        <v>43.490645013495111</v>
      </c>
      <c r="AC10" s="138">
        <f t="shared" si="11"/>
        <v>31.60595393217632</v>
      </c>
      <c r="AD10" s="155">
        <f t="shared" si="12"/>
        <v>71.113396347396716</v>
      </c>
      <c r="AE10" s="155">
        <f t="shared" si="13"/>
        <v>79.442572849397052</v>
      </c>
      <c r="AF10" s="145">
        <f t="shared" si="25"/>
        <v>2.5135318813624177</v>
      </c>
      <c r="AG10" s="131"/>
      <c r="AH10" s="208">
        <f t="shared" si="14"/>
        <v>3.1944444444444442</v>
      </c>
      <c r="AI10" s="208">
        <f t="shared" si="15"/>
        <v>114.99999999999999</v>
      </c>
      <c r="AJ10" s="209">
        <f t="shared" si="16"/>
        <v>36278.540299728964</v>
      </c>
      <c r="AK10" s="209">
        <f t="shared" si="17"/>
        <v>78.729471136564584</v>
      </c>
      <c r="AL10" s="209">
        <f t="shared" si="18"/>
        <v>61.261330722642683</v>
      </c>
      <c r="AM10" s="209">
        <f t="shared" si="19"/>
        <v>78.710457519993682</v>
      </c>
      <c r="AN10" s="2">
        <f t="shared" si="31"/>
        <v>61.261330722642697</v>
      </c>
      <c r="AO10" s="3">
        <f t="shared" si="20"/>
        <v>28229.221196993756</v>
      </c>
      <c r="AP10" s="207">
        <f t="shared" si="26"/>
        <v>1.5749784670713377E-2</v>
      </c>
      <c r="AQ10" s="207">
        <f t="shared" si="32"/>
        <v>0.10879268809758733</v>
      </c>
      <c r="AR10" s="211">
        <f t="shared" si="27"/>
        <v>8.5144296964872615E-7</v>
      </c>
      <c r="AS10" s="208">
        <f t="shared" si="33"/>
        <v>4.39569282253129E-2</v>
      </c>
      <c r="AT10" s="212">
        <f t="shared" si="34"/>
        <v>-5.2813110996055691E-7</v>
      </c>
      <c r="AU10" s="145">
        <f t="shared" si="36"/>
        <v>7.0866526888733211E-2</v>
      </c>
      <c r="AX10" s="130"/>
      <c r="AY10" s="132"/>
    </row>
    <row r="11" spans="1:51" ht="13.9" customHeight="1" x14ac:dyDescent="0.25">
      <c r="A11" t="s">
        <v>217</v>
      </c>
      <c r="B11" s="156">
        <v>52</v>
      </c>
      <c r="C11" s="200">
        <f t="shared" si="1"/>
        <v>1.7777777777777777</v>
      </c>
      <c r="D11" s="72">
        <v>140</v>
      </c>
      <c r="E11" s="72">
        <v>2.2999999999999998</v>
      </c>
      <c r="F11" s="72">
        <v>11.86</v>
      </c>
      <c r="G11" s="72">
        <v>10.14</v>
      </c>
      <c r="H11" s="72">
        <v>1550</v>
      </c>
      <c r="I11" s="77">
        <v>1955</v>
      </c>
      <c r="J11" s="60"/>
      <c r="K11" s="2">
        <f t="shared" si="2"/>
        <v>120.2604</v>
      </c>
      <c r="L11" s="1">
        <f t="shared" si="3"/>
        <v>140</v>
      </c>
      <c r="M11" s="214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1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38">
        <f t="shared" si="0"/>
        <v>120.2604</v>
      </c>
      <c r="V11" s="209">
        <f t="shared" si="22"/>
        <v>119.63718</v>
      </c>
      <c r="W11" s="214">
        <f t="shared" si="23"/>
        <v>0.16043609039796</v>
      </c>
      <c r="X11" s="210">
        <f t="shared" si="28"/>
        <v>2.1767433958227219E-2</v>
      </c>
      <c r="Y11" s="210">
        <f t="shared" si="29"/>
        <v>1.8369931210429513E-2</v>
      </c>
      <c r="Z11" s="208">
        <f t="shared" si="24"/>
        <v>3.1226463819817774</v>
      </c>
      <c r="AA11" s="209">
        <f t="shared" si="10"/>
        <v>54.122635510376874</v>
      </c>
      <c r="AB11" s="2">
        <f t="shared" si="30"/>
        <v>45.004536414627651</v>
      </c>
      <c r="AC11" s="138">
        <f t="shared" si="11"/>
        <v>34.664594635290157</v>
      </c>
      <c r="AD11" s="155">
        <f t="shared" si="12"/>
        <v>77.995337929402837</v>
      </c>
      <c r="AE11" s="155">
        <f t="shared" si="13"/>
        <v>88.382402019150192</v>
      </c>
      <c r="AF11" s="145">
        <f t="shared" si="25"/>
        <v>2.5496447585506403</v>
      </c>
      <c r="AH11" s="208">
        <f t="shared" si="14"/>
        <v>3.8888888888888888</v>
      </c>
      <c r="AI11" s="208">
        <f t="shared" si="15"/>
        <v>140</v>
      </c>
      <c r="AJ11" s="209">
        <f t="shared" si="16"/>
        <v>38667.206645308324</v>
      </c>
      <c r="AK11" s="209">
        <f t="shared" si="17"/>
        <v>83.913208865686471</v>
      </c>
      <c r="AL11" s="209">
        <f t="shared" si="18"/>
        <v>66.088420704350938</v>
      </c>
      <c r="AM11" s="209">
        <f t="shared" si="19"/>
        <v>83.88889959003555</v>
      </c>
      <c r="AN11" s="2">
        <f t="shared" si="31"/>
        <v>66.088420704350938</v>
      </c>
      <c r="AO11" s="3">
        <f t="shared" si="20"/>
        <v>30453.544260564915</v>
      </c>
      <c r="AP11" s="207">
        <f t="shared" si="26"/>
        <v>1.7838952456709595E-2</v>
      </c>
      <c r="AQ11" s="207">
        <f t="shared" si="32"/>
        <v>0.13133710224284473</v>
      </c>
      <c r="AR11" s="211">
        <f t="shared" si="27"/>
        <v>8.9779068942851048E-7</v>
      </c>
      <c r="AS11" s="208">
        <f t="shared" si="33"/>
        <v>4.1687687281119393E-2</v>
      </c>
      <c r="AT11" s="212">
        <f t="shared" si="34"/>
        <v>-5.995885372539396E-7</v>
      </c>
      <c r="AU11" s="145">
        <f t="shared" si="36"/>
        <v>6.2420835588698396E-2</v>
      </c>
      <c r="AX11" s="110"/>
      <c r="AY11" s="87"/>
    </row>
    <row r="12" spans="1:51" ht="13.9" customHeight="1" x14ac:dyDescent="0.25">
      <c r="A12" t="s">
        <v>218</v>
      </c>
      <c r="B12" s="156">
        <v>55</v>
      </c>
      <c r="C12" s="200">
        <f t="shared" si="1"/>
        <v>1.8611111111111112</v>
      </c>
      <c r="D12" s="72">
        <v>155</v>
      </c>
      <c r="E12" s="72">
        <v>2.71</v>
      </c>
      <c r="F12" s="72">
        <v>11.76</v>
      </c>
      <c r="G12" s="72">
        <v>12.23</v>
      </c>
      <c r="H12" s="72">
        <v>1430</v>
      </c>
      <c r="I12" s="77">
        <v>1800</v>
      </c>
      <c r="J12" s="60"/>
      <c r="K12" s="2">
        <f t="shared" si="2"/>
        <v>143.82480000000001</v>
      </c>
      <c r="L12" s="1">
        <f t="shared" si="3"/>
        <v>155</v>
      </c>
      <c r="M12" s="214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1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38">
        <f t="shared" si="0"/>
        <v>143.82480000000001</v>
      </c>
      <c r="V12" s="209">
        <f t="shared" si="22"/>
        <v>143.20158000000001</v>
      </c>
      <c r="W12" s="214">
        <f t="shared" si="23"/>
        <v>0.19203646921476003</v>
      </c>
      <c r="X12" s="210">
        <f t="shared" si="28"/>
        <v>2.4037716948862753E-2</v>
      </c>
      <c r="Y12" s="210">
        <f t="shared" si="29"/>
        <v>2.0640214201065051E-2</v>
      </c>
      <c r="Z12" s="208">
        <f t="shared" si="24"/>
        <v>3.6687162857407287</v>
      </c>
      <c r="AA12" s="209">
        <f t="shared" si="10"/>
        <v>68.923277083737403</v>
      </c>
      <c r="AB12" s="2">
        <f t="shared" si="30"/>
        <v>47.921691588472505</v>
      </c>
      <c r="AC12" s="138">
        <f t="shared" si="11"/>
        <v>37.573511667622192</v>
      </c>
      <c r="AD12" s="155">
        <f t="shared" si="12"/>
        <v>84.54040125214992</v>
      </c>
      <c r="AE12" s="155">
        <f t="shared" si="13"/>
        <v>95.993108859688135</v>
      </c>
      <c r="AF12" s="145">
        <f t="shared" si="25"/>
        <v>2.5548080176494978</v>
      </c>
      <c r="AG12" s="131"/>
      <c r="AH12" s="208">
        <f t="shared" si="14"/>
        <v>4.3055555555555554</v>
      </c>
      <c r="AI12" s="208">
        <f t="shared" si="15"/>
        <v>155</v>
      </c>
      <c r="AJ12" s="209">
        <f t="shared" si="16"/>
        <v>39903.160754331417</v>
      </c>
      <c r="AK12" s="209">
        <f t="shared" si="17"/>
        <v>86.595400942559493</v>
      </c>
      <c r="AL12" s="209">
        <f t="shared" si="18"/>
        <v>68.586074555654932</v>
      </c>
      <c r="AM12" s="209">
        <f t="shared" si="19"/>
        <v>86.568351564000523</v>
      </c>
      <c r="AN12" s="2">
        <f t="shared" si="31"/>
        <v>68.586074555654932</v>
      </c>
      <c r="AO12" s="3">
        <f t="shared" si="20"/>
        <v>31604.463155245794</v>
      </c>
      <c r="AP12" s="207">
        <f t="shared" si="26"/>
        <v>1.8963400526986033E-2</v>
      </c>
      <c r="AQ12" s="207">
        <f t="shared" si="32"/>
        <v>0.14407837389129793</v>
      </c>
      <c r="AR12" s="211">
        <f t="shared" si="27"/>
        <v>9.2177212777869636E-7</v>
      </c>
      <c r="AS12" s="208">
        <f t="shared" si="33"/>
        <v>4.060311260982491E-2</v>
      </c>
      <c r="AT12" s="212">
        <f t="shared" si="34"/>
        <v>-6.6754804852596773E-7</v>
      </c>
      <c r="AU12" s="145">
        <f t="shared" si="36"/>
        <v>5.6066102788315496E-2</v>
      </c>
      <c r="AX12" s="110"/>
      <c r="AY12" s="87"/>
    </row>
    <row r="13" spans="1:51" ht="13.9" customHeight="1" thickBot="1" x14ac:dyDescent="0.3">
      <c r="A13" t="s">
        <v>219</v>
      </c>
      <c r="B13" t="s">
        <v>220</v>
      </c>
      <c r="C13" s="201">
        <f t="shared" si="1"/>
        <v>2</v>
      </c>
      <c r="D13" s="79">
        <v>180</v>
      </c>
      <c r="E13" s="79">
        <v>3.57</v>
      </c>
      <c r="F13" s="79">
        <v>11.66</v>
      </c>
      <c r="G13" s="79">
        <v>14.37</v>
      </c>
      <c r="H13" s="79">
        <v>1350</v>
      </c>
      <c r="I13" s="80">
        <v>1700</v>
      </c>
      <c r="J13" s="60"/>
      <c r="K13" s="2">
        <f t="shared" si="2"/>
        <v>167.55419999999998</v>
      </c>
      <c r="L13" s="1">
        <f t="shared" si="3"/>
        <v>180</v>
      </c>
      <c r="M13" s="214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1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38">
        <f t="shared" si="0"/>
        <v>167.55419999999998</v>
      </c>
      <c r="V13" s="209">
        <f t="shared" si="22"/>
        <v>166.93097999999998</v>
      </c>
      <c r="W13" s="214">
        <f t="shared" si="23"/>
        <v>0.22385811666156</v>
      </c>
      <c r="X13" s="210">
        <f t="shared" si="28"/>
        <v>2.6453313645896544E-2</v>
      </c>
      <c r="Y13" s="210">
        <f t="shared" si="29"/>
        <v>2.3055810898098841E-2</v>
      </c>
      <c r="Z13" s="143">
        <f>C33/0.224</f>
        <v>4.4249528005034611</v>
      </c>
      <c r="AA13" s="209">
        <f t="shared" si="10"/>
        <v>91.297248929319878</v>
      </c>
      <c r="AB13" s="2">
        <f>AA13/U13*100</f>
        <v>54.488188854304987</v>
      </c>
      <c r="AC13" s="138">
        <f t="shared" si="11"/>
        <v>41.264733453849395</v>
      </c>
      <c r="AD13" s="155">
        <f>AC13*1/1.6/1000*3600</f>
        <v>92.845650271161119</v>
      </c>
      <c r="AE13" s="155">
        <f t="shared" si="13"/>
        <v>101.6397623220227</v>
      </c>
      <c r="AF13" s="145">
        <f t="shared" si="25"/>
        <v>2.4631144760863881</v>
      </c>
      <c r="AG13" s="131"/>
      <c r="AH13" s="208">
        <f t="shared" si="14"/>
        <v>5</v>
      </c>
      <c r="AI13" s="208">
        <f t="shared" si="15"/>
        <v>180</v>
      </c>
      <c r="AJ13" s="209">
        <f t="shared" si="16"/>
        <v>41718.934666426678</v>
      </c>
      <c r="AK13" s="209">
        <f t="shared" si="17"/>
        <v>90.535882522627332</v>
      </c>
      <c r="AL13" s="209">
        <f t="shared" si="18"/>
        <v>72.255445992290788</v>
      </c>
      <c r="AM13" s="209">
        <f t="shared" si="19"/>
        <v>90.504807584105748</v>
      </c>
      <c r="AN13" s="2">
        <f t="shared" si="31"/>
        <v>72.255445992290788</v>
      </c>
      <c r="AO13" s="3">
        <f t="shared" si="20"/>
        <v>33295.309513247594</v>
      </c>
      <c r="AP13" s="207">
        <f t="shared" si="26"/>
        <v>2.0669116788051091E-2</v>
      </c>
      <c r="AQ13" s="207">
        <f t="shared" si="32"/>
        <v>0.16418384099265923</v>
      </c>
      <c r="AR13" s="211">
        <f t="shared" si="27"/>
        <v>9.5700391333844219E-7</v>
      </c>
      <c r="AS13" s="208">
        <f t="shared" si="33"/>
        <v>3.9108322320475633E-2</v>
      </c>
      <c r="AT13" s="212">
        <f t="shared" si="34"/>
        <v>-7.5378413769608695E-7</v>
      </c>
      <c r="AU13" s="145">
        <f t="shared" si="36"/>
        <v>4.9651903818499016E-2</v>
      </c>
      <c r="AX13" s="110"/>
      <c r="AY13" s="87"/>
    </row>
    <row r="14" spans="1:51" ht="13.9" customHeight="1" x14ac:dyDescent="0.25">
      <c r="AE14" s="45"/>
      <c r="AF14" s="30"/>
      <c r="AV14" s="126"/>
      <c r="AW14" s="86"/>
      <c r="AX14" s="111"/>
      <c r="AY14" s="87"/>
    </row>
    <row r="15" spans="1:51" x14ac:dyDescent="0.25">
      <c r="A15" t="s">
        <v>221</v>
      </c>
      <c r="AE15" s="174"/>
      <c r="AF15" s="30"/>
    </row>
    <row r="16" spans="1:51" ht="13.9" customHeight="1" x14ac:dyDescent="0.25">
      <c r="A16">
        <v>1</v>
      </c>
      <c r="C16" t="s">
        <v>222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223</v>
      </c>
      <c r="I17" s="3"/>
      <c r="J17" s="13" t="s">
        <v>262</v>
      </c>
      <c r="K17" s="14"/>
      <c r="L17" s="14"/>
      <c r="AE17" s="129"/>
      <c r="AF17" s="30"/>
    </row>
    <row r="18" spans="1:48" ht="13.9" customHeight="1" x14ac:dyDescent="0.25">
      <c r="A18">
        <v>3</v>
      </c>
      <c r="C18" t="s">
        <v>225</v>
      </c>
      <c r="I18" s="3"/>
      <c r="J18" s="15" t="s">
        <v>260</v>
      </c>
      <c r="K18" s="16"/>
      <c r="L18" s="16"/>
      <c r="AE18" s="129"/>
      <c r="AF18" s="30"/>
    </row>
    <row r="19" spans="1:48" ht="13.9" customHeight="1" x14ac:dyDescent="0.25">
      <c r="A19">
        <v>4</v>
      </c>
      <c r="C19" t="s">
        <v>224</v>
      </c>
      <c r="J19" s="267" t="s">
        <v>283</v>
      </c>
      <c r="K19" s="266"/>
      <c r="L19" s="266"/>
      <c r="M19" s="266"/>
      <c r="N19" s="266"/>
      <c r="O19" s="268"/>
      <c r="AE19" s="129"/>
      <c r="AF19" s="30"/>
      <c r="AN19" s="45"/>
    </row>
    <row r="20" spans="1:48" ht="13.9" customHeight="1" x14ac:dyDescent="0.25">
      <c r="A20">
        <v>5</v>
      </c>
      <c r="C20" t="s">
        <v>226</v>
      </c>
      <c r="O20" s="168"/>
      <c r="AE20" s="12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227</v>
      </c>
      <c r="O21" s="168"/>
      <c r="AN21" s="45"/>
      <c r="AO21" s="5"/>
      <c r="AV21" s="5"/>
    </row>
    <row r="22" spans="1:48" ht="13.9" customHeight="1" x14ac:dyDescent="0.25">
      <c r="A22">
        <v>7</v>
      </c>
      <c r="C22" t="s">
        <v>229</v>
      </c>
      <c r="O22" s="168"/>
      <c r="P22" s="194" t="s">
        <v>256</v>
      </c>
      <c r="Q22" s="63"/>
      <c r="R22" s="63"/>
      <c r="S22" s="63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261</v>
      </c>
      <c r="D23" s="60"/>
      <c r="E23" s="60"/>
      <c r="F23" s="60"/>
      <c r="G23" s="60"/>
      <c r="O23" s="168"/>
      <c r="P23" s="247" t="s">
        <v>15</v>
      </c>
      <c r="Q23" s="248">
        <f>C45</f>
        <v>5</v>
      </c>
      <c r="R23" s="45"/>
      <c r="S23" s="30"/>
      <c r="T23" s="31" t="s">
        <v>251</v>
      </c>
      <c r="AN23" s="45"/>
      <c r="AO23" s="5"/>
      <c r="AV23" s="5"/>
    </row>
    <row r="24" spans="1:48" ht="13.9" customHeight="1" thickBot="1" x14ac:dyDescent="0.3">
      <c r="H24" s="60"/>
      <c r="I24" s="60"/>
      <c r="J24" s="60"/>
      <c r="K24" s="167"/>
      <c r="L24" s="60"/>
      <c r="M24" s="60"/>
      <c r="N24" s="168"/>
      <c r="O24" s="168"/>
      <c r="P24" s="247" t="s">
        <v>17</v>
      </c>
      <c r="Q24" s="248">
        <f>C37</f>
        <v>5</v>
      </c>
      <c r="R24" s="30"/>
      <c r="S24" s="30"/>
      <c r="T24" s="31" t="s">
        <v>251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F25"/>
      <c r="G25" s="60"/>
      <c r="I25" s="17" t="s">
        <v>120</v>
      </c>
      <c r="J25" s="28"/>
      <c r="K25" s="28"/>
      <c r="L25" s="29"/>
      <c r="M25" s="60"/>
      <c r="N25" s="168"/>
      <c r="O25" s="168"/>
      <c r="P25" s="247" t="s">
        <v>16</v>
      </c>
      <c r="Q25" s="248">
        <f>C36</f>
        <v>0</v>
      </c>
      <c r="R25" s="30"/>
      <c r="S25" s="30"/>
      <c r="T25" s="31" t="s">
        <v>251</v>
      </c>
      <c r="AN25" s="45"/>
      <c r="AO25" s="5"/>
      <c r="AV25" s="5"/>
    </row>
    <row r="26" spans="1:48" ht="13.9" customHeight="1" x14ac:dyDescent="0.25">
      <c r="A26" s="169"/>
      <c r="B26" s="19" t="s">
        <v>4</v>
      </c>
      <c r="C26" s="20">
        <v>4800</v>
      </c>
      <c r="D26" t="s">
        <v>71</v>
      </c>
      <c r="F26"/>
      <c r="G26" s="60"/>
      <c r="I26" s="19" t="s">
        <v>114</v>
      </c>
      <c r="J26" s="188">
        <v>25</v>
      </c>
      <c r="K26" s="30" t="s">
        <v>83</v>
      </c>
      <c r="L26" s="31"/>
      <c r="M26" s="60"/>
      <c r="N26" s="168"/>
      <c r="O26" s="168"/>
      <c r="P26" s="247" t="s">
        <v>14</v>
      </c>
      <c r="Q26" s="248">
        <f>C44</f>
        <v>0</v>
      </c>
      <c r="R26" s="45"/>
      <c r="S26" s="30"/>
      <c r="T26" s="31" t="s">
        <v>251</v>
      </c>
      <c r="AN26" s="45"/>
      <c r="AO26" s="5"/>
      <c r="AP26" s="5"/>
    </row>
    <row r="27" spans="1:48" ht="13.9" customHeight="1" x14ac:dyDescent="0.25">
      <c r="A27" s="169"/>
      <c r="B27" s="19" t="s">
        <v>5</v>
      </c>
      <c r="C27" s="20">
        <v>12</v>
      </c>
      <c r="D27"/>
      <c r="F27"/>
      <c r="G27" s="60"/>
      <c r="I27" s="19" t="s">
        <v>130</v>
      </c>
      <c r="J27" s="188">
        <v>2.1797</v>
      </c>
      <c r="K27" s="30" t="s">
        <v>84</v>
      </c>
      <c r="L27" s="31"/>
      <c r="M27" s="60"/>
      <c r="N27" s="168"/>
      <c r="O27" s="168"/>
      <c r="P27" s="247" t="s">
        <v>163</v>
      </c>
      <c r="Q27" s="249">
        <f>$C$42</f>
        <v>1.2250000000000001</v>
      </c>
      <c r="R27" s="30"/>
      <c r="S27" s="30"/>
      <c r="T27" s="31" t="s">
        <v>147</v>
      </c>
      <c r="AN27" s="45"/>
      <c r="AO27" s="5"/>
      <c r="AP27" s="5"/>
    </row>
    <row r="28" spans="1:48" ht="13.9" customHeight="1" x14ac:dyDescent="0.25">
      <c r="A28" s="169"/>
      <c r="B28" s="56" t="s">
        <v>63</v>
      </c>
      <c r="C28" s="20">
        <v>3.9899999999999998E-2</v>
      </c>
      <c r="D28" t="s">
        <v>70</v>
      </c>
      <c r="F28"/>
      <c r="G28" s="6"/>
      <c r="I28" s="19" t="s">
        <v>115</v>
      </c>
      <c r="J28" s="44">
        <f>($J$26/25.4)^2*$J$27/1000*2.2/3</f>
        <v>1.5484983053299442E-3</v>
      </c>
      <c r="K28" s="30" t="s">
        <v>86</v>
      </c>
      <c r="L28" s="157" t="s">
        <v>132</v>
      </c>
      <c r="N28" s="3"/>
      <c r="O28" s="3"/>
      <c r="P28" s="195"/>
      <c r="Q28" s="193"/>
      <c r="R28" s="193"/>
      <c r="S28" s="193"/>
      <c r="T28" s="196"/>
      <c r="AN28" s="45"/>
      <c r="AO28" s="5"/>
      <c r="AP28" s="5"/>
      <c r="AQ28" s="5"/>
      <c r="AR28" s="5"/>
      <c r="AS28" s="131"/>
      <c r="AT28" s="133"/>
      <c r="AU28" s="5"/>
    </row>
    <row r="29" spans="1:48" ht="13.9" customHeight="1" x14ac:dyDescent="0.25">
      <c r="A29" s="169"/>
      <c r="B29" s="56" t="s">
        <v>64</v>
      </c>
      <c r="C29" s="112">
        <v>4.1999999999999996E-6</v>
      </c>
      <c r="D29" t="s">
        <v>69</v>
      </c>
      <c r="F29"/>
      <c r="G29" s="6"/>
      <c r="I29" s="19" t="s">
        <v>127</v>
      </c>
      <c r="J29" s="190">
        <f>3/8/2*25.4</f>
        <v>4.7624999999999993</v>
      </c>
      <c r="K29" s="30" t="s">
        <v>83</v>
      </c>
      <c r="L29" s="31" t="s">
        <v>128</v>
      </c>
      <c r="N29" s="3"/>
      <c r="O29" s="3"/>
      <c r="P29" s="197" t="s">
        <v>257</v>
      </c>
      <c r="Q29" s="193"/>
      <c r="R29" s="193"/>
      <c r="S29" s="193"/>
      <c r="T29" s="196"/>
      <c r="AN29" s="45"/>
      <c r="AO29" s="5"/>
      <c r="AP29" s="5"/>
      <c r="AQ29" s="5"/>
      <c r="AR29" s="5"/>
      <c r="AS29" s="131"/>
      <c r="AT29" s="133"/>
      <c r="AU29" s="5"/>
    </row>
    <row r="30" spans="1:48" ht="13.9" customHeight="1" x14ac:dyDescent="0.25">
      <c r="A30" s="169"/>
      <c r="B30" s="19" t="s">
        <v>241</v>
      </c>
      <c r="C30" s="20">
        <v>240</v>
      </c>
      <c r="D30" t="s">
        <v>242</v>
      </c>
      <c r="F30"/>
      <c r="G30" s="6"/>
      <c r="I30" s="19" t="s">
        <v>129</v>
      </c>
      <c r="J30" s="190">
        <f>3/4*25.4</f>
        <v>19.049999999999997</v>
      </c>
      <c r="K30" s="30" t="s">
        <v>83</v>
      </c>
      <c r="L30" s="31" t="s">
        <v>128</v>
      </c>
      <c r="N30" s="3"/>
      <c r="O30" s="3"/>
      <c r="P30" s="247" t="s">
        <v>27</v>
      </c>
      <c r="Q30" s="248">
        <f>$C$26*$C$27/$B$49/100</f>
        <v>460.8</v>
      </c>
      <c r="R30" s="30"/>
      <c r="S30" s="30"/>
      <c r="T30" s="31" t="s">
        <v>252</v>
      </c>
      <c r="AN30" s="45"/>
      <c r="AO30" s="5"/>
    </row>
    <row r="31" spans="1:48" x14ac:dyDescent="0.25">
      <c r="A31" s="169"/>
      <c r="B31" s="56" t="s">
        <v>65</v>
      </c>
      <c r="C31" s="113">
        <f>C26*2*PI()/60</f>
        <v>502.6548245743669</v>
      </c>
      <c r="D31" t="s">
        <v>67</v>
      </c>
      <c r="F31"/>
      <c r="G31" s="6"/>
      <c r="I31" s="19" t="s">
        <v>131</v>
      </c>
      <c r="J31" s="44">
        <f>PI()*($J$29/25.4)^2/4*3/4*0.3</f>
        <v>6.2126221909368446E-3</v>
      </c>
      <c r="K31" s="30" t="s">
        <v>134</v>
      </c>
      <c r="L31" s="31" t="s">
        <v>128</v>
      </c>
      <c r="N31" s="3"/>
      <c r="O31" s="3"/>
      <c r="P31" s="247" t="s">
        <v>18</v>
      </c>
      <c r="Q31" s="248">
        <f>C47</f>
        <v>180</v>
      </c>
      <c r="R31" s="30"/>
      <c r="S31" s="30"/>
      <c r="T31" s="31" t="s">
        <v>161</v>
      </c>
    </row>
    <row r="32" spans="1:48" ht="13.9" customHeight="1" x14ac:dyDescent="0.25">
      <c r="A32" s="169"/>
      <c r="B32" s="56" t="s">
        <v>66</v>
      </c>
      <c r="C32" s="115">
        <f>7/C31</f>
        <v>1.3926057520540842E-2</v>
      </c>
      <c r="D32" t="s">
        <v>68</v>
      </c>
      <c r="F32"/>
      <c r="G32" s="6"/>
      <c r="I32" s="19" t="s">
        <v>121</v>
      </c>
      <c r="J32" s="44">
        <f>($J$29/25.4)^2*$J$31/2</f>
        <v>1.0920624945006168E-4</v>
      </c>
      <c r="K32" s="30" t="s">
        <v>86</v>
      </c>
      <c r="L32" s="31" t="s">
        <v>133</v>
      </c>
      <c r="N32" s="3"/>
      <c r="O32" s="3"/>
      <c r="P32" s="247" t="s">
        <v>13</v>
      </c>
      <c r="Q32" s="248">
        <f>C46</f>
        <v>0</v>
      </c>
      <c r="R32" s="30"/>
      <c r="S32" s="30"/>
      <c r="T32" s="31" t="s">
        <v>161</v>
      </c>
    </row>
    <row r="33" spans="1:50" ht="13.9" customHeight="1" thickBot="1" x14ac:dyDescent="0.3">
      <c r="B33" s="114" t="s">
        <v>243</v>
      </c>
      <c r="C33" s="184">
        <f>450/454</f>
        <v>0.99118942731277537</v>
      </c>
      <c r="D33" s="6" t="s">
        <v>141</v>
      </c>
      <c r="F33" s="6"/>
      <c r="G33" s="6"/>
      <c r="I33" s="19" t="s">
        <v>85</v>
      </c>
      <c r="J33" s="44">
        <f>$J$28+$J$32</f>
        <v>1.6577045547800059E-3</v>
      </c>
      <c r="K33" s="30" t="s">
        <v>86</v>
      </c>
      <c r="L33" s="31"/>
      <c r="N33" s="3"/>
      <c r="O33" s="3"/>
      <c r="P33" s="247" t="s">
        <v>164</v>
      </c>
      <c r="Q33" s="249">
        <f>(C39^2-C40^2)*PI()/4/1000^2</f>
        <v>2.1213604393365078E-3</v>
      </c>
      <c r="R33" s="30"/>
      <c r="S33" s="30"/>
      <c r="T33" s="31" t="s">
        <v>250</v>
      </c>
    </row>
    <row r="34" spans="1:50" ht="15" customHeight="1" thickBot="1" x14ac:dyDescent="0.3">
      <c r="D34"/>
      <c r="F34" s="6"/>
      <c r="G34" s="6"/>
      <c r="I34" s="19" t="s">
        <v>85</v>
      </c>
      <c r="J34" s="44">
        <f>$J$33/144</f>
        <v>1.1511837185972264E-5</v>
      </c>
      <c r="K34" s="30" t="s">
        <v>87</v>
      </c>
      <c r="L34" s="31"/>
      <c r="N34" s="3"/>
      <c r="O34" s="3"/>
      <c r="P34" s="247" t="s">
        <v>169</v>
      </c>
      <c r="Q34" s="250">
        <f>1/1.3556</f>
        <v>0.73768073177928595</v>
      </c>
      <c r="R34" s="30"/>
      <c r="S34" s="30"/>
      <c r="T34" s="31" t="s">
        <v>255</v>
      </c>
    </row>
    <row r="35" spans="1:50" ht="15" customHeight="1" thickBot="1" x14ac:dyDescent="0.3">
      <c r="A35" t="s">
        <v>33</v>
      </c>
      <c r="B35" s="17"/>
      <c r="C35" s="202" t="s">
        <v>22</v>
      </c>
      <c r="D35"/>
      <c r="F35" s="6"/>
      <c r="G35" s="6"/>
      <c r="I35" s="21" t="s">
        <v>85</v>
      </c>
      <c r="J35" s="97">
        <f>$J$34/2048.5*6.66</f>
        <v>3.7426817504796325E-8</v>
      </c>
      <c r="K35" s="32" t="s">
        <v>88</v>
      </c>
      <c r="L35" s="33"/>
      <c r="N35" s="3"/>
      <c r="O35" s="3"/>
      <c r="P35" s="247" t="s">
        <v>170</v>
      </c>
      <c r="Q35" s="251">
        <f>$J$34/2048.5*6.66</f>
        <v>3.7426817504796325E-8</v>
      </c>
      <c r="R35" s="30"/>
      <c r="S35" s="30"/>
      <c r="T35" s="31" t="s">
        <v>73</v>
      </c>
    </row>
    <row r="36" spans="1:50" ht="15" customHeight="1" x14ac:dyDescent="0.25">
      <c r="B36" s="24" t="s">
        <v>16</v>
      </c>
      <c r="C36" s="183">
        <v>0</v>
      </c>
      <c r="D36"/>
      <c r="F36" s="6"/>
      <c r="G36" s="6"/>
      <c r="I36" s="30"/>
      <c r="J36" s="45"/>
      <c r="K36" s="30"/>
      <c r="L36" s="30"/>
      <c r="N36" s="3"/>
      <c r="O36" s="3"/>
      <c r="P36" s="247" t="s">
        <v>185</v>
      </c>
      <c r="Q36" s="249">
        <f>C39/1000</f>
        <v>5.5E-2</v>
      </c>
      <c r="R36" s="30"/>
      <c r="S36" s="30"/>
      <c r="T36" s="31" t="s">
        <v>248</v>
      </c>
    </row>
    <row r="37" spans="1:50" ht="15.75" thickBot="1" x14ac:dyDescent="0.3">
      <c r="B37" s="26" t="s">
        <v>17</v>
      </c>
      <c r="C37" s="180">
        <v>5</v>
      </c>
      <c r="I37" s="188" t="s">
        <v>276</v>
      </c>
      <c r="J37" s="188"/>
      <c r="K37" s="188"/>
      <c r="L37" s="188"/>
      <c r="N37" s="3"/>
      <c r="O37" s="3"/>
      <c r="P37" s="247" t="s">
        <v>204</v>
      </c>
      <c r="Q37" s="250">
        <f>$Z$13</f>
        <v>4.4249528005034611</v>
      </c>
      <c r="R37" s="30"/>
      <c r="S37" s="30"/>
      <c r="T37" s="31" t="s">
        <v>144</v>
      </c>
      <c r="AI37" s="5"/>
    </row>
    <row r="38" spans="1:50" ht="75.75" thickBot="1" x14ac:dyDescent="0.3">
      <c r="I38" s="173" t="s">
        <v>89</v>
      </c>
      <c r="J38" s="216" t="s">
        <v>280</v>
      </c>
      <c r="K38" s="216" t="s">
        <v>332</v>
      </c>
      <c r="L38" s="271" t="s">
        <v>285</v>
      </c>
      <c r="M38" s="243" t="s">
        <v>258</v>
      </c>
      <c r="N38" s="244" t="s">
        <v>259</v>
      </c>
      <c r="P38" s="195"/>
      <c r="Q38" s="193"/>
      <c r="R38" s="193"/>
      <c r="S38" s="193"/>
      <c r="T38" s="196"/>
      <c r="AI38" s="5"/>
    </row>
    <row r="39" spans="1:50" ht="18.75" x14ac:dyDescent="0.3">
      <c r="A39" s="3" t="s">
        <v>232</v>
      </c>
      <c r="B39" s="17" t="s">
        <v>233</v>
      </c>
      <c r="C39" s="179">
        <v>55</v>
      </c>
      <c r="D39" t="s">
        <v>83</v>
      </c>
      <c r="E39"/>
      <c r="I39" s="228">
        <f>(L39-L41)/(L40-L41)*(I40-I41)+I41</f>
        <v>73.428571428571431</v>
      </c>
      <c r="J39" s="233">
        <f t="shared" ref="J39:J44" si="37">(I39*$Q$30*$R$43+$Q$43)/$Q$30</f>
        <v>91.763321955226317</v>
      </c>
      <c r="K39" s="276">
        <f>LOG10(J39)</f>
        <v>1.9626691272200383</v>
      </c>
      <c r="L39" s="222">
        <v>0</v>
      </c>
      <c r="M39" s="193"/>
      <c r="N39" s="196"/>
      <c r="P39" s="206" t="s">
        <v>275</v>
      </c>
      <c r="Q39" s="57"/>
      <c r="R39" s="57"/>
      <c r="S39" s="57"/>
      <c r="T39" s="25"/>
      <c r="AI39" s="5"/>
    </row>
    <row r="40" spans="1:50" ht="15.75" thickBot="1" x14ac:dyDescent="0.3">
      <c r="B40" s="21" t="s">
        <v>234</v>
      </c>
      <c r="C40" s="180">
        <v>18</v>
      </c>
      <c r="D40" t="s">
        <v>83</v>
      </c>
      <c r="E40"/>
      <c r="I40" s="221">
        <v>62</v>
      </c>
      <c r="J40" s="233">
        <f t="shared" si="37"/>
        <v>79.502892729656168</v>
      </c>
      <c r="K40" s="276">
        <f t="shared" ref="K40:K44" si="38">LOG10(J40)</f>
        <v>1.9003829308410203</v>
      </c>
      <c r="L40" s="223">
        <v>0.04</v>
      </c>
      <c r="M40" s="229"/>
      <c r="N40" s="230"/>
      <c r="P40" s="64" t="s">
        <v>108</v>
      </c>
      <c r="Q40" s="185">
        <f>INDEX(LINEST($Q$4:$Q$13,$E$4:$E$13^{1,2},FALSE,FALSE),3)</f>
        <v>0</v>
      </c>
      <c r="R40" s="66">
        <f>INDEX(LINEST($Q$5:$Q$13,$E$5:$E$13^{1,2},FALSE,FALSE),2)</f>
        <v>15929.364786667767</v>
      </c>
      <c r="S40" s="66">
        <f>INDEX(LINEST($Q$5:$Q$13,$E$5:$E$13^{1,2},FALSE,FALSE),1)</f>
        <v>-1553.3720910828754</v>
      </c>
      <c r="T40" s="31" t="s">
        <v>253</v>
      </c>
      <c r="AI40" s="5"/>
    </row>
    <row r="41" spans="1:50" ht="15.75" thickBot="1" x14ac:dyDescent="0.3">
      <c r="B41" s="30"/>
      <c r="C41" s="181"/>
      <c r="D41"/>
      <c r="E41"/>
      <c r="H41" s="10"/>
      <c r="I41" s="221">
        <v>48</v>
      </c>
      <c r="J41" s="233">
        <f t="shared" si="37"/>
        <v>64.483866928332702</v>
      </c>
      <c r="K41" s="276">
        <f t="shared" si="38"/>
        <v>1.8094510730786972</v>
      </c>
      <c r="L41" s="223">
        <v>8.8999999999999996E-2</v>
      </c>
      <c r="M41" s="231">
        <f>$Q$35/L41</f>
        <v>4.2052603937973403E-7</v>
      </c>
      <c r="N41" s="232">
        <f>-M41/$Q$34</f>
        <v>-5.7006509898316742E-7</v>
      </c>
      <c r="P41" s="64" t="s">
        <v>21</v>
      </c>
      <c r="Q41" s="185">
        <f>INDEX(LINEST($P$3:$P$13,$M$3:$M$13),2)</f>
        <v>-21339.489964118849</v>
      </c>
      <c r="R41" s="66">
        <f>INDEX(LINEST($P$3:$P$13,$M$3:$M$13),1)</f>
        <v>12143.067320063643</v>
      </c>
      <c r="S41" s="30"/>
      <c r="T41" s="31" t="s">
        <v>253</v>
      </c>
      <c r="AI41" s="5"/>
      <c r="AW41" s="131"/>
      <c r="AX41" s="144"/>
    </row>
    <row r="42" spans="1:50" ht="15.75" thickBot="1" x14ac:dyDescent="0.3">
      <c r="A42" s="10" t="s">
        <v>235</v>
      </c>
      <c r="B42" s="177" t="s">
        <v>236</v>
      </c>
      <c r="C42" s="182">
        <v>1.2250000000000001</v>
      </c>
      <c r="D42" t="s">
        <v>147</v>
      </c>
      <c r="E42" t="s">
        <v>155</v>
      </c>
      <c r="G42" s="6"/>
      <c r="I42" s="221">
        <v>25</v>
      </c>
      <c r="J42" s="233">
        <f t="shared" si="37"/>
        <v>39.809753111872752</v>
      </c>
      <c r="K42" s="276">
        <f t="shared" si="38"/>
        <v>1.5999894842285645</v>
      </c>
      <c r="L42" s="223">
        <v>0.28100000000000003</v>
      </c>
      <c r="M42" s="60"/>
      <c r="N42" s="230"/>
      <c r="P42" s="64" t="s">
        <v>109</v>
      </c>
      <c r="Q42" s="185">
        <f>INDEX(LINEST($Q$4:$Q$13,$P$4:$P$13),2)</f>
        <v>-5553.3093982580176</v>
      </c>
      <c r="R42" s="68">
        <f>INDEX(LINEST($Q$4:$Q$13,$P$4:$P$13),1)</f>
        <v>0.93119872839823603</v>
      </c>
      <c r="S42" s="30"/>
      <c r="T42" s="31" t="s">
        <v>253</v>
      </c>
      <c r="AI42" s="5"/>
    </row>
    <row r="43" spans="1:50" ht="15.75" thickBot="1" x14ac:dyDescent="0.3">
      <c r="C43" s="178"/>
      <c r="D43"/>
      <c r="E43"/>
      <c r="G43" s="6"/>
      <c r="I43" s="221">
        <v>20</v>
      </c>
      <c r="J43" s="233">
        <f t="shared" si="37"/>
        <v>34.445815325685807</v>
      </c>
      <c r="K43" s="276">
        <f t="shared" si="38"/>
        <v>1.5371364688749465</v>
      </c>
      <c r="L43" s="223">
        <v>0.38600000000000001</v>
      </c>
      <c r="M43" s="60"/>
      <c r="N43" s="230"/>
      <c r="P43" s="64" t="s">
        <v>110</v>
      </c>
      <c r="Q43" s="185">
        <f>INDEX(LINEST($P$4:$P$13,$Q$4:$Q$13),2)</f>
        <v>5985.8215745762427</v>
      </c>
      <c r="R43" s="68">
        <f>INDEX(LINEST($P$4:$P$13,$Q$4:$Q$13),1)</f>
        <v>1.0727875572373891</v>
      </c>
      <c r="S43" s="30"/>
      <c r="T43" s="31" t="s">
        <v>253</v>
      </c>
      <c r="AI43" s="5"/>
    </row>
    <row r="44" spans="1:50" ht="15.75" thickBot="1" x14ac:dyDescent="0.3">
      <c r="A44" s="168" t="s">
        <v>237</v>
      </c>
      <c r="B44" s="173" t="s">
        <v>238</v>
      </c>
      <c r="C44" s="179">
        <v>0</v>
      </c>
      <c r="D44" s="30" t="s">
        <v>244</v>
      </c>
      <c r="E44"/>
      <c r="F44" s="6"/>
      <c r="I44" s="234">
        <f>(L44-L42)/(L43-L42)*(I43-I42)+I42</f>
        <v>14.571428571428571</v>
      </c>
      <c r="J44" s="237">
        <f t="shared" si="37"/>
        <v>28.622111443539978</v>
      </c>
      <c r="K44" s="277">
        <f t="shared" si="38"/>
        <v>1.4567016683634666</v>
      </c>
      <c r="L44" s="226">
        <v>0.5</v>
      </c>
      <c r="M44" s="235"/>
      <c r="N44" s="236"/>
      <c r="P44" s="64" t="s">
        <v>166</v>
      </c>
      <c r="Q44" s="186">
        <f>AG9</f>
        <v>-0.74325501619329493</v>
      </c>
      <c r="R44" s="30"/>
      <c r="S44" s="30"/>
      <c r="T44" s="31" t="s">
        <v>247</v>
      </c>
      <c r="U44" s="5"/>
      <c r="AI44" s="5"/>
      <c r="AJ44" s="5"/>
      <c r="AK44" s="131"/>
    </row>
    <row r="45" spans="1:50" x14ac:dyDescent="0.25">
      <c r="A45" s="30"/>
      <c r="B45" s="56" t="s">
        <v>239</v>
      </c>
      <c r="C45" s="183">
        <v>5</v>
      </c>
      <c r="D45" s="45" t="s">
        <v>244</v>
      </c>
      <c r="E45"/>
      <c r="F45" s="6"/>
      <c r="P45" s="64" t="s">
        <v>168</v>
      </c>
      <c r="Q45" s="187">
        <f>AF9</f>
        <v>2.4149155084366014</v>
      </c>
      <c r="R45" s="30"/>
      <c r="S45" s="30"/>
      <c r="T45" s="31" t="s">
        <v>247</v>
      </c>
      <c r="AI45" s="5"/>
      <c r="AJ45" s="5"/>
      <c r="AK45" s="131"/>
      <c r="AX45" s="144"/>
    </row>
    <row r="46" spans="1:50" ht="15.75" thickBot="1" x14ac:dyDescent="0.3">
      <c r="A46" s="168"/>
      <c r="B46" s="56" t="s">
        <v>238</v>
      </c>
      <c r="C46" s="183">
        <v>0</v>
      </c>
      <c r="D46" s="45" t="s">
        <v>240</v>
      </c>
      <c r="E46"/>
      <c r="H46" s="6"/>
      <c r="I46" s="6"/>
      <c r="J46" s="6"/>
      <c r="K46" s="9"/>
      <c r="L46" s="6"/>
      <c r="M46" s="6"/>
      <c r="N46" s="10"/>
      <c r="O46" s="10"/>
      <c r="P46" s="198" t="s">
        <v>197</v>
      </c>
      <c r="Q46" s="199">
        <v>9</v>
      </c>
      <c r="R46" s="32"/>
      <c r="S46" s="32"/>
      <c r="T46" s="33" t="s">
        <v>249</v>
      </c>
      <c r="W46" s="45"/>
      <c r="X46" s="175"/>
      <c r="Y46" s="45"/>
      <c r="AI46" s="5"/>
      <c r="AJ46" s="5"/>
      <c r="AK46" s="131"/>
    </row>
    <row r="47" spans="1:50" ht="15.75" thickBot="1" x14ac:dyDescent="0.3">
      <c r="A47" s="168"/>
      <c r="B47" s="114" t="s">
        <v>239</v>
      </c>
      <c r="C47" s="180">
        <v>180</v>
      </c>
      <c r="D47" s="45" t="s">
        <v>240</v>
      </c>
      <c r="E47"/>
      <c r="H47" s="6"/>
      <c r="I47" s="192" t="s">
        <v>82</v>
      </c>
      <c r="J47" s="191">
        <f>INDEX(LINEST($Y$3:$Y$13,$P$3:$P$13^{1,2}),3)</f>
        <v>-2.3707465536193552E-3</v>
      </c>
      <c r="K47" s="160">
        <f>INDEX(LINEST($Y$3:$Y$13,$P$3:$P$13^{1,2}),2)</f>
        <v>1.4752397194391045E-7</v>
      </c>
      <c r="L47" s="160">
        <f>INDEX(LINEST($Y$3:$Y$13,$P$3:$P$13^{1,2}),1)</f>
        <v>9.7015893127055435E-12</v>
      </c>
      <c r="M47" s="44" t="s">
        <v>254</v>
      </c>
      <c r="N47" s="10"/>
      <c r="O47" s="10"/>
      <c r="U47" s="10"/>
      <c r="V47" s="3"/>
      <c r="W47" s="45"/>
      <c r="X47" s="60"/>
      <c r="Y47" s="45"/>
      <c r="AX47" s="144"/>
    </row>
    <row r="48" spans="1:50" ht="15.75" thickBot="1" x14ac:dyDescent="0.3">
      <c r="Q48" s="60"/>
      <c r="R48" s="193"/>
      <c r="T48" s="193"/>
      <c r="U48" s="168"/>
      <c r="V48" s="30"/>
    </row>
    <row r="49" spans="1:45" ht="15.75" thickBot="1" x14ac:dyDescent="0.3">
      <c r="A49" s="3" t="s">
        <v>230</v>
      </c>
      <c r="B49" s="189">
        <v>1.25</v>
      </c>
      <c r="C49" s="45" t="s">
        <v>231</v>
      </c>
      <c r="D49" s="5"/>
      <c r="E49" s="172">
        <f>C30</f>
        <v>240</v>
      </c>
      <c r="F49" s="172" t="s">
        <v>142</v>
      </c>
      <c r="I49" s="156" t="s">
        <v>269</v>
      </c>
      <c r="M49" s="217" t="s">
        <v>268</v>
      </c>
      <c r="N49" s="122"/>
      <c r="Q49" s="60"/>
      <c r="R49" s="193"/>
      <c r="T49" s="193"/>
      <c r="U49" s="168"/>
      <c r="V49" s="30"/>
      <c r="W49" s="174"/>
      <c r="X49" s="45"/>
      <c r="Y49" s="45"/>
    </row>
    <row r="50" spans="1:45" x14ac:dyDescent="0.25">
      <c r="I50" s="218" t="s">
        <v>263</v>
      </c>
      <c r="J50" s="216" t="s">
        <v>89</v>
      </c>
      <c r="K50" s="219" t="s">
        <v>264</v>
      </c>
      <c r="L50" s="219" t="s">
        <v>265</v>
      </c>
      <c r="M50" s="219" t="s">
        <v>266</v>
      </c>
      <c r="N50" s="220" t="s">
        <v>267</v>
      </c>
      <c r="P50" s="215" t="s">
        <v>272</v>
      </c>
      <c r="Q50" s="240">
        <v>0</v>
      </c>
      <c r="R50" s="238">
        <f ca="1">J55</f>
        <v>22.000000000000004</v>
      </c>
      <c r="S50" s="238">
        <f ca="1">J54</f>
        <v>36.5</v>
      </c>
      <c r="T50" s="238">
        <f ca="1">J53</f>
        <v>49.142857142857139</v>
      </c>
      <c r="U50" s="239">
        <f ca="1">J52</f>
        <v>67.714285714285722</v>
      </c>
      <c r="V50" s="241">
        <v>80</v>
      </c>
      <c r="W50" s="45"/>
      <c r="X50" s="45"/>
      <c r="Y50" s="45"/>
    </row>
    <row r="51" spans="1:45" x14ac:dyDescent="0.25">
      <c r="I51" s="221">
        <v>0</v>
      </c>
      <c r="J51" s="233">
        <f t="shared" ref="J51:J56" ca="1" si="39">FORECAST(I51,OFFSET(MeasNt,MATCH(I51,MeasTauT,1)-1,0,2),OFFSET(MeasTauT,MATCH(I51,MeasTauT,1)-1,0,2))</f>
        <v>73.428571428571445</v>
      </c>
      <c r="K51" s="57">
        <v>0.2</v>
      </c>
      <c r="L51" s="57">
        <v>4.4000000000000004</v>
      </c>
      <c r="M51" s="57">
        <v>0.09</v>
      </c>
      <c r="N51" s="25">
        <v>5</v>
      </c>
      <c r="P51" s="252" t="s">
        <v>264</v>
      </c>
      <c r="Q51" s="253">
        <f>K56</f>
        <v>0.47499999999999998</v>
      </c>
      <c r="R51" s="253">
        <f>K55</f>
        <v>0.47499999999999998</v>
      </c>
      <c r="S51" s="253">
        <f>K54</f>
        <v>0.32500000000000001</v>
      </c>
      <c r="T51" s="253">
        <f>K53</f>
        <v>0.22500000000000001</v>
      </c>
      <c r="U51" s="254">
        <f>K52</f>
        <v>0.2</v>
      </c>
      <c r="V51" s="255">
        <f>K51</f>
        <v>0.2</v>
      </c>
      <c r="W51" s="45" t="s">
        <v>273</v>
      </c>
      <c r="X51" s="45"/>
      <c r="Y51" s="45"/>
      <c r="AJ51" s="94"/>
      <c r="AR51" s="3"/>
    </row>
    <row r="52" spans="1:45" x14ac:dyDescent="0.25">
      <c r="I52" s="221">
        <v>0.02</v>
      </c>
      <c r="J52" s="233">
        <f t="shared" ca="1" si="39"/>
        <v>67.714285714285722</v>
      </c>
      <c r="K52" s="57">
        <v>0.2</v>
      </c>
      <c r="L52" s="57">
        <v>3.75</v>
      </c>
      <c r="M52" s="57">
        <v>0.09</v>
      </c>
      <c r="N52" s="25">
        <v>5</v>
      </c>
      <c r="P52" s="252" t="s">
        <v>265</v>
      </c>
      <c r="Q52" s="256">
        <f>L56</f>
        <v>2.4</v>
      </c>
      <c r="R52" s="256">
        <f>L55</f>
        <v>2.4</v>
      </c>
      <c r="S52" s="256">
        <f>L54</f>
        <v>2.7</v>
      </c>
      <c r="T52" s="256">
        <f>L53</f>
        <v>3.2</v>
      </c>
      <c r="U52" s="257">
        <f>L52</f>
        <v>3.75</v>
      </c>
      <c r="V52" s="258">
        <f>L51</f>
        <v>4.4000000000000004</v>
      </c>
      <c r="W52" s="45"/>
      <c r="X52" s="45"/>
      <c r="Y52" s="45"/>
      <c r="AS52" s="3"/>
    </row>
    <row r="53" spans="1:45" x14ac:dyDescent="0.25">
      <c r="I53" s="221">
        <v>8.5000000000000006E-2</v>
      </c>
      <c r="J53" s="233">
        <f t="shared" ca="1" si="39"/>
        <v>49.142857142857139</v>
      </c>
      <c r="K53" s="57">
        <v>0.22500000000000001</v>
      </c>
      <c r="L53" s="57">
        <v>3.2</v>
      </c>
      <c r="M53" s="223">
        <v>0.125</v>
      </c>
      <c r="N53" s="224">
        <v>4.05</v>
      </c>
      <c r="P53" s="252" t="s">
        <v>270</v>
      </c>
      <c r="Q53" s="259">
        <v>0.15</v>
      </c>
      <c r="R53" s="259"/>
      <c r="S53" s="259"/>
      <c r="T53" s="259"/>
      <c r="U53" s="260"/>
      <c r="V53" s="261"/>
      <c r="W53" s="45"/>
      <c r="X53" s="45"/>
      <c r="Y53" s="45"/>
    </row>
    <row r="54" spans="1:45" x14ac:dyDescent="0.25">
      <c r="I54" s="221">
        <v>0.185</v>
      </c>
      <c r="J54" s="233">
        <f t="shared" ca="1" si="39"/>
        <v>36.5</v>
      </c>
      <c r="K54" s="57">
        <v>0.32500000000000001</v>
      </c>
      <c r="L54" s="57">
        <v>2.7</v>
      </c>
      <c r="M54" s="57">
        <v>0.24</v>
      </c>
      <c r="N54" s="25">
        <v>3.75</v>
      </c>
      <c r="P54" s="252" t="s">
        <v>271</v>
      </c>
      <c r="Q54" s="259">
        <v>0.03</v>
      </c>
      <c r="R54" s="259"/>
      <c r="S54" s="259"/>
      <c r="T54" s="259"/>
      <c r="U54" s="260"/>
      <c r="V54" s="261"/>
      <c r="W54" s="45"/>
      <c r="X54" s="176"/>
      <c r="Y54" s="45"/>
    </row>
    <row r="55" spans="1:45" x14ac:dyDescent="0.25">
      <c r="I55" s="221">
        <v>0.34399999999999997</v>
      </c>
      <c r="J55" s="233">
        <f t="shared" ca="1" si="39"/>
        <v>22.000000000000004</v>
      </c>
      <c r="K55" s="57">
        <v>0.47499999999999998</v>
      </c>
      <c r="L55" s="57">
        <v>2.4</v>
      </c>
      <c r="M55" s="57">
        <v>0.42</v>
      </c>
      <c r="N55" s="25">
        <v>3.6</v>
      </c>
      <c r="P55" s="252" t="s">
        <v>266</v>
      </c>
      <c r="Q55" s="253">
        <f>M56</f>
        <v>0.42</v>
      </c>
      <c r="R55" s="253">
        <f>M55</f>
        <v>0.42</v>
      </c>
      <c r="S55" s="253">
        <f>M54</f>
        <v>0.24</v>
      </c>
      <c r="T55" s="253">
        <f>M53</f>
        <v>0.125</v>
      </c>
      <c r="U55" s="254">
        <f>M52</f>
        <v>0.09</v>
      </c>
      <c r="V55" s="255">
        <f>M51</f>
        <v>0.09</v>
      </c>
      <c r="W55" s="45" t="s">
        <v>274</v>
      </c>
      <c r="X55" s="176"/>
      <c r="Y55" s="45"/>
    </row>
    <row r="56" spans="1:45" ht="15.75" thickBot="1" x14ac:dyDescent="0.3">
      <c r="I56" s="225">
        <v>0.5</v>
      </c>
      <c r="J56" s="237">
        <f t="shared" ca="1" si="39"/>
        <v>14.571428571428569</v>
      </c>
      <c r="K56" s="227">
        <v>0.47499999999999998</v>
      </c>
      <c r="L56" s="227">
        <v>2.4</v>
      </c>
      <c r="M56" s="227">
        <v>0.42</v>
      </c>
      <c r="N56" s="27">
        <v>3.6</v>
      </c>
      <c r="P56" s="262" t="s">
        <v>267</v>
      </c>
      <c r="Q56" s="263">
        <f>N56</f>
        <v>3.6</v>
      </c>
      <c r="R56" s="263">
        <f>N55</f>
        <v>3.6</v>
      </c>
      <c r="S56" s="263">
        <f>N54</f>
        <v>3.75</v>
      </c>
      <c r="T56" s="263">
        <f>N53</f>
        <v>4.05</v>
      </c>
      <c r="U56" s="264">
        <f>N52</f>
        <v>5</v>
      </c>
      <c r="V56" s="265">
        <f>N51</f>
        <v>5</v>
      </c>
      <c r="W56" s="45"/>
      <c r="X56" s="176"/>
      <c r="Y56" s="45"/>
    </row>
    <row r="57" spans="1:45" x14ac:dyDescent="0.25">
      <c r="V57" s="45"/>
      <c r="W57" s="45"/>
      <c r="X57" s="176"/>
      <c r="Y57" s="45"/>
    </row>
    <row r="58" spans="1:45" x14ac:dyDescent="0.25">
      <c r="W58" s="45"/>
      <c r="X58" s="176"/>
      <c r="Y58" s="45"/>
    </row>
    <row r="59" spans="1:45" x14ac:dyDescent="0.25">
      <c r="W59" s="45"/>
      <c r="X59" s="129"/>
      <c r="Y59" s="45"/>
    </row>
    <row r="60" spans="1:45" x14ac:dyDescent="0.25">
      <c r="W60" s="45"/>
      <c r="X60" s="129"/>
      <c r="Y60" s="45"/>
    </row>
    <row r="61" spans="1:45" x14ac:dyDescent="0.25">
      <c r="W61" s="45"/>
      <c r="X61" s="129"/>
      <c r="Y61" s="45"/>
    </row>
    <row r="62" spans="1:45" x14ac:dyDescent="0.25">
      <c r="H62" s="15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2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2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2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0"/>
      <c r="E70" s="60"/>
      <c r="F70" s="60"/>
      <c r="G70" s="60"/>
      <c r="H70" s="60"/>
      <c r="I70" s="170"/>
      <c r="J70" s="60"/>
      <c r="K70" s="167"/>
      <c r="L70" s="60"/>
      <c r="M70" s="60"/>
      <c r="N70" s="168"/>
      <c r="O70" s="168"/>
      <c r="P70" s="168"/>
      <c r="Q70" s="168"/>
      <c r="R70" s="168"/>
      <c r="S70" s="168"/>
      <c r="T70" s="168"/>
      <c r="U70" s="169"/>
      <c r="V70" s="16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0"/>
      <c r="E71" s="60"/>
      <c r="F71" s="60"/>
      <c r="G71" s="60"/>
      <c r="H71" s="60"/>
      <c r="I71" s="170"/>
      <c r="J71" s="60"/>
      <c r="K71" s="167"/>
      <c r="L71" s="60"/>
      <c r="M71" s="60"/>
      <c r="N71" s="168"/>
      <c r="O71" s="168"/>
      <c r="P71" s="168"/>
      <c r="Q71" s="168"/>
      <c r="R71" s="168"/>
      <c r="S71" s="168"/>
      <c r="T71" s="168"/>
      <c r="U71" s="169"/>
      <c r="V71" s="169"/>
      <c r="W71" s="9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0"/>
      <c r="E72" s="60"/>
      <c r="F72" s="60"/>
      <c r="G72" s="60"/>
      <c r="H72" s="60"/>
      <c r="I72" s="170"/>
      <c r="J72" s="60"/>
      <c r="K72" s="167"/>
      <c r="L72" s="60"/>
      <c r="M72" s="60"/>
      <c r="N72" s="168"/>
      <c r="O72" s="168"/>
      <c r="P72" s="168"/>
      <c r="Q72" s="168"/>
      <c r="R72" s="168"/>
      <c r="S72" s="168"/>
      <c r="T72" s="168"/>
      <c r="U72" s="169"/>
      <c r="V72" s="16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0"/>
      <c r="E73" s="60"/>
      <c r="F73" s="60"/>
      <c r="G73" s="60"/>
      <c r="H73" s="60"/>
      <c r="I73" s="170"/>
      <c r="J73" s="60"/>
      <c r="K73" s="167"/>
      <c r="L73" s="60"/>
      <c r="M73" s="60"/>
      <c r="N73" s="168"/>
      <c r="O73" s="168"/>
      <c r="P73" s="168"/>
      <c r="Q73" s="168"/>
      <c r="R73" s="168"/>
      <c r="S73" s="168"/>
      <c r="T73" s="168"/>
      <c r="U73" s="169"/>
      <c r="V73" s="169"/>
      <c r="W73" s="45"/>
      <c r="X73" s="45"/>
      <c r="Y73" s="45"/>
      <c r="Z73" s="45"/>
      <c r="AA73" s="12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0"/>
      <c r="E74" s="60"/>
      <c r="F74" s="60"/>
      <c r="G74" s="60"/>
      <c r="H74" s="60"/>
      <c r="I74" s="170"/>
      <c r="J74" s="60"/>
      <c r="K74" s="167"/>
      <c r="L74" s="60"/>
      <c r="M74" s="60"/>
      <c r="N74" s="168"/>
      <c r="O74" s="168"/>
      <c r="P74" s="168"/>
      <c r="Q74" s="168"/>
      <c r="R74" s="168"/>
      <c r="S74" s="168"/>
      <c r="T74" s="168"/>
      <c r="U74" s="169"/>
      <c r="V74" s="169"/>
      <c r="W74" s="45"/>
      <c r="X74" s="45"/>
      <c r="Y74" s="45"/>
      <c r="Z74" s="45"/>
      <c r="AA74" s="12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0"/>
      <c r="E75" s="60"/>
      <c r="F75" s="60"/>
      <c r="G75" s="60"/>
      <c r="H75" s="60"/>
      <c r="I75" s="170"/>
      <c r="J75" s="60"/>
      <c r="K75" s="167"/>
      <c r="L75" s="60"/>
      <c r="M75" s="60"/>
      <c r="N75" s="168"/>
      <c r="O75" s="168"/>
      <c r="P75" s="168"/>
      <c r="Q75" s="168"/>
      <c r="R75" s="168"/>
      <c r="S75" s="168"/>
      <c r="T75" s="168"/>
      <c r="U75" s="169"/>
      <c r="V75" s="169"/>
      <c r="W75" s="45"/>
      <c r="X75" s="45"/>
      <c r="Y75" s="45"/>
      <c r="Z75" s="45"/>
      <c r="AA75" s="12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0"/>
      <c r="E76" s="60"/>
      <c r="F76" s="60"/>
      <c r="G76" s="60"/>
      <c r="H76" s="60"/>
      <c r="I76" s="60"/>
      <c r="J76" s="60"/>
      <c r="K76" s="167"/>
      <c r="L76" s="60"/>
      <c r="M76" s="60"/>
      <c r="N76" s="168"/>
      <c r="O76" s="168"/>
      <c r="P76" s="168"/>
      <c r="Q76" s="168"/>
      <c r="R76" s="168"/>
      <c r="S76" s="168"/>
      <c r="T76" s="168"/>
      <c r="U76" s="169"/>
      <c r="V76" s="169"/>
      <c r="W76" s="45"/>
      <c r="X76" s="166"/>
      <c r="Y76" s="16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0"/>
      <c r="E92" s="60"/>
      <c r="F92" s="60"/>
      <c r="G92" s="60"/>
      <c r="H92" s="60"/>
      <c r="I92" s="60"/>
      <c r="J92" s="60"/>
      <c r="K92" s="167"/>
      <c r="L92" s="60"/>
      <c r="M92" s="60"/>
      <c r="N92" s="168"/>
      <c r="O92" s="168"/>
      <c r="P92" s="168"/>
      <c r="Q92" s="168"/>
      <c r="R92" s="168"/>
      <c r="S92" s="168"/>
      <c r="T92" s="168"/>
      <c r="U92" s="169"/>
      <c r="V92" s="169"/>
      <c r="W92" s="45"/>
      <c r="X92" s="166"/>
      <c r="Y92" s="16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0"/>
      <c r="E93" s="60"/>
      <c r="F93" s="60"/>
      <c r="G93" s="60"/>
      <c r="H93" s="60"/>
      <c r="I93" s="60"/>
      <c r="J93" s="60"/>
      <c r="K93" s="167"/>
      <c r="L93" s="60"/>
      <c r="M93" s="60"/>
      <c r="N93" s="168"/>
      <c r="O93" s="168"/>
      <c r="P93" s="168"/>
      <c r="Q93" s="168"/>
      <c r="R93" s="168"/>
      <c r="S93" s="168"/>
      <c r="T93" s="168"/>
      <c r="U93" s="169"/>
      <c r="V93" s="169"/>
      <c r="W93" s="45"/>
      <c r="X93" s="166"/>
      <c r="Y93" s="16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0"/>
      <c r="E94" s="60"/>
      <c r="F94" s="60"/>
      <c r="G94" s="60"/>
      <c r="H94" s="60"/>
      <c r="I94" s="60"/>
      <c r="J94" s="60"/>
      <c r="K94" s="167"/>
      <c r="L94" s="60"/>
      <c r="M94" s="60"/>
      <c r="N94" s="168"/>
      <c r="O94" s="168"/>
      <c r="P94" s="168"/>
      <c r="Q94" s="168"/>
      <c r="R94" s="168"/>
      <c r="S94" s="168"/>
      <c r="T94" s="168"/>
      <c r="U94" s="169"/>
      <c r="V94" s="169"/>
      <c r="W94" s="45"/>
      <c r="X94" s="166"/>
      <c r="Y94" s="16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0"/>
      <c r="E95" s="60"/>
      <c r="F95" s="60"/>
      <c r="G95" s="60"/>
      <c r="H95" s="60"/>
      <c r="I95" s="60"/>
      <c r="J95" s="60"/>
      <c r="K95" s="167"/>
      <c r="L95" s="60"/>
      <c r="M95" s="60"/>
      <c r="N95" s="168"/>
      <c r="O95" s="168"/>
      <c r="P95" s="168"/>
      <c r="Q95" s="168"/>
      <c r="R95" s="168"/>
      <c r="S95" s="168"/>
      <c r="T95" s="168"/>
      <c r="U95" s="169"/>
      <c r="V95" s="169"/>
      <c r="W95" s="45"/>
      <c r="X95" s="166"/>
      <c r="Y95" s="16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0"/>
      <c r="E96" s="60"/>
      <c r="F96" s="60"/>
      <c r="G96" s="60"/>
      <c r="H96" s="60"/>
      <c r="I96" s="60"/>
      <c r="J96" s="60"/>
      <c r="K96" s="167"/>
      <c r="L96" s="60"/>
      <c r="M96" s="60"/>
      <c r="N96" s="168"/>
      <c r="O96" s="168"/>
      <c r="P96" s="168"/>
      <c r="Q96" s="168"/>
      <c r="R96" s="168"/>
      <c r="S96" s="168"/>
      <c r="T96" s="168"/>
      <c r="U96" s="169"/>
      <c r="V96" s="169"/>
      <c r="W96" s="45"/>
      <c r="X96" s="166"/>
      <c r="Y96" s="16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0"/>
      <c r="E97" s="60"/>
      <c r="F97" s="60"/>
      <c r="G97" s="60"/>
      <c r="H97" s="60"/>
      <c r="I97" s="60"/>
      <c r="J97" s="60"/>
      <c r="K97" s="167"/>
      <c r="L97" s="60"/>
      <c r="M97" s="60"/>
      <c r="N97" s="168"/>
      <c r="O97" s="168"/>
      <c r="P97" s="168"/>
      <c r="Q97" s="168"/>
      <c r="R97" s="168"/>
      <c r="S97" s="168"/>
      <c r="T97" s="168"/>
      <c r="U97" s="169"/>
      <c r="V97" s="169"/>
      <c r="W97" s="45"/>
      <c r="X97" s="166"/>
      <c r="Y97" s="16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0"/>
      <c r="E98" s="60"/>
      <c r="F98" s="60"/>
      <c r="G98" s="60"/>
      <c r="H98" s="60"/>
      <c r="I98" s="60"/>
      <c r="J98" s="60"/>
      <c r="K98" s="167"/>
      <c r="L98" s="60"/>
      <c r="M98" s="60"/>
      <c r="N98" s="168"/>
      <c r="O98" s="168"/>
      <c r="P98" s="168"/>
      <c r="Q98" s="168"/>
      <c r="R98" s="168"/>
      <c r="S98" s="168"/>
      <c r="T98" s="168"/>
      <c r="U98" s="169"/>
      <c r="V98" s="169"/>
      <c r="W98" s="45"/>
      <c r="X98" s="166"/>
      <c r="Y98" s="16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0"/>
      <c r="E99" s="60"/>
      <c r="F99" s="60"/>
      <c r="G99" s="60"/>
      <c r="H99" s="60"/>
      <c r="I99" s="60"/>
      <c r="J99" s="60"/>
      <c r="K99" s="167"/>
      <c r="L99" s="60"/>
      <c r="M99" s="60"/>
      <c r="N99" s="168"/>
      <c r="O99" s="168"/>
      <c r="P99" s="168"/>
      <c r="Q99" s="168"/>
      <c r="R99" s="168"/>
      <c r="S99" s="168"/>
      <c r="T99" s="168"/>
      <c r="U99" s="169"/>
      <c r="V99" s="169"/>
      <c r="W99" s="45"/>
      <c r="X99" s="166"/>
      <c r="Y99" s="16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0"/>
      <c r="E100" s="60"/>
      <c r="F100" s="60"/>
      <c r="G100" s="60"/>
      <c r="H100" s="60"/>
      <c r="I100" s="60"/>
      <c r="J100" s="60"/>
      <c r="K100" s="167"/>
      <c r="L100" s="60"/>
      <c r="M100" s="60"/>
      <c r="N100" s="168"/>
      <c r="O100" s="168"/>
      <c r="P100" s="168"/>
      <c r="Q100" s="168"/>
      <c r="R100" s="168"/>
      <c r="S100" s="168"/>
      <c r="T100" s="168"/>
      <c r="U100" s="169"/>
      <c r="V100" s="169"/>
      <c r="W100" s="45"/>
      <c r="X100" s="166"/>
      <c r="Y100" s="16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169"/>
      <c r="V101" s="169"/>
      <c r="W101" s="45"/>
      <c r="X101" s="166"/>
      <c r="Y101" s="16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169"/>
      <c r="V102" s="169"/>
      <c r="W102" s="45"/>
      <c r="X102" s="166"/>
      <c r="Y102" s="16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0"/>
      <c r="E106" s="60"/>
      <c r="F106" s="60"/>
      <c r="G106" s="60"/>
      <c r="H106" s="60"/>
      <c r="I106" s="170"/>
      <c r="J106" s="60"/>
      <c r="K106" s="167"/>
      <c r="L106" s="60"/>
      <c r="M106" s="60"/>
      <c r="N106" s="168"/>
      <c r="O106" s="168"/>
      <c r="P106" s="168"/>
      <c r="Q106" s="168"/>
      <c r="R106" s="168"/>
      <c r="S106" s="168"/>
      <c r="T106" s="168"/>
      <c r="U106" s="169"/>
      <c r="V106" s="169"/>
      <c r="W106" s="45"/>
      <c r="X106" s="166"/>
      <c r="Y106" s="16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0"/>
      <c r="E107" s="60"/>
      <c r="F107" s="60"/>
      <c r="G107" s="60"/>
      <c r="H107" s="60"/>
      <c r="I107" s="170"/>
      <c r="J107" s="60"/>
      <c r="K107" s="167"/>
      <c r="L107" s="60"/>
      <c r="M107" s="60"/>
      <c r="N107" s="168"/>
      <c r="O107" s="168"/>
      <c r="P107" s="168"/>
      <c r="Q107" s="168"/>
      <c r="R107" s="168"/>
      <c r="S107" s="168"/>
      <c r="T107" s="168"/>
      <c r="U107" s="169"/>
      <c r="V107" s="169"/>
      <c r="W107" s="45"/>
      <c r="X107" s="166"/>
      <c r="Y107" s="16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0"/>
      <c r="E108" s="60"/>
      <c r="F108" s="60"/>
      <c r="G108" s="60"/>
      <c r="H108" s="60"/>
      <c r="I108" s="170"/>
      <c r="J108" s="60"/>
      <c r="K108" s="167"/>
      <c r="L108" s="60"/>
      <c r="M108" s="60"/>
      <c r="N108" s="168"/>
      <c r="O108" s="168"/>
      <c r="P108" s="168"/>
      <c r="Q108" s="168"/>
      <c r="R108" s="168"/>
      <c r="S108" s="168"/>
      <c r="T108" s="168"/>
      <c r="U108" s="169"/>
      <c r="V108" s="169"/>
      <c r="W108" s="45"/>
      <c r="X108" s="166"/>
      <c r="Y108" s="16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0"/>
      <c r="E109" s="60"/>
      <c r="F109" s="60"/>
      <c r="G109" s="60"/>
      <c r="H109" s="60"/>
      <c r="I109" s="60"/>
      <c r="J109" s="60"/>
      <c r="K109" s="167"/>
      <c r="L109" s="60"/>
      <c r="M109" s="60"/>
      <c r="N109" s="168"/>
      <c r="O109" s="168"/>
      <c r="P109" s="168"/>
      <c r="Q109" s="168"/>
      <c r="R109" s="168"/>
      <c r="S109" s="168"/>
      <c r="T109" s="168"/>
      <c r="U109" s="169"/>
      <c r="V109" s="169"/>
      <c r="W109" s="45"/>
      <c r="X109" s="166"/>
      <c r="Y109" s="16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0"/>
      <c r="E110" s="60"/>
      <c r="F110" s="60"/>
      <c r="G110" s="60"/>
      <c r="H110" s="60"/>
      <c r="I110" s="60"/>
      <c r="J110" s="60"/>
      <c r="K110" s="167"/>
      <c r="L110" s="60"/>
      <c r="M110" s="60"/>
      <c r="N110" s="168"/>
      <c r="O110" s="168"/>
      <c r="P110" s="168"/>
      <c r="Q110" s="168"/>
      <c r="R110" s="168"/>
      <c r="S110" s="168"/>
      <c r="T110" s="168"/>
      <c r="U110" s="169"/>
      <c r="V110" s="169"/>
      <c r="W110" s="45"/>
      <c r="X110" s="166"/>
      <c r="Y110" s="16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0"/>
      <c r="E111" s="60"/>
      <c r="F111" s="60"/>
      <c r="G111" s="60"/>
      <c r="H111" s="60"/>
      <c r="I111" s="60"/>
      <c r="J111" s="60"/>
      <c r="K111" s="167"/>
      <c r="L111" s="60"/>
      <c r="M111" s="60"/>
      <c r="N111" s="168"/>
      <c r="O111" s="168"/>
      <c r="P111" s="168"/>
      <c r="Q111" s="168"/>
      <c r="R111" s="168"/>
      <c r="S111" s="168"/>
      <c r="T111" s="168"/>
      <c r="U111" s="169"/>
      <c r="V111" s="169"/>
      <c r="W111" s="45"/>
      <c r="X111" s="166"/>
      <c r="Y111" s="16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0"/>
      <c r="E112" s="60"/>
      <c r="F112" s="60"/>
      <c r="G112" s="60"/>
      <c r="H112" s="60"/>
      <c r="I112" s="60"/>
      <c r="J112" s="60"/>
      <c r="K112" s="167"/>
      <c r="L112" s="60"/>
      <c r="M112" s="60"/>
      <c r="N112" s="168"/>
      <c r="O112" s="168"/>
      <c r="P112" s="168"/>
      <c r="Q112" s="168"/>
      <c r="R112" s="168"/>
      <c r="S112" s="168"/>
      <c r="T112" s="168"/>
      <c r="U112" s="169"/>
      <c r="V112" s="169"/>
      <c r="W112" s="45"/>
      <c r="X112" s="166"/>
      <c r="Y112" s="16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0"/>
      <c r="E113" s="60"/>
      <c r="F113" s="60"/>
      <c r="G113" s="60"/>
      <c r="H113" s="60"/>
      <c r="I113" s="60"/>
      <c r="J113" s="60"/>
      <c r="K113" s="167"/>
      <c r="L113" s="60"/>
      <c r="M113" s="60"/>
      <c r="N113" s="168"/>
      <c r="O113" s="168"/>
      <c r="P113" s="168"/>
      <c r="Q113" s="168"/>
      <c r="R113" s="168"/>
      <c r="S113" s="168"/>
      <c r="T113" s="168"/>
      <c r="U113" s="169"/>
      <c r="V113" s="169"/>
      <c r="W113" s="45"/>
      <c r="X113" s="166"/>
      <c r="Y113" s="16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0"/>
      <c r="E114" s="60"/>
      <c r="F114" s="60"/>
      <c r="G114" s="60"/>
      <c r="H114" s="60"/>
      <c r="I114" s="60"/>
      <c r="J114" s="60"/>
      <c r="K114" s="167"/>
      <c r="L114" s="60"/>
      <c r="M114" s="60"/>
      <c r="N114" s="168"/>
      <c r="O114" s="168"/>
      <c r="P114" s="168"/>
      <c r="Q114" s="168"/>
      <c r="R114" s="168"/>
      <c r="S114" s="168"/>
      <c r="T114" s="168"/>
      <c r="U114" s="169"/>
      <c r="V114" s="169"/>
      <c r="W114" s="45"/>
      <c r="X114" s="166"/>
      <c r="Y114" s="16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0"/>
      <c r="E115" s="60"/>
      <c r="F115" s="60"/>
      <c r="G115" s="60"/>
      <c r="H115" s="60"/>
      <c r="I115" s="60"/>
      <c r="J115" s="60"/>
      <c r="K115" s="167"/>
      <c r="L115" s="60"/>
      <c r="M115" s="60"/>
      <c r="N115" s="168"/>
      <c r="O115" s="168"/>
      <c r="P115" s="168"/>
      <c r="Q115" s="168"/>
      <c r="R115" s="168"/>
      <c r="S115" s="168"/>
      <c r="T115" s="168"/>
      <c r="U115" s="169"/>
      <c r="V115" s="169"/>
      <c r="W115" s="45"/>
      <c r="X115" s="166"/>
      <c r="Y115" s="16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0"/>
      <c r="E116" s="60"/>
      <c r="F116" s="60"/>
      <c r="G116" s="60"/>
      <c r="H116" s="60"/>
      <c r="I116" s="60"/>
      <c r="J116" s="60"/>
      <c r="K116" s="167"/>
      <c r="L116" s="60"/>
      <c r="M116" s="60"/>
      <c r="N116" s="168"/>
      <c r="O116" s="168"/>
      <c r="P116" s="168"/>
      <c r="Q116" s="168"/>
      <c r="R116" s="168"/>
      <c r="S116" s="168"/>
      <c r="T116" s="168"/>
      <c r="U116" s="169"/>
      <c r="V116" s="169"/>
      <c r="W116" s="45"/>
      <c r="X116" s="166"/>
      <c r="Y116" s="16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0"/>
      <c r="E117" s="60"/>
      <c r="F117" s="60"/>
      <c r="G117" s="60"/>
      <c r="H117" s="60"/>
      <c r="I117" s="60"/>
      <c r="J117" s="60"/>
      <c r="K117" s="167"/>
      <c r="L117" s="60"/>
      <c r="M117" s="60"/>
      <c r="N117" s="168"/>
      <c r="O117" s="168"/>
      <c r="P117" s="168"/>
      <c r="Q117" s="168"/>
      <c r="R117" s="168"/>
      <c r="S117" s="168"/>
      <c r="T117" s="168"/>
      <c r="U117" s="169"/>
      <c r="V117" s="169"/>
      <c r="W117" s="45"/>
      <c r="X117" s="166"/>
      <c r="Y117" s="16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0"/>
      <c r="E118" s="60"/>
      <c r="F118" s="60"/>
      <c r="G118" s="60"/>
      <c r="H118" s="60"/>
      <c r="I118" s="60"/>
      <c r="J118" s="60"/>
      <c r="K118" s="167"/>
      <c r="L118" s="60"/>
      <c r="M118" s="60"/>
      <c r="N118" s="168"/>
      <c r="O118" s="168"/>
      <c r="P118" s="168"/>
      <c r="Q118" s="168"/>
      <c r="R118" s="168"/>
      <c r="S118" s="168"/>
      <c r="T118" s="168"/>
      <c r="U118" s="169"/>
      <c r="V118" s="169"/>
      <c r="W118" s="45"/>
      <c r="X118" s="166"/>
      <c r="Y118" s="16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169"/>
      <c r="V119" s="169"/>
      <c r="W119" s="45"/>
      <c r="X119" s="166"/>
      <c r="Y119" s="16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169"/>
      <c r="V120" s="169"/>
      <c r="W120" s="45"/>
      <c r="X120" s="166"/>
      <c r="Y120" s="16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45"/>
      <c r="V121" s="45"/>
      <c r="W121" s="45"/>
      <c r="X121" s="16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45"/>
      <c r="V122" s="45"/>
      <c r="W122" s="45"/>
      <c r="X122" s="16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25" zoomScale="70" zoomScaleNormal="70" workbookViewId="0">
      <selection activeCell="K65" sqref="K6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207</v>
      </c>
      <c r="B1" t="s">
        <v>206</v>
      </c>
      <c r="C1" s="203" t="s">
        <v>46</v>
      </c>
      <c r="D1" s="204" t="s">
        <v>0</v>
      </c>
      <c r="E1" s="204" t="s">
        <v>1</v>
      </c>
      <c r="F1" s="204" t="s">
        <v>10</v>
      </c>
      <c r="G1" s="204" t="s">
        <v>11</v>
      </c>
      <c r="H1" s="204" t="s">
        <v>23</v>
      </c>
      <c r="I1" s="205" t="s">
        <v>97</v>
      </c>
      <c r="J1" s="169"/>
      <c r="K1" s="4" t="s">
        <v>12</v>
      </c>
      <c r="L1" s="4" t="s">
        <v>7</v>
      </c>
      <c r="M1" s="4" t="s">
        <v>56</v>
      </c>
      <c r="N1" s="4" t="s">
        <v>24</v>
      </c>
      <c r="O1" s="4" t="s">
        <v>102</v>
      </c>
      <c r="P1" s="4" t="s">
        <v>25</v>
      </c>
      <c r="Q1" s="4" t="s">
        <v>122</v>
      </c>
      <c r="R1" s="4" t="s">
        <v>26</v>
      </c>
      <c r="S1" s="4" t="s">
        <v>89</v>
      </c>
      <c r="T1" s="4" t="s">
        <v>7</v>
      </c>
      <c r="U1" s="4" t="str">
        <f t="shared" ref="U1:U14" si="0">K1</f>
        <v>Charger Pwr, W</v>
      </c>
      <c r="V1" s="4" t="s">
        <v>156</v>
      </c>
      <c r="W1" s="4" t="s">
        <v>123</v>
      </c>
      <c r="X1" s="4" t="s">
        <v>135</v>
      </c>
      <c r="Y1" s="4" t="s">
        <v>42</v>
      </c>
      <c r="Z1" s="4" t="s">
        <v>143</v>
      </c>
      <c r="AA1" s="4" t="s">
        <v>245</v>
      </c>
      <c r="AB1" s="4" t="s">
        <v>246</v>
      </c>
      <c r="AC1" s="4" t="s">
        <v>151</v>
      </c>
      <c r="AD1" s="4" t="s">
        <v>152</v>
      </c>
      <c r="AE1" s="4" t="s">
        <v>153</v>
      </c>
      <c r="AF1" s="4" t="s">
        <v>199</v>
      </c>
      <c r="AG1" s="4" t="s">
        <v>158</v>
      </c>
      <c r="AH1" s="4" t="s">
        <v>61</v>
      </c>
      <c r="AI1" s="4" t="s">
        <v>58</v>
      </c>
      <c r="AJ1" s="4" t="s">
        <v>62</v>
      </c>
      <c r="AK1" s="4" t="s">
        <v>59</v>
      </c>
      <c r="AL1" s="4" t="s">
        <v>94</v>
      </c>
      <c r="AM1" s="4" t="s">
        <v>95</v>
      </c>
      <c r="AN1" s="4" t="s">
        <v>90</v>
      </c>
      <c r="AO1" s="4" t="s">
        <v>91</v>
      </c>
      <c r="AP1" s="4" t="s">
        <v>78</v>
      </c>
      <c r="AQ1" s="4" t="s">
        <v>124</v>
      </c>
      <c r="AR1" s="4" t="s">
        <v>77</v>
      </c>
      <c r="AS1" s="4" t="s">
        <v>74</v>
      </c>
      <c r="AT1" s="4" t="s">
        <v>92</v>
      </c>
      <c r="AU1" s="4" t="s">
        <v>171</v>
      </c>
      <c r="AX1" s="4"/>
      <c r="AY1" s="4"/>
    </row>
    <row r="2" spans="1:51" x14ac:dyDescent="0.25">
      <c r="A2" t="s">
        <v>208</v>
      </c>
      <c r="B2" t="s">
        <v>187</v>
      </c>
      <c r="C2" s="200">
        <f t="shared" ref="C2:C14" si="1">D2/180+1</f>
        <v>1.037117754097554</v>
      </c>
      <c r="D2" s="242">
        <f>EXP((0-$Q$42)/$R$42)</f>
        <v>6.6811957375597357</v>
      </c>
      <c r="E2" s="98">
        <v>3.3E-3</v>
      </c>
      <c r="F2" s="98">
        <v>12.19</v>
      </c>
      <c r="G2" s="98">
        <v>0.14199999999999999</v>
      </c>
      <c r="H2" s="128">
        <v>1.0000000000000001E+32</v>
      </c>
      <c r="I2" s="171">
        <v>1.0000000000000001E+32</v>
      </c>
      <c r="J2" s="169"/>
      <c r="K2" s="2">
        <f t="shared" ref="K2:K14" si="2">F2*G2</f>
        <v>1.7309799999999997</v>
      </c>
      <c r="L2" s="209">
        <f t="shared" ref="L2:L14" si="3">D2</f>
        <v>6.6811957375597357</v>
      </c>
      <c r="M2" s="214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38">
        <f t="shared" si="0"/>
        <v>1.7309799999999997</v>
      </c>
      <c r="V2" s="1">
        <f>($U2-$U$2)</f>
        <v>0</v>
      </c>
      <c r="W2" s="214">
        <f>($U2-$U$2)*0.001341022</f>
        <v>0</v>
      </c>
      <c r="X2" s="207">
        <v>0</v>
      </c>
      <c r="Y2" s="207">
        <v>0</v>
      </c>
      <c r="Z2" s="208">
        <f>$Q$38*(P2/$Q$31/100)^2</f>
        <v>7.5021579327112167E-58</v>
      </c>
      <c r="AA2" s="209">
        <f t="shared" ref="AA2:AA14" si="9">SQRT(Z2^3/4/$Q$28/$Q$34)</f>
        <v>2.0154592931120451E-85</v>
      </c>
      <c r="AB2" s="1"/>
      <c r="AC2" s="138">
        <f t="shared" ref="AC2:AC14" si="10">SQRT(Z2/$Q$34/$Q$28)</f>
        <v>5.3730121684699729E-28</v>
      </c>
      <c r="AD2" s="155">
        <f t="shared" ref="AD2:AD13" si="11">AC2*1/1.6/1000*3600</f>
        <v>1.2089277379057438E-27</v>
      </c>
      <c r="AE2" s="4">
        <f t="shared" ref="AE2:AE14" si="12">Q2/60*PI()*$C$40/1000</f>
        <v>0</v>
      </c>
      <c r="AF2" s="138">
        <f>AE2/AC2</f>
        <v>0</v>
      </c>
      <c r="AH2" s="208">
        <f t="shared" ref="AH2:AH14" si="13">D2/$Q$32*$Q$24</f>
        <v>0.18558877048777042</v>
      </c>
      <c r="AI2" s="208">
        <f t="shared" ref="AI2:AI14" si="14">AH2/$Q$24*$Q$32</f>
        <v>6.6811957375597357</v>
      </c>
      <c r="AJ2" s="209">
        <f t="shared" ref="AJ2:AJ14" si="15">MAX(($Q$42+$R$42*LN($AI2)),0)</f>
        <v>0</v>
      </c>
      <c r="AK2" s="209">
        <f t="shared" ref="AK2:AK14" si="16">MAX(($Q$42+$R$42*LN(AI2))/$Q$31,0)</f>
        <v>0</v>
      </c>
      <c r="AL2" s="209">
        <f t="shared" ref="AL2:AL14" si="17">($Q$43+$R$43*AK2*$Q$31)/$Q$31</f>
        <v>-13.269598334813466</v>
      </c>
      <c r="AM2" s="209">
        <f t="shared" ref="AM2:AM14" si="18">($Q$44+$R$44*AL2*$Q$31)/$Q$31</f>
        <v>4.5404925744912582E-2</v>
      </c>
      <c r="AN2" s="1"/>
      <c r="AO2" s="1">
        <f t="shared" ref="AO2:AO14" si="19">MAX($Q$43+$R$43*AJ2, 0)</f>
        <v>0</v>
      </c>
      <c r="AP2" s="207"/>
      <c r="AQ2" s="207"/>
      <c r="AR2" s="207"/>
      <c r="AS2" s="1"/>
      <c r="AT2" s="207"/>
      <c r="AU2" s="1"/>
    </row>
    <row r="3" spans="1:51" ht="15" customHeight="1" x14ac:dyDescent="0.25">
      <c r="A3" t="s">
        <v>209</v>
      </c>
      <c r="B3" t="s">
        <v>187</v>
      </c>
      <c r="C3" s="200">
        <f t="shared" si="1"/>
        <v>1.05</v>
      </c>
      <c r="D3" s="72">
        <v>9</v>
      </c>
      <c r="E3" s="98">
        <v>3.6</v>
      </c>
      <c r="F3" s="72">
        <v>12.17</v>
      </c>
      <c r="G3" s="96">
        <v>0.32</v>
      </c>
      <c r="H3" s="72">
        <v>7340</v>
      </c>
      <c r="I3" s="171">
        <v>1.0000000000000001E+32</v>
      </c>
      <c r="J3" s="60"/>
      <c r="K3" s="2">
        <f t="shared" si="2"/>
        <v>3.8944000000000001</v>
      </c>
      <c r="L3" s="1">
        <f t="shared" si="3"/>
        <v>9</v>
      </c>
      <c r="M3" s="214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38">
        <f>K3</f>
        <v>3.8944000000000001</v>
      </c>
      <c r="V3" s="1">
        <f t="shared" ref="V3:V14" si="20">($U3-$U$2)</f>
        <v>2.1634200000000003</v>
      </c>
      <c r="W3" s="214">
        <f t="shared" ref="W3:W14" si="21">($U3-$U$2)*0.001341022</f>
        <v>2.9011938152400008E-3</v>
      </c>
      <c r="X3" s="210">
        <f>$W3/$P3*5252</f>
        <v>1.8640015532580192E-3</v>
      </c>
      <c r="Y3" s="210">
        <f>X3-$X$3</f>
        <v>0</v>
      </c>
      <c r="Z3" s="208">
        <f t="shared" ref="Z3:Z13" si="22">$Q$38*(P3/$Q$31/100)^2</f>
        <v>0.13924964051836486</v>
      </c>
      <c r="AA3" s="209">
        <f t="shared" si="9"/>
        <v>0.50966622136256401</v>
      </c>
      <c r="AB3" s="2">
        <f>AA3/U3*100</f>
        <v>13.087156464733052</v>
      </c>
      <c r="AC3" s="138">
        <f t="shared" si="10"/>
        <v>7.3201800660353866</v>
      </c>
      <c r="AD3" s="155">
        <f t="shared" si="11"/>
        <v>16.470405148579619</v>
      </c>
      <c r="AE3" s="4">
        <f t="shared" si="12"/>
        <v>1.7278759594743859E-27</v>
      </c>
      <c r="AF3" s="138">
        <f t="shared" ref="AF3:AF14" si="23">AE3/AC3</f>
        <v>2.3604282188241368E-28</v>
      </c>
      <c r="AH3" s="208">
        <f t="shared" si="13"/>
        <v>0.25</v>
      </c>
      <c r="AI3" s="208">
        <f t="shared" si="14"/>
        <v>9</v>
      </c>
      <c r="AJ3" s="209">
        <f t="shared" si="15"/>
        <v>3729.6385021300412</v>
      </c>
      <c r="AK3" s="209">
        <f t="shared" si="16"/>
        <v>8.0938335549697076</v>
      </c>
      <c r="AL3" s="209">
        <f t="shared" si="17"/>
        <v>-5.5215603472329233</v>
      </c>
      <c r="AM3" s="209">
        <f t="shared" si="18"/>
        <v>8.1330184277578077</v>
      </c>
      <c r="AN3" s="1"/>
      <c r="AO3" s="1">
        <f t="shared" si="19"/>
        <v>0</v>
      </c>
      <c r="AP3" s="207">
        <f t="shared" ref="AP3:AP14" si="24">MAX($J$48+$AJ3*($K$48+$AJ3*$L$48), 0)</f>
        <v>0</v>
      </c>
      <c r="AQ3" s="207">
        <f>AJ3*AP3/5252</f>
        <v>0</v>
      </c>
      <c r="AR3" s="211">
        <f t="shared" ref="AR3:AR14" si="25">MAX($K$48+$L$48*2*AJ3,1E-32)</f>
        <v>2.1320278842575145E-7</v>
      </c>
      <c r="AS3" s="208"/>
      <c r="AT3" s="1"/>
      <c r="AU3" s="208"/>
      <c r="AX3" s="111"/>
      <c r="AY3" s="87"/>
    </row>
    <row r="4" spans="1:51" ht="15" customHeight="1" x14ac:dyDescent="0.25">
      <c r="A4" t="s">
        <v>210</v>
      </c>
      <c r="B4" t="s">
        <v>220</v>
      </c>
      <c r="C4" s="200">
        <f t="shared" si="1"/>
        <v>1.0722222222222222</v>
      </c>
      <c r="D4" s="72">
        <v>13</v>
      </c>
      <c r="E4" s="98">
        <v>0.26</v>
      </c>
      <c r="F4" s="72">
        <v>12.17</v>
      </c>
      <c r="G4" s="96">
        <v>0.45400000000000001</v>
      </c>
      <c r="H4" s="72">
        <v>5820</v>
      </c>
      <c r="I4" s="77">
        <v>17300</v>
      </c>
      <c r="J4" s="60"/>
      <c r="K4" s="2">
        <f t="shared" si="2"/>
        <v>5.5251799999999998</v>
      </c>
      <c r="L4" s="1">
        <f t="shared" si="3"/>
        <v>13</v>
      </c>
      <c r="M4" s="214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38">
        <f t="shared" si="0"/>
        <v>5.5251799999999998</v>
      </c>
      <c r="V4" s="209">
        <f t="shared" si="20"/>
        <v>3.7942</v>
      </c>
      <c r="W4" s="214">
        <f t="shared" si="21"/>
        <v>5.0881056724000001E-3</v>
      </c>
      <c r="X4" s="210">
        <f t="shared" ref="X4:X14" si="26">$W4/$P4*5252</f>
        <v>2.592104906170145E-3</v>
      </c>
      <c r="Y4" s="210">
        <f t="shared" ref="Y4:Y14" si="27">X4-$X$3</f>
        <v>7.2810335291212586E-4</v>
      </c>
      <c r="Z4" s="208">
        <f t="shared" si="22"/>
        <v>0.22148291625958655</v>
      </c>
      <c r="AA4" s="209">
        <f t="shared" si="9"/>
        <v>1.0223628901812498</v>
      </c>
      <c r="AB4" s="2">
        <f t="shared" ref="AB4:AB13" si="28">AA4/U4*100</f>
        <v>18.503702869069421</v>
      </c>
      <c r="AC4" s="138">
        <f t="shared" si="10"/>
        <v>9.2319796709106097</v>
      </c>
      <c r="AD4" s="155">
        <f t="shared" si="11"/>
        <v>20.77195425954887</v>
      </c>
      <c r="AE4" s="155">
        <f t="shared" si="12"/>
        <v>9.9877223091004996</v>
      </c>
      <c r="AF4" s="138">
        <f t="shared" si="23"/>
        <v>1.0818613845707641</v>
      </c>
      <c r="AG4" s="131"/>
      <c r="AH4" s="208">
        <f t="shared" si="13"/>
        <v>0.36111111111111105</v>
      </c>
      <c r="AI4" s="208">
        <f t="shared" si="14"/>
        <v>12.999999999999998</v>
      </c>
      <c r="AJ4" s="209">
        <f t="shared" si="15"/>
        <v>8333.0404142488842</v>
      </c>
      <c r="AK4" s="209">
        <f t="shared" si="16"/>
        <v>18.083855065644279</v>
      </c>
      <c r="AL4" s="209">
        <f t="shared" si="17"/>
        <v>4.0416541216298496</v>
      </c>
      <c r="AM4" s="209">
        <f t="shared" si="18"/>
        <v>18.11536267865009</v>
      </c>
      <c r="AN4" s="2">
        <f t="shared" ref="AN4:AN14" si="29">AO4/$Q$31</f>
        <v>4.0416541216298523</v>
      </c>
      <c r="AO4" s="3">
        <f t="shared" si="19"/>
        <v>1862.3942192470358</v>
      </c>
      <c r="AP4" s="207">
        <f t="shared" si="24"/>
        <v>9.692031962258243E-5</v>
      </c>
      <c r="AQ4" s="207">
        <f t="shared" ref="AQ4:AQ14" si="30">AJ4*AP4/5252</f>
        <v>1.5377778758128306E-4</v>
      </c>
      <c r="AR4" s="211">
        <f t="shared" si="25"/>
        <v>3.1333590050170288E-7</v>
      </c>
      <c r="AS4" s="208">
        <f t="shared" ref="AS4:AS14" si="31">$Q$36/AR4</f>
        <v>0.11944631127448137</v>
      </c>
      <c r="AT4" s="1"/>
      <c r="AU4" s="208"/>
      <c r="AX4" s="110"/>
      <c r="AY4" s="87"/>
    </row>
    <row r="5" spans="1:51" ht="13.9" customHeight="1" x14ac:dyDescent="0.25">
      <c r="A5" t="s">
        <v>211</v>
      </c>
      <c r="B5" s="156">
        <v>16</v>
      </c>
      <c r="C5" s="200">
        <f t="shared" si="1"/>
        <v>1.1333333333333333</v>
      </c>
      <c r="D5" s="72">
        <v>24</v>
      </c>
      <c r="E5" s="72">
        <v>0.7</v>
      </c>
      <c r="F5" s="72">
        <v>12.14</v>
      </c>
      <c r="G5" s="72">
        <v>1.0900000000000001</v>
      </c>
      <c r="H5" s="72">
        <v>3740</v>
      </c>
      <c r="I5" s="77">
        <v>6700</v>
      </c>
      <c r="J5" s="60"/>
      <c r="K5" s="2">
        <f t="shared" si="2"/>
        <v>13.232600000000001</v>
      </c>
      <c r="L5" s="1">
        <f t="shared" si="3"/>
        <v>24</v>
      </c>
      <c r="M5" s="214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38">
        <f t="shared" si="0"/>
        <v>13.232600000000001</v>
      </c>
      <c r="V5" s="209">
        <f t="shared" si="20"/>
        <v>11.501620000000003</v>
      </c>
      <c r="W5" s="214">
        <f t="shared" si="21"/>
        <v>1.5423925455640005E-2</v>
      </c>
      <c r="X5" s="210">
        <f t="shared" si="26"/>
        <v>5.0494024547316609E-3</v>
      </c>
      <c r="Y5" s="210">
        <f t="shared" si="27"/>
        <v>3.185400901473642E-3</v>
      </c>
      <c r="Z5" s="208">
        <f t="shared" si="22"/>
        <v>0.53634347083925882</v>
      </c>
      <c r="AA5" s="209">
        <f t="shared" si="9"/>
        <v>3.8526470525384466</v>
      </c>
      <c r="AB5" s="2">
        <f t="shared" si="28"/>
        <v>29.114815323809729</v>
      </c>
      <c r="AC5" s="138">
        <f t="shared" si="10"/>
        <v>14.366342696443779</v>
      </c>
      <c r="AD5" s="155">
        <f t="shared" si="11"/>
        <v>32.324271066998499</v>
      </c>
      <c r="AE5" s="155">
        <f t="shared" si="12"/>
        <v>25.789193424990842</v>
      </c>
      <c r="AF5" s="138">
        <f t="shared" si="23"/>
        <v>1.7951119481073396</v>
      </c>
      <c r="AG5" s="131"/>
      <c r="AH5" s="208">
        <f t="shared" si="13"/>
        <v>0.66666666666666663</v>
      </c>
      <c r="AI5" s="208">
        <f t="shared" si="14"/>
        <v>24</v>
      </c>
      <c r="AJ5" s="209">
        <f t="shared" si="15"/>
        <v>16008.254202811288</v>
      </c>
      <c r="AK5" s="209">
        <f t="shared" si="16"/>
        <v>34.740134988739776</v>
      </c>
      <c r="AL5" s="209">
        <f t="shared" si="17"/>
        <v>19.986322207456581</v>
      </c>
      <c r="AM5" s="209">
        <f t="shared" si="18"/>
        <v>34.75884237025064</v>
      </c>
      <c r="AN5" s="2">
        <f t="shared" si="29"/>
        <v>19.986322207456581</v>
      </c>
      <c r="AO5" s="3">
        <f t="shared" si="19"/>
        <v>9209.6972731959922</v>
      </c>
      <c r="AP5" s="207">
        <f t="shared" si="24"/>
        <v>3.1425330605874798E-3</v>
      </c>
      <c r="AQ5" s="207">
        <f t="shared" si="30"/>
        <v>9.5785354292884511E-3</v>
      </c>
      <c r="AR5" s="211">
        <f t="shared" si="25"/>
        <v>4.8028700691579907E-7</v>
      </c>
      <c r="AS5" s="208">
        <f t="shared" si="31"/>
        <v>7.7925942126012504E-2</v>
      </c>
      <c r="AT5" s="212">
        <f t="shared" ref="AT5:AT14" si="32">$Q$45*$Q$28*$Q$37^2*$Q$34*PI()/240*($AC5-$Q$47)/$Q$46*$Q$35</f>
        <v>-1.1653752066896809E-7</v>
      </c>
      <c r="AU5" s="145">
        <f t="shared" ref="AU5" si="33">-$Q$36/AT5</f>
        <v>0.32115680246115302</v>
      </c>
      <c r="AX5" s="110"/>
      <c r="AY5" s="87"/>
    </row>
    <row r="6" spans="1:51" ht="13.9" customHeight="1" x14ac:dyDescent="0.25">
      <c r="A6" t="s">
        <v>212</v>
      </c>
      <c r="B6" s="156">
        <v>20</v>
      </c>
      <c r="C6" s="200">
        <f t="shared" si="1"/>
        <v>1.1555555555555554</v>
      </c>
      <c r="D6" s="72">
        <v>28</v>
      </c>
      <c r="E6" s="72">
        <v>0.78</v>
      </c>
      <c r="F6" s="72">
        <v>12.14</v>
      </c>
      <c r="G6" s="72">
        <v>1.29</v>
      </c>
      <c r="H6" s="72">
        <v>3460</v>
      </c>
      <c r="I6" s="77">
        <v>5640</v>
      </c>
      <c r="J6" s="60"/>
      <c r="K6" s="2">
        <f t="shared" si="2"/>
        <v>15.660600000000001</v>
      </c>
      <c r="L6" s="1">
        <f t="shared" si="3"/>
        <v>28</v>
      </c>
      <c r="M6" s="214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38">
        <f t="shared" si="0"/>
        <v>15.660600000000001</v>
      </c>
      <c r="V6" s="209">
        <f t="shared" si="20"/>
        <v>13.92962</v>
      </c>
      <c r="W6" s="214">
        <f t="shared" si="21"/>
        <v>1.8679926871640003E-2</v>
      </c>
      <c r="X6" s="210">
        <f t="shared" si="26"/>
        <v>5.6575022786215391E-3</v>
      </c>
      <c r="Y6" s="210">
        <f t="shared" si="27"/>
        <v>3.7935007253635201E-3</v>
      </c>
      <c r="Z6" s="208">
        <f t="shared" si="22"/>
        <v>0.62666292999358642</v>
      </c>
      <c r="AA6" s="209">
        <f t="shared" si="9"/>
        <v>4.8657045496887097</v>
      </c>
      <c r="AB6" s="2">
        <f t="shared" si="28"/>
        <v>31.069719868259899</v>
      </c>
      <c r="AC6" s="138">
        <f t="shared" si="10"/>
        <v>15.528936903092411</v>
      </c>
      <c r="AD6" s="155">
        <f t="shared" si="11"/>
        <v>34.940108031957919</v>
      </c>
      <c r="AE6" s="155">
        <f t="shared" si="12"/>
        <v>30.63609857224089</v>
      </c>
      <c r="AF6" s="138">
        <f t="shared" si="23"/>
        <v>1.9728394006250396</v>
      </c>
      <c r="AG6" s="131"/>
      <c r="AH6" s="208">
        <f t="shared" si="13"/>
        <v>0.77777777777777779</v>
      </c>
      <c r="AI6" s="208">
        <f t="shared" si="14"/>
        <v>28</v>
      </c>
      <c r="AJ6" s="209">
        <f t="shared" si="15"/>
        <v>17938.005942765791</v>
      </c>
      <c r="AK6" s="209">
        <f t="shared" si="16"/>
        <v>38.92796428551604</v>
      </c>
      <c r="AL6" s="209">
        <f t="shared" si="17"/>
        <v>23.995233467684084</v>
      </c>
      <c r="AM6" s="209">
        <f t="shared" si="18"/>
        <v>38.943453350289467</v>
      </c>
      <c r="AN6" s="2">
        <f t="shared" si="29"/>
        <v>23.995233467684077</v>
      </c>
      <c r="AO6" s="3">
        <f t="shared" si="19"/>
        <v>11057.003581908823</v>
      </c>
      <c r="AP6" s="207">
        <f t="shared" si="24"/>
        <v>4.1098693037237254E-3</v>
      </c>
      <c r="AQ6" s="207">
        <f t="shared" si="30"/>
        <v>1.4037102055252645E-2</v>
      </c>
      <c r="AR6" s="211">
        <f t="shared" si="25"/>
        <v>5.2226293057932422E-7</v>
      </c>
      <c r="AS6" s="208">
        <f t="shared" si="31"/>
        <v>7.1662787675319667E-2</v>
      </c>
      <c r="AT6" s="212">
        <f t="shared" si="32"/>
        <v>-1.378191030227769E-7</v>
      </c>
      <c r="AU6" s="145">
        <f t="shared" ref="AU6:AU14" si="34">-$Q$36/AT6</f>
        <v>0.27156480258481236</v>
      </c>
      <c r="AX6" s="110"/>
      <c r="AY6" s="87"/>
    </row>
    <row r="7" spans="1:51" ht="13.9" customHeight="1" x14ac:dyDescent="0.25">
      <c r="A7" t="s">
        <v>213</v>
      </c>
      <c r="B7" s="156">
        <v>25</v>
      </c>
      <c r="C7" s="200">
        <f t="shared" si="1"/>
        <v>1.2</v>
      </c>
      <c r="D7" s="72">
        <v>36</v>
      </c>
      <c r="E7" s="72">
        <v>1.012</v>
      </c>
      <c r="F7" s="72">
        <v>12.11</v>
      </c>
      <c r="G7" s="72">
        <v>1.8839999999999999</v>
      </c>
      <c r="H7" s="72">
        <v>2980</v>
      </c>
      <c r="I7" s="77">
        <v>4440</v>
      </c>
      <c r="J7" s="60"/>
      <c r="K7" s="2">
        <f t="shared" si="2"/>
        <v>22.815239999999999</v>
      </c>
      <c r="L7" s="1">
        <f t="shared" si="3"/>
        <v>36</v>
      </c>
      <c r="M7" s="214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38">
        <f t="shared" si="0"/>
        <v>22.815239999999999</v>
      </c>
      <c r="V7" s="209">
        <f t="shared" si="20"/>
        <v>21.08426</v>
      </c>
      <c r="W7" s="214">
        <f t="shared" si="21"/>
        <v>2.8274456513720004E-2</v>
      </c>
      <c r="X7" s="210">
        <f t="shared" si="26"/>
        <v>7.3753731319661864E-3</v>
      </c>
      <c r="Y7" s="210">
        <f t="shared" si="27"/>
        <v>5.5113715787081675E-3</v>
      </c>
      <c r="Z7" s="208">
        <f t="shared" si="22"/>
        <v>0.84479955100121806</v>
      </c>
      <c r="AA7" s="209">
        <f t="shared" si="9"/>
        <v>7.6159702473951594</v>
      </c>
      <c r="AB7" s="2">
        <f t="shared" si="28"/>
        <v>33.381065670995177</v>
      </c>
      <c r="AC7" s="138">
        <f t="shared" si="10"/>
        <v>18.030242176073738</v>
      </c>
      <c r="AD7" s="155">
        <f t="shared" si="11"/>
        <v>40.568044896165901</v>
      </c>
      <c r="AE7" s="155">
        <f t="shared" si="12"/>
        <v>38.916125213387083</v>
      </c>
      <c r="AF7" s="138">
        <f t="shared" si="23"/>
        <v>2.1583806159314411</v>
      </c>
      <c r="AG7" s="131"/>
      <c r="AH7" s="208">
        <f t="shared" si="13"/>
        <v>1</v>
      </c>
      <c r="AI7" s="208">
        <f t="shared" si="14"/>
        <v>36</v>
      </c>
      <c r="AJ7" s="213">
        <f t="shared" si="15"/>
        <v>21084.112439306809</v>
      </c>
      <c r="AK7" s="213">
        <f t="shared" si="16"/>
        <v>45.755452342245682</v>
      </c>
      <c r="AL7" s="213">
        <f t="shared" si="17"/>
        <v>30.531028460751699</v>
      </c>
      <c r="AM7" s="213">
        <f t="shared" si="18"/>
        <v>45.765694531482751</v>
      </c>
      <c r="AN7" s="9">
        <f t="shared" si="29"/>
        <v>30.531028460751699</v>
      </c>
      <c r="AO7" s="10">
        <f t="shared" si="19"/>
        <v>14068.697914714383</v>
      </c>
      <c r="AP7" s="210">
        <f t="shared" si="24"/>
        <v>5.8606145064138918E-3</v>
      </c>
      <c r="AQ7" s="210">
        <f t="shared" si="30"/>
        <v>2.3527390559151384E-2</v>
      </c>
      <c r="AR7" s="212">
        <f t="shared" si="25"/>
        <v>5.9069698010076173E-7</v>
      </c>
      <c r="AS7" s="208">
        <f t="shared" si="31"/>
        <v>6.336043481788585E-2</v>
      </c>
      <c r="AT7" s="212">
        <f t="shared" si="32"/>
        <v>-1.8360613159607208E-7</v>
      </c>
      <c r="AU7" s="145">
        <f t="shared" si="34"/>
        <v>0.20384296090467277</v>
      </c>
      <c r="AX7" s="110"/>
      <c r="AY7" s="87"/>
    </row>
    <row r="8" spans="1:51" ht="13.9" customHeight="1" x14ac:dyDescent="0.25">
      <c r="A8" t="s">
        <v>214</v>
      </c>
      <c r="B8" s="156">
        <v>36</v>
      </c>
      <c r="C8" s="200">
        <f t="shared" si="1"/>
        <v>1.2888888888888888</v>
      </c>
      <c r="D8" s="72">
        <v>52</v>
      </c>
      <c r="E8" s="72">
        <v>1.34</v>
      </c>
      <c r="F8" s="72">
        <v>12.06</v>
      </c>
      <c r="G8" s="72">
        <v>3.07</v>
      </c>
      <c r="H8" s="72">
        <v>2430</v>
      </c>
      <c r="I8" s="77">
        <v>3360</v>
      </c>
      <c r="J8" s="60"/>
      <c r="K8" s="2">
        <f t="shared" si="2"/>
        <v>37.0242</v>
      </c>
      <c r="L8" s="1">
        <f t="shared" si="3"/>
        <v>52</v>
      </c>
      <c r="M8" s="214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38">
        <f t="shared" si="0"/>
        <v>37.0242</v>
      </c>
      <c r="V8" s="209">
        <f t="shared" si="20"/>
        <v>35.293219999999998</v>
      </c>
      <c r="W8" s="214">
        <f t="shared" si="21"/>
        <v>4.7328984470840003E-2</v>
      </c>
      <c r="X8" s="210">
        <f t="shared" si="26"/>
        <v>1.0067158970854492E-2</v>
      </c>
      <c r="Y8" s="210">
        <f t="shared" si="27"/>
        <v>8.2031574175964721E-3</v>
      </c>
      <c r="Z8" s="208">
        <f t="shared" si="22"/>
        <v>1.2704970334317633</v>
      </c>
      <c r="AA8" s="209">
        <f t="shared" si="9"/>
        <v>14.046082346983269</v>
      </c>
      <c r="AB8" s="2">
        <f t="shared" si="28"/>
        <v>37.937571499136425</v>
      </c>
      <c r="AC8" s="138">
        <f t="shared" si="10"/>
        <v>22.111161187119237</v>
      </c>
      <c r="AD8" s="155">
        <f t="shared" si="11"/>
        <v>49.750112671018279</v>
      </c>
      <c r="AE8" s="155">
        <f t="shared" si="12"/>
        <v>51.424879746261503</v>
      </c>
      <c r="AF8" s="138">
        <f t="shared" si="23"/>
        <v>2.3257430630200844</v>
      </c>
      <c r="AG8" s="131"/>
      <c r="AH8" s="208">
        <f t="shared" si="13"/>
        <v>1.4444444444444442</v>
      </c>
      <c r="AI8" s="208">
        <f t="shared" si="14"/>
        <v>51.999999999999993</v>
      </c>
      <c r="AJ8" s="209">
        <f t="shared" si="15"/>
        <v>25687.514351425656</v>
      </c>
      <c r="AK8" s="209">
        <f t="shared" si="16"/>
        <v>55.745473852920256</v>
      </c>
      <c r="AL8" s="209">
        <f t="shared" si="17"/>
        <v>40.094242929614474</v>
      </c>
      <c r="AM8" s="209">
        <f t="shared" si="18"/>
        <v>55.748038782375041</v>
      </c>
      <c r="AN8" s="2">
        <f t="shared" si="29"/>
        <v>40.094242929614481</v>
      </c>
      <c r="AO8" s="3">
        <f t="shared" si="19"/>
        <v>18475.427141966353</v>
      </c>
      <c r="AP8" s="207">
        <f t="shared" si="24"/>
        <v>8.8103065938909889E-3</v>
      </c>
      <c r="AQ8" s="207">
        <f t="shared" si="30"/>
        <v>4.3091179944979983E-2</v>
      </c>
      <c r="AR8" s="211">
        <f t="shared" si="25"/>
        <v>6.9083009217671322E-7</v>
      </c>
      <c r="AS8" s="208">
        <f t="shared" si="31"/>
        <v>5.4176588322708163E-2</v>
      </c>
      <c r="AT8" s="212">
        <f t="shared" si="32"/>
        <v>-2.5830839100534909E-7</v>
      </c>
      <c r="AU8" s="145">
        <f t="shared" si="34"/>
        <v>0.14489199270348629</v>
      </c>
      <c r="AX8" s="110"/>
      <c r="AY8" s="87"/>
    </row>
    <row r="9" spans="1:51" ht="13.9" customHeight="1" x14ac:dyDescent="0.25">
      <c r="A9" t="s">
        <v>215</v>
      </c>
      <c r="B9" s="156">
        <v>45</v>
      </c>
      <c r="C9" s="200">
        <f t="shared" si="1"/>
        <v>1.4055555555555554</v>
      </c>
      <c r="D9" s="72">
        <v>73</v>
      </c>
      <c r="E9" s="72">
        <v>1.65</v>
      </c>
      <c r="F9" s="72">
        <v>11.98</v>
      </c>
      <c r="G9" s="72">
        <v>4.68</v>
      </c>
      <c r="H9" s="72">
        <v>2040</v>
      </c>
      <c r="I9" s="77">
        <v>2740</v>
      </c>
      <c r="J9" s="60"/>
      <c r="K9" s="2">
        <f t="shared" si="2"/>
        <v>56.066400000000002</v>
      </c>
      <c r="L9" s="1">
        <f t="shared" si="3"/>
        <v>73</v>
      </c>
      <c r="M9" s="214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38">
        <f t="shared" si="0"/>
        <v>56.066400000000002</v>
      </c>
      <c r="V9" s="209">
        <f t="shared" si="20"/>
        <v>54.335419999999999</v>
      </c>
      <c r="W9" s="214">
        <f t="shared" si="21"/>
        <v>7.2864993599240008E-2</v>
      </c>
      <c r="X9" s="210">
        <f t="shared" si="26"/>
        <v>1.3011356177029089E-2</v>
      </c>
      <c r="Y9" s="210">
        <f t="shared" si="27"/>
        <v>1.1147354623771069E-2</v>
      </c>
      <c r="Z9" s="208">
        <f t="shared" si="22"/>
        <v>1.8027099992097309</v>
      </c>
      <c r="AA9" s="209">
        <f t="shared" si="9"/>
        <v>23.740153828373476</v>
      </c>
      <c r="AB9" s="2">
        <f t="shared" si="28"/>
        <v>42.34292522504294</v>
      </c>
      <c r="AC9" s="138">
        <f t="shared" si="10"/>
        <v>26.33829494348026</v>
      </c>
      <c r="AD9" s="155">
        <f t="shared" si="11"/>
        <v>59.261163622830573</v>
      </c>
      <c r="AE9" s="155">
        <f t="shared" si="12"/>
        <v>63.061166404174671</v>
      </c>
      <c r="AF9" s="145">
        <f t="shared" si="23"/>
        <v>2.3942767191079972</v>
      </c>
      <c r="AG9" s="131">
        <f>$N$42/($Q$28*$Q$37*$Q$34*($AC9-$Q$47)^2/4/$AF9)/(PI()*$Q$37/60/($AC9-$Q$47))</f>
        <v>-0.67762852494606007</v>
      </c>
      <c r="AH9" s="208">
        <f t="shared" si="13"/>
        <v>2.0277777777777777</v>
      </c>
      <c r="AI9" s="208">
        <f t="shared" si="14"/>
        <v>73</v>
      </c>
      <c r="AJ9" s="209">
        <f t="shared" si="15"/>
        <v>29934.022583352191</v>
      </c>
      <c r="AK9" s="209">
        <f t="shared" si="16"/>
        <v>64.960986509010823</v>
      </c>
      <c r="AL9" s="209">
        <f t="shared" si="17"/>
        <v>48.916038145625215</v>
      </c>
      <c r="AM9" s="209">
        <f t="shared" si="18"/>
        <v>64.956469383175516</v>
      </c>
      <c r="AN9" s="2">
        <f t="shared" si="29"/>
        <v>48.916038145625222</v>
      </c>
      <c r="AO9" s="3">
        <f t="shared" si="19"/>
        <v>22540.510377504103</v>
      </c>
      <c r="AP9" s="207">
        <f t="shared" si="24"/>
        <v>1.1940047180732638E-2</v>
      </c>
      <c r="AQ9" s="207">
        <f t="shared" si="30"/>
        <v>6.8052864043096239E-2</v>
      </c>
      <c r="AR9" s="211">
        <f t="shared" si="25"/>
        <v>7.8320005961308517E-7</v>
      </c>
      <c r="AS9" s="208">
        <f t="shared" si="31"/>
        <v>4.7787046292215356E-2</v>
      </c>
      <c r="AT9" s="212">
        <f t="shared" si="32"/>
        <v>-3.3568714847902258E-7</v>
      </c>
      <c r="AU9" s="145">
        <f t="shared" si="34"/>
        <v>0.11149314972102711</v>
      </c>
      <c r="AX9" s="110"/>
      <c r="AY9" s="87"/>
    </row>
    <row r="10" spans="1:51" ht="13.9" customHeight="1" x14ac:dyDescent="0.25">
      <c r="A10" t="s">
        <v>216</v>
      </c>
      <c r="B10" s="156">
        <v>50</v>
      </c>
      <c r="C10" s="200">
        <f t="shared" si="1"/>
        <v>1.5222222222222221</v>
      </c>
      <c r="D10" s="72">
        <v>94</v>
      </c>
      <c r="E10" s="72">
        <v>1.89</v>
      </c>
      <c r="F10" s="72">
        <v>11.91</v>
      </c>
      <c r="G10" s="72">
        <v>6.33</v>
      </c>
      <c r="H10" s="72">
        <v>1850</v>
      </c>
      <c r="I10" s="77">
        <v>2380</v>
      </c>
      <c r="J10" s="60"/>
      <c r="K10" s="2">
        <f t="shared" si="2"/>
        <v>75.390299999999996</v>
      </c>
      <c r="L10" s="1">
        <f t="shared" si="3"/>
        <v>94</v>
      </c>
      <c r="M10" s="214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38">
        <f t="shared" si="0"/>
        <v>75.390299999999996</v>
      </c>
      <c r="V10" s="209">
        <f t="shared" si="20"/>
        <v>73.659319999999994</v>
      </c>
      <c r="W10" s="214">
        <f t="shared" si="21"/>
        <v>9.8778768625039995E-2</v>
      </c>
      <c r="X10" s="210">
        <f t="shared" si="26"/>
        <v>1.5995904528576896E-2</v>
      </c>
      <c r="Y10" s="210">
        <f t="shared" si="27"/>
        <v>1.4131902975318876E-2</v>
      </c>
      <c r="Z10" s="208">
        <f t="shared" si="22"/>
        <v>2.1920110833341759</v>
      </c>
      <c r="AA10" s="209">
        <f t="shared" si="9"/>
        <v>31.831627632906962</v>
      </c>
      <c r="AB10" s="2">
        <f t="shared" si="28"/>
        <v>42.222444575637667</v>
      </c>
      <c r="AC10" s="138">
        <f t="shared" si="10"/>
        <v>29.043309018756613</v>
      </c>
      <c r="AD10" s="155">
        <f t="shared" si="11"/>
        <v>65.34744529220238</v>
      </c>
      <c r="AE10" s="155">
        <f t="shared" si="12"/>
        <v>72.599830230016238</v>
      </c>
      <c r="AF10" s="145">
        <f t="shared" si="23"/>
        <v>2.4997093197311009</v>
      </c>
      <c r="AG10" s="131"/>
      <c r="AH10" s="208">
        <f t="shared" si="13"/>
        <v>2.6111111111111112</v>
      </c>
      <c r="AI10" s="208">
        <f t="shared" si="14"/>
        <v>94</v>
      </c>
      <c r="AJ10" s="209">
        <f t="shared" si="15"/>
        <v>33099.1687896367</v>
      </c>
      <c r="AK10" s="209">
        <f t="shared" si="16"/>
        <v>71.829793380287981</v>
      </c>
      <c r="AL10" s="209">
        <f t="shared" si="17"/>
        <v>55.491386675659186</v>
      </c>
      <c r="AM10" s="209">
        <f t="shared" si="18"/>
        <v>71.81999762570409</v>
      </c>
      <c r="AN10" s="2">
        <f t="shared" si="29"/>
        <v>55.491386675659186</v>
      </c>
      <c r="AO10" s="3">
        <f t="shared" si="19"/>
        <v>25570.430980143752</v>
      </c>
      <c r="AP10" s="207">
        <f t="shared" si="24"/>
        <v>1.452794718917157E-2</v>
      </c>
      <c r="AQ10" s="207">
        <f t="shared" si="30"/>
        <v>9.1558068579839655E-2</v>
      </c>
      <c r="AR10" s="211">
        <f t="shared" si="25"/>
        <v>8.5204826054385741E-7</v>
      </c>
      <c r="AS10" s="208">
        <f t="shared" si="31"/>
        <v>4.3925701439619165E-2</v>
      </c>
      <c r="AT10" s="212">
        <f t="shared" si="32"/>
        <v>-3.8520311843826736E-7</v>
      </c>
      <c r="AU10" s="145">
        <f t="shared" si="34"/>
        <v>9.7161252630913852E-2</v>
      </c>
      <c r="AX10" s="130"/>
      <c r="AY10" s="132"/>
    </row>
    <row r="11" spans="1:51" ht="13.9" customHeight="1" x14ac:dyDescent="0.25">
      <c r="A11" t="s">
        <v>217</v>
      </c>
      <c r="B11" s="156">
        <v>52</v>
      </c>
      <c r="C11" s="200">
        <f t="shared" si="1"/>
        <v>1.55</v>
      </c>
      <c r="D11" s="72">
        <v>99</v>
      </c>
      <c r="E11" s="72">
        <v>1.93</v>
      </c>
      <c r="F11" s="72">
        <v>11.89</v>
      </c>
      <c r="G11" s="72">
        <v>6.65</v>
      </c>
      <c r="H11" s="72">
        <v>1820</v>
      </c>
      <c r="I11" s="77">
        <v>2345</v>
      </c>
      <c r="J11" s="60"/>
      <c r="K11" s="2">
        <f t="shared" si="2"/>
        <v>79.068500000000014</v>
      </c>
      <c r="L11" s="1">
        <f t="shared" si="3"/>
        <v>99</v>
      </c>
      <c r="M11" s="214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38">
        <f t="shared" si="0"/>
        <v>79.068500000000014</v>
      </c>
      <c r="V11" s="209">
        <f t="shared" si="20"/>
        <v>77.337520000000012</v>
      </c>
      <c r="W11" s="214">
        <f t="shared" si="21"/>
        <v>0.10371131574544003</v>
      </c>
      <c r="X11" s="210">
        <f t="shared" si="26"/>
        <v>1.6522318852283214E-2</v>
      </c>
      <c r="Y11" s="210">
        <f t="shared" si="27"/>
        <v>1.4658317299025194E-2</v>
      </c>
      <c r="Z11" s="208">
        <f t="shared" si="22"/>
        <v>2.2648707682378992</v>
      </c>
      <c r="AA11" s="209">
        <f t="shared" si="9"/>
        <v>33.431808235588377</v>
      </c>
      <c r="AB11" s="2">
        <f t="shared" si="28"/>
        <v>42.282082290151415</v>
      </c>
      <c r="AC11" s="138">
        <f t="shared" si="10"/>
        <v>29.522044881703152</v>
      </c>
      <c r="AD11" s="155">
        <f t="shared" si="11"/>
        <v>66.424600983832093</v>
      </c>
      <c r="AE11" s="155">
        <f t="shared" si="12"/>
        <v>73.683409785688113</v>
      </c>
      <c r="AF11" s="143">
        <f t="shared" si="23"/>
        <v>2.4958775749086</v>
      </c>
      <c r="AG11" s="139">
        <f>$N$42/($Q$28*$Q$37*$Q$34*($AC11-$Q$47)^2/4/$AF11)/(PI()*$Q$37/60/($AC11-$Q$47))</f>
        <v>-0.60188848740479528</v>
      </c>
      <c r="AH11" s="208">
        <f t="shared" si="13"/>
        <v>2.75</v>
      </c>
      <c r="AI11" s="208">
        <f t="shared" si="14"/>
        <v>99.000000000000014</v>
      </c>
      <c r="AJ11" s="209">
        <f t="shared" si="15"/>
        <v>33747.946433673147</v>
      </c>
      <c r="AK11" s="209">
        <f t="shared" si="16"/>
        <v>73.237730975853182</v>
      </c>
      <c r="AL11" s="209">
        <f t="shared" si="17"/>
        <v>56.839172480802645</v>
      </c>
      <c r="AM11" s="209">
        <f t="shared" si="18"/>
        <v>73.226853231338964</v>
      </c>
      <c r="AN11" s="2">
        <f t="shared" si="29"/>
        <v>56.839172480802645</v>
      </c>
      <c r="AO11" s="3">
        <f t="shared" si="19"/>
        <v>26191.49067915386</v>
      </c>
      <c r="AP11" s="207">
        <f t="shared" si="24"/>
        <v>1.5085314891910312E-2</v>
      </c>
      <c r="AQ11" s="207">
        <f t="shared" si="30"/>
        <v>9.6934196288515045E-2</v>
      </c>
      <c r="AR11" s="211">
        <f t="shared" si="25"/>
        <v>8.6616045969198081E-7</v>
      </c>
      <c r="AS11" s="208">
        <f t="shared" si="31"/>
        <v>4.321002775641114E-2</v>
      </c>
      <c r="AT11" s="212">
        <f t="shared" si="32"/>
        <v>-3.939665000504877E-7</v>
      </c>
      <c r="AU11" s="145">
        <f t="shared" si="34"/>
        <v>9.4999999999999987E-2</v>
      </c>
      <c r="AX11" s="110"/>
      <c r="AY11" s="87"/>
    </row>
    <row r="12" spans="1:51" ht="13.9" customHeight="1" x14ac:dyDescent="0.25">
      <c r="A12" t="s">
        <v>218</v>
      </c>
      <c r="B12" s="156">
        <v>55</v>
      </c>
      <c r="C12" s="200">
        <f t="shared" si="1"/>
        <v>1.6111111111111112</v>
      </c>
      <c r="D12" s="72">
        <v>110</v>
      </c>
      <c r="E12" s="72">
        <v>2.02</v>
      </c>
      <c r="F12" s="72">
        <v>11.85</v>
      </c>
      <c r="G12" s="72">
        <v>7.55</v>
      </c>
      <c r="H12" s="72">
        <v>1710</v>
      </c>
      <c r="I12" s="77">
        <v>2220</v>
      </c>
      <c r="J12" s="60"/>
      <c r="K12" s="2">
        <f t="shared" si="2"/>
        <v>89.467500000000001</v>
      </c>
      <c r="L12" s="1">
        <f t="shared" si="3"/>
        <v>110</v>
      </c>
      <c r="M12" s="214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38">
        <f t="shared" si="0"/>
        <v>89.467500000000001</v>
      </c>
      <c r="V12" s="209">
        <f t="shared" si="20"/>
        <v>87.736519999999999</v>
      </c>
      <c r="W12" s="214">
        <f t="shared" si="21"/>
        <v>0.11765660352344001</v>
      </c>
      <c r="X12" s="210">
        <f t="shared" si="26"/>
        <v>1.7611075728595545E-2</v>
      </c>
      <c r="Y12" s="210">
        <f t="shared" si="27"/>
        <v>1.5747074175337526E-2</v>
      </c>
      <c r="Z12" s="208">
        <f t="shared" si="22"/>
        <v>2.5656297434120643</v>
      </c>
      <c r="AA12" s="209">
        <f t="shared" si="9"/>
        <v>40.30748488637871</v>
      </c>
      <c r="AB12" s="2">
        <f t="shared" si="28"/>
        <v>45.052655865402194</v>
      </c>
      <c r="AC12" s="138">
        <f t="shared" si="10"/>
        <v>31.421123792222069</v>
      </c>
      <c r="AD12" s="155">
        <f t="shared" si="11"/>
        <v>70.697528532499646</v>
      </c>
      <c r="AE12" s="155">
        <f t="shared" si="12"/>
        <v>77.832250426774166</v>
      </c>
      <c r="AF12" s="145">
        <f t="shared" si="23"/>
        <v>2.4770676867401105</v>
      </c>
      <c r="AG12" s="131"/>
      <c r="AH12" s="208">
        <f t="shared" si="13"/>
        <v>3.0555555555555558</v>
      </c>
      <c r="AI12" s="208">
        <f t="shared" si="14"/>
        <v>110.00000000000001</v>
      </c>
      <c r="AJ12" s="209">
        <f t="shared" si="15"/>
        <v>35066.913295454338</v>
      </c>
      <c r="AK12" s="209">
        <f t="shared" si="16"/>
        <v>76.100072255760281</v>
      </c>
      <c r="AL12" s="209">
        <f t="shared" si="17"/>
        <v>59.579224993560686</v>
      </c>
      <c r="AM12" s="209">
        <f t="shared" si="18"/>
        <v>76.086994822529888</v>
      </c>
      <c r="AN12" s="2">
        <f t="shared" si="29"/>
        <v>59.579224993560686</v>
      </c>
      <c r="AO12" s="3">
        <f t="shared" si="19"/>
        <v>27454.106877032766</v>
      </c>
      <c r="AP12" s="207">
        <f t="shared" si="24"/>
        <v>1.6246672508802271E-2</v>
      </c>
      <c r="AQ12" s="207">
        <f t="shared" si="30"/>
        <v>0.1084768956979838</v>
      </c>
      <c r="AR12" s="211">
        <f t="shared" si="25"/>
        <v>8.9485060213805108E-7</v>
      </c>
      <c r="AS12" s="208">
        <f t="shared" si="31"/>
        <v>4.1824654769604085E-2</v>
      </c>
      <c r="AT12" s="212">
        <f t="shared" si="32"/>
        <v>-4.2872962204048442E-7</v>
      </c>
      <c r="AU12" s="145">
        <f t="shared" si="34"/>
        <v>8.7297017935612009E-2</v>
      </c>
      <c r="AX12" s="110"/>
      <c r="AY12" s="87"/>
    </row>
    <row r="13" spans="1:51" ht="13.9" customHeight="1" x14ac:dyDescent="0.25">
      <c r="A13" t="s">
        <v>218</v>
      </c>
      <c r="B13" s="156">
        <v>62</v>
      </c>
      <c r="C13" s="200">
        <f t="shared" si="1"/>
        <v>1.7333333333333334</v>
      </c>
      <c r="D13" s="72">
        <v>132</v>
      </c>
      <c r="E13" s="72">
        <v>2.2200000000000002</v>
      </c>
      <c r="F13" s="72">
        <v>11.77</v>
      </c>
      <c r="G13" s="72">
        <v>9.31</v>
      </c>
      <c r="H13" s="72">
        <v>1610</v>
      </c>
      <c r="I13" s="77">
        <v>2030</v>
      </c>
      <c r="J13" s="60"/>
      <c r="K13" s="2">
        <f t="shared" si="2"/>
        <v>109.5787</v>
      </c>
      <c r="L13" s="1">
        <f t="shared" si="3"/>
        <v>132</v>
      </c>
      <c r="M13" s="214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38">
        <f t="shared" si="0"/>
        <v>109.5787</v>
      </c>
      <c r="V13" s="209">
        <f t="shared" si="20"/>
        <v>107.84772</v>
      </c>
      <c r="W13" s="214">
        <f t="shared" si="21"/>
        <v>0.14462616516984</v>
      </c>
      <c r="X13" s="210">
        <f t="shared" si="26"/>
        <v>2.0381972622498658E-2</v>
      </c>
      <c r="Y13" s="210">
        <f t="shared" si="27"/>
        <v>1.8517971069240639E-2</v>
      </c>
      <c r="Z13" s="208">
        <f t="shared" si="22"/>
        <v>2.8942393938162949</v>
      </c>
      <c r="AA13" s="209">
        <f t="shared" si="9"/>
        <v>48.294358638012774</v>
      </c>
      <c r="AB13" s="2">
        <f t="shared" si="28"/>
        <v>44.072761073103415</v>
      </c>
      <c r="AC13" s="138">
        <f t="shared" si="10"/>
        <v>33.37274638801226</v>
      </c>
      <c r="AD13" s="155">
        <f t="shared" si="11"/>
        <v>75.088679373027588</v>
      </c>
      <c r="AE13" s="155">
        <f t="shared" si="12"/>
        <v>85.117042338639706</v>
      </c>
      <c r="AF13" s="145">
        <f t="shared" si="23"/>
        <v>2.550495585500101</v>
      </c>
      <c r="AG13" s="131"/>
      <c r="AH13" s="208">
        <f t="shared" si="13"/>
        <v>3.6666666666666665</v>
      </c>
      <c r="AI13" s="208">
        <f t="shared" si="14"/>
        <v>132</v>
      </c>
      <c r="AJ13" s="209">
        <f t="shared" si="15"/>
        <v>37349.325165766008</v>
      </c>
      <c r="AK13" s="209">
        <f t="shared" si="16"/>
        <v>81.053223015985253</v>
      </c>
      <c r="AL13" s="209">
        <f t="shared" si="17"/>
        <v>64.320760631499823</v>
      </c>
      <c r="AM13" s="209">
        <f t="shared" si="18"/>
        <v>81.036339121969291</v>
      </c>
      <c r="AN13" s="2">
        <f t="shared" si="29"/>
        <v>64.320760631499837</v>
      </c>
      <c r="AO13" s="3">
        <f t="shared" si="19"/>
        <v>29639.006498995124</v>
      </c>
      <c r="AP13" s="207">
        <f t="shared" si="24"/>
        <v>1.8345747573751899E-2</v>
      </c>
      <c r="AQ13" s="207">
        <f t="shared" si="30"/>
        <v>0.13046483083418173</v>
      </c>
      <c r="AR13" s="211">
        <f t="shared" si="25"/>
        <v>9.4449758234452328E-7</v>
      </c>
      <c r="AS13" s="208">
        <f t="shared" si="31"/>
        <v>3.962616549201943E-2</v>
      </c>
      <c r="AT13" s="212">
        <f t="shared" si="32"/>
        <v>-4.6445456954008574E-7</v>
      </c>
      <c r="AU13" s="145">
        <f t="shared" si="34"/>
        <v>8.0582300098494611E-2</v>
      </c>
      <c r="AX13" s="110"/>
      <c r="AY13" s="87"/>
    </row>
    <row r="14" spans="1:51" ht="13.9" customHeight="1" thickBot="1" x14ac:dyDescent="0.3">
      <c r="A14" t="s">
        <v>219</v>
      </c>
      <c r="B14" t="s">
        <v>220</v>
      </c>
      <c r="C14" s="201">
        <f t="shared" si="1"/>
        <v>2</v>
      </c>
      <c r="D14" s="79">
        <v>180</v>
      </c>
      <c r="E14" s="79">
        <v>2.65</v>
      </c>
      <c r="F14" s="79">
        <v>11.51</v>
      </c>
      <c r="G14" s="79">
        <v>14.62</v>
      </c>
      <c r="H14" s="79">
        <v>1370</v>
      </c>
      <c r="I14" s="80">
        <v>1680</v>
      </c>
      <c r="J14" s="60"/>
      <c r="K14" s="2">
        <f t="shared" si="2"/>
        <v>168.27619999999999</v>
      </c>
      <c r="L14" s="1">
        <f t="shared" si="3"/>
        <v>180</v>
      </c>
      <c r="M14" s="214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38">
        <f t="shared" si="0"/>
        <v>168.27619999999999</v>
      </c>
      <c r="V14" s="209">
        <f t="shared" si="20"/>
        <v>166.54522</v>
      </c>
      <c r="W14" s="214">
        <f t="shared" si="21"/>
        <v>0.22334080401484002</v>
      </c>
      <c r="X14" s="210">
        <f t="shared" si="26"/>
        <v>2.6783178111328961E-2</v>
      </c>
      <c r="Y14" s="210">
        <f t="shared" si="27"/>
        <v>2.4919176558070941E-2</v>
      </c>
      <c r="Z14" s="143">
        <f>C34/0.224</f>
        <v>4.4249528005034611</v>
      </c>
      <c r="AA14" s="209">
        <f t="shared" si="9"/>
        <v>91.297248929319878</v>
      </c>
      <c r="AB14" s="2">
        <f>AA14/U14*100</f>
        <v>54.254403729891621</v>
      </c>
      <c r="AC14" s="138">
        <f t="shared" si="10"/>
        <v>41.264733453849395</v>
      </c>
      <c r="AD14" s="155">
        <f>AC14*1/1.6/1000*3600</f>
        <v>92.845650271161119</v>
      </c>
      <c r="AE14" s="155">
        <f t="shared" si="12"/>
        <v>102.84975949252301</v>
      </c>
      <c r="AF14" s="145">
        <f t="shared" si="23"/>
        <v>2.4924372674683695</v>
      </c>
      <c r="AG14" s="131"/>
      <c r="AH14" s="208">
        <f t="shared" si="13"/>
        <v>5</v>
      </c>
      <c r="AI14" s="208">
        <f t="shared" si="14"/>
        <v>180</v>
      </c>
      <c r="AJ14" s="209">
        <f t="shared" si="15"/>
        <v>41232.032742667434</v>
      </c>
      <c r="AK14" s="209">
        <f t="shared" si="16"/>
        <v>89.479237722802594</v>
      </c>
      <c r="AL14" s="209">
        <f t="shared" si="17"/>
        <v>72.386787884092314</v>
      </c>
      <c r="AM14" s="209">
        <f t="shared" si="18"/>
        <v>89.455878497000398</v>
      </c>
      <c r="AN14" s="2">
        <f t="shared" si="29"/>
        <v>72.386787884092286</v>
      </c>
      <c r="AO14" s="3">
        <f t="shared" si="19"/>
        <v>33355.831856989724</v>
      </c>
      <c r="AP14" s="207">
        <f t="shared" si="24"/>
        <v>2.2176915599306801E-2</v>
      </c>
      <c r="AQ14" s="207">
        <f t="shared" si="30"/>
        <v>0.174104971462679</v>
      </c>
      <c r="AR14" s="211">
        <f t="shared" si="25"/>
        <v>1.0289541647542625E-6</v>
      </c>
      <c r="AS14" s="208">
        <f t="shared" si="31"/>
        <v>3.6373648882343262E-2</v>
      </c>
      <c r="AT14" s="212">
        <f t="shared" si="32"/>
        <v>-6.0891939803855362E-7</v>
      </c>
      <c r="AU14" s="145">
        <f t="shared" si="34"/>
        <v>6.146432126379172E-2</v>
      </c>
      <c r="AX14" s="110"/>
      <c r="AY14" s="87"/>
    </row>
    <row r="15" spans="1:51" ht="13.9" customHeight="1" x14ac:dyDescent="0.25">
      <c r="AE15" s="45"/>
      <c r="AF15" s="30"/>
      <c r="AV15" s="126"/>
      <c r="AW15" s="86"/>
      <c r="AX15" s="111"/>
      <c r="AY15" s="87"/>
    </row>
    <row r="16" spans="1:51" x14ac:dyDescent="0.25">
      <c r="A16" t="s">
        <v>221</v>
      </c>
      <c r="AE16" s="174"/>
      <c r="AF16" s="30"/>
    </row>
    <row r="17" spans="1:48" ht="13.9" customHeight="1" x14ac:dyDescent="0.25">
      <c r="A17">
        <v>1</v>
      </c>
      <c r="C17" t="s">
        <v>222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223</v>
      </c>
      <c r="I18" s="3"/>
      <c r="J18" s="13" t="s">
        <v>262</v>
      </c>
      <c r="K18" s="14"/>
      <c r="L18" s="14"/>
      <c r="AE18" s="129"/>
      <c r="AF18" s="30"/>
    </row>
    <row r="19" spans="1:48" ht="13.9" customHeight="1" x14ac:dyDescent="0.25">
      <c r="A19">
        <v>3</v>
      </c>
      <c r="C19" t="s">
        <v>225</v>
      </c>
      <c r="I19" s="3"/>
      <c r="J19" s="15" t="s">
        <v>260</v>
      </c>
      <c r="K19" s="16"/>
      <c r="L19" s="16"/>
      <c r="AE19" s="129"/>
      <c r="AF19" s="30"/>
    </row>
    <row r="20" spans="1:48" ht="13.9" customHeight="1" x14ac:dyDescent="0.25">
      <c r="A20">
        <v>4</v>
      </c>
      <c r="C20" t="s">
        <v>224</v>
      </c>
      <c r="J20" s="267" t="s">
        <v>283</v>
      </c>
      <c r="K20" s="266"/>
      <c r="L20" s="266"/>
      <c r="M20" s="266"/>
      <c r="N20" s="266"/>
      <c r="O20" s="268"/>
      <c r="AE20" s="129"/>
      <c r="AF20" s="30"/>
      <c r="AN20" s="45"/>
    </row>
    <row r="21" spans="1:48" ht="13.9" customHeight="1" x14ac:dyDescent="0.25">
      <c r="A21">
        <v>5</v>
      </c>
      <c r="C21" t="s">
        <v>226</v>
      </c>
      <c r="O21" s="168"/>
      <c r="AE21" s="12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227</v>
      </c>
      <c r="O22" s="168"/>
      <c r="AN22" s="45"/>
      <c r="AO22" s="5"/>
      <c r="AV22" s="5"/>
    </row>
    <row r="23" spans="1:48" ht="13.9" customHeight="1" x14ac:dyDescent="0.25">
      <c r="A23">
        <v>7</v>
      </c>
      <c r="C23" t="s">
        <v>229</v>
      </c>
      <c r="O23" s="168"/>
      <c r="P23" s="194" t="s">
        <v>256</v>
      </c>
      <c r="Q23" s="63"/>
      <c r="R23" s="63"/>
      <c r="S23" s="63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261</v>
      </c>
      <c r="D24" s="60"/>
      <c r="E24" s="60"/>
      <c r="F24" s="60"/>
      <c r="G24" s="60"/>
      <c r="O24" s="168"/>
      <c r="P24" s="247" t="s">
        <v>15</v>
      </c>
      <c r="Q24" s="248">
        <f>C46</f>
        <v>5</v>
      </c>
      <c r="R24" s="45"/>
      <c r="S24" s="30"/>
      <c r="T24" s="31" t="s">
        <v>251</v>
      </c>
      <c r="AN24" s="45"/>
      <c r="AO24" s="5"/>
      <c r="AV24" s="5"/>
    </row>
    <row r="25" spans="1:48" ht="13.9" customHeight="1" thickBot="1" x14ac:dyDescent="0.3">
      <c r="H25" s="60"/>
      <c r="I25" s="60"/>
      <c r="J25" s="60"/>
      <c r="K25" s="167"/>
      <c r="L25" s="60"/>
      <c r="M25" s="60"/>
      <c r="N25" s="168"/>
      <c r="O25" s="168"/>
      <c r="P25" s="247" t="s">
        <v>17</v>
      </c>
      <c r="Q25" s="248">
        <f>C38</f>
        <v>5</v>
      </c>
      <c r="R25" s="30"/>
      <c r="S25" s="30"/>
      <c r="T25" s="31" t="s">
        <v>251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0"/>
      <c r="I26" s="17" t="s">
        <v>120</v>
      </c>
      <c r="J26" s="28"/>
      <c r="K26" s="28"/>
      <c r="L26" s="29"/>
      <c r="M26" s="60"/>
      <c r="N26" s="168"/>
      <c r="O26" s="168"/>
      <c r="P26" s="247" t="s">
        <v>16</v>
      </c>
      <c r="Q26" s="248">
        <f>C37</f>
        <v>0</v>
      </c>
      <c r="R26" s="30"/>
      <c r="S26" s="30"/>
      <c r="T26" s="31" t="s">
        <v>251</v>
      </c>
      <c r="AN26" s="45"/>
      <c r="AO26" s="5"/>
      <c r="AV26" s="5"/>
    </row>
    <row r="27" spans="1:48" ht="13.9" customHeight="1" x14ac:dyDescent="0.25">
      <c r="A27" s="169"/>
      <c r="B27" s="19" t="s">
        <v>4</v>
      </c>
      <c r="C27" s="20">
        <v>4800</v>
      </c>
      <c r="D27" t="s">
        <v>71</v>
      </c>
      <c r="F27"/>
      <c r="G27" s="60"/>
      <c r="I27" s="19" t="s">
        <v>114</v>
      </c>
      <c r="J27" s="188">
        <v>25</v>
      </c>
      <c r="K27" s="30" t="s">
        <v>83</v>
      </c>
      <c r="L27" s="31"/>
      <c r="M27" s="60"/>
      <c r="N27" s="168"/>
      <c r="O27" s="168"/>
      <c r="P27" s="247" t="s">
        <v>14</v>
      </c>
      <c r="Q27" s="248">
        <f>C45</f>
        <v>0</v>
      </c>
      <c r="R27" s="45"/>
      <c r="S27" s="30"/>
      <c r="T27" s="31" t="s">
        <v>251</v>
      </c>
      <c r="AN27" s="45"/>
      <c r="AO27" s="5"/>
      <c r="AP27" s="5"/>
    </row>
    <row r="28" spans="1:48" ht="13.9" customHeight="1" x14ac:dyDescent="0.25">
      <c r="A28" s="169"/>
      <c r="B28" s="19" t="s">
        <v>5</v>
      </c>
      <c r="C28" s="20">
        <v>12</v>
      </c>
      <c r="D28"/>
      <c r="F28"/>
      <c r="G28" s="60"/>
      <c r="I28" s="19" t="s">
        <v>130</v>
      </c>
      <c r="J28" s="188">
        <v>2.1797</v>
      </c>
      <c r="K28" s="30" t="s">
        <v>84</v>
      </c>
      <c r="L28" s="31"/>
      <c r="M28" s="60"/>
      <c r="N28" s="168"/>
      <c r="O28" s="168"/>
      <c r="P28" s="247" t="s">
        <v>163</v>
      </c>
      <c r="Q28" s="249">
        <f>$C$43</f>
        <v>1.2250000000000001</v>
      </c>
      <c r="R28" s="30"/>
      <c r="S28" s="30"/>
      <c r="T28" s="31" t="s">
        <v>147</v>
      </c>
      <c r="AN28" s="45"/>
      <c r="AO28" s="5"/>
      <c r="AP28" s="5"/>
    </row>
    <row r="29" spans="1:48" ht="13.9" customHeight="1" x14ac:dyDescent="0.25">
      <c r="A29" s="169"/>
      <c r="B29" s="56" t="s">
        <v>63</v>
      </c>
      <c r="C29" s="20">
        <v>3.9899999999999998E-2</v>
      </c>
      <c r="D29" t="s">
        <v>70</v>
      </c>
      <c r="F29"/>
      <c r="G29" s="6"/>
      <c r="I29" s="19" t="s">
        <v>115</v>
      </c>
      <c r="J29" s="44">
        <f>($J$27/25.4)^2*$J$28/1000*2.2/3</f>
        <v>1.5484983053299442E-3</v>
      </c>
      <c r="K29" s="30" t="s">
        <v>86</v>
      </c>
      <c r="L29" s="157" t="s">
        <v>132</v>
      </c>
      <c r="N29" s="3"/>
      <c r="O29" s="3"/>
      <c r="P29" s="195"/>
      <c r="Q29" s="193"/>
      <c r="R29" s="193"/>
      <c r="S29" s="193"/>
      <c r="T29" s="196"/>
      <c r="AN29" s="45"/>
      <c r="AO29" s="5"/>
      <c r="AP29" s="5"/>
      <c r="AQ29" s="5"/>
      <c r="AR29" s="5"/>
      <c r="AS29" s="131"/>
      <c r="AT29" s="133"/>
      <c r="AU29" s="5"/>
    </row>
    <row r="30" spans="1:48" ht="13.9" customHeight="1" x14ac:dyDescent="0.25">
      <c r="A30" s="169"/>
      <c r="B30" s="56" t="s">
        <v>64</v>
      </c>
      <c r="C30" s="112">
        <v>4.1999999999999996E-6</v>
      </c>
      <c r="D30" t="s">
        <v>69</v>
      </c>
      <c r="F30"/>
      <c r="G30" s="6"/>
      <c r="I30" s="19" t="s">
        <v>127</v>
      </c>
      <c r="J30" s="190">
        <f>3/8/2*25.4</f>
        <v>4.7624999999999993</v>
      </c>
      <c r="K30" s="30" t="s">
        <v>83</v>
      </c>
      <c r="L30" s="31" t="s">
        <v>128</v>
      </c>
      <c r="N30" s="3"/>
      <c r="O30" s="3"/>
      <c r="P30" s="197" t="s">
        <v>257</v>
      </c>
      <c r="Q30" s="193"/>
      <c r="R30" s="193"/>
      <c r="S30" s="193"/>
      <c r="T30" s="196"/>
      <c r="AN30" s="45"/>
      <c r="AO30" s="5"/>
      <c r="AP30" s="5"/>
      <c r="AQ30" s="5"/>
      <c r="AR30" s="5"/>
      <c r="AS30" s="131"/>
      <c r="AT30" s="133"/>
      <c r="AU30" s="5"/>
    </row>
    <row r="31" spans="1:48" ht="13.9" customHeight="1" x14ac:dyDescent="0.25">
      <c r="A31" s="169"/>
      <c r="B31" s="19" t="s">
        <v>241</v>
      </c>
      <c r="C31" s="20">
        <v>240</v>
      </c>
      <c r="D31" t="s">
        <v>242</v>
      </c>
      <c r="F31"/>
      <c r="G31" s="6"/>
      <c r="I31" s="19" t="s">
        <v>129</v>
      </c>
      <c r="J31" s="190">
        <f>3/4*25.4</f>
        <v>19.049999999999997</v>
      </c>
      <c r="K31" s="30" t="s">
        <v>83</v>
      </c>
      <c r="L31" s="31" t="s">
        <v>128</v>
      </c>
      <c r="N31" s="3"/>
      <c r="O31" s="3"/>
      <c r="P31" s="247" t="s">
        <v>27</v>
      </c>
      <c r="Q31" s="248">
        <f>$C$27*$C$28/$B$50/100</f>
        <v>460.8</v>
      </c>
      <c r="R31" s="30"/>
      <c r="S31" s="30"/>
      <c r="T31" s="31" t="s">
        <v>252</v>
      </c>
      <c r="AN31" s="45"/>
      <c r="AO31" s="5"/>
    </row>
    <row r="32" spans="1:48" x14ac:dyDescent="0.25">
      <c r="A32" s="169"/>
      <c r="B32" s="56" t="s">
        <v>65</v>
      </c>
      <c r="C32" s="113">
        <f>C27*2*PI()/60</f>
        <v>502.6548245743669</v>
      </c>
      <c r="D32" t="s">
        <v>67</v>
      </c>
      <c r="F32"/>
      <c r="G32" s="6"/>
      <c r="I32" s="19" t="s">
        <v>131</v>
      </c>
      <c r="J32" s="44">
        <f>PI()*($J$30/25.4)^2/4*3/4*0.3</f>
        <v>6.2126221909368446E-3</v>
      </c>
      <c r="K32" s="30" t="s">
        <v>134</v>
      </c>
      <c r="L32" s="31" t="s">
        <v>128</v>
      </c>
      <c r="N32" s="3"/>
      <c r="O32" s="3"/>
      <c r="P32" s="247" t="s">
        <v>18</v>
      </c>
      <c r="Q32" s="248">
        <f>C48</f>
        <v>180</v>
      </c>
      <c r="R32" s="30"/>
      <c r="S32" s="30"/>
      <c r="T32" s="31" t="s">
        <v>161</v>
      </c>
    </row>
    <row r="33" spans="1:50" ht="13.9" customHeight="1" x14ac:dyDescent="0.25">
      <c r="A33" s="169"/>
      <c r="B33" s="56" t="s">
        <v>66</v>
      </c>
      <c r="C33" s="115">
        <f>7/C32</f>
        <v>1.3926057520540842E-2</v>
      </c>
      <c r="D33" t="s">
        <v>68</v>
      </c>
      <c r="F33"/>
      <c r="G33" s="6"/>
      <c r="I33" s="19" t="s">
        <v>121</v>
      </c>
      <c r="J33" s="44">
        <f>($J$30/25.4)^2*$J$32/2</f>
        <v>1.0920624945006168E-4</v>
      </c>
      <c r="K33" s="30" t="s">
        <v>86</v>
      </c>
      <c r="L33" s="31" t="s">
        <v>133</v>
      </c>
      <c r="N33" s="3"/>
      <c r="O33" s="3"/>
      <c r="P33" s="247" t="s">
        <v>13</v>
      </c>
      <c r="Q33" s="248">
        <f>C47</f>
        <v>0</v>
      </c>
      <c r="R33" s="30"/>
      <c r="S33" s="30"/>
      <c r="T33" s="31" t="s">
        <v>161</v>
      </c>
    </row>
    <row r="34" spans="1:50" ht="13.9" customHeight="1" thickBot="1" x14ac:dyDescent="0.3">
      <c r="B34" s="114" t="s">
        <v>243</v>
      </c>
      <c r="C34" s="184">
        <f>450/454</f>
        <v>0.99118942731277537</v>
      </c>
      <c r="D34" s="6" t="s">
        <v>141</v>
      </c>
      <c r="F34" s="6"/>
      <c r="G34" s="6"/>
      <c r="I34" s="19" t="s">
        <v>85</v>
      </c>
      <c r="J34" s="44">
        <f>$J$29+$J$33</f>
        <v>1.6577045547800059E-3</v>
      </c>
      <c r="K34" s="30" t="s">
        <v>86</v>
      </c>
      <c r="L34" s="31"/>
      <c r="N34" s="3"/>
      <c r="O34" s="3"/>
      <c r="P34" s="247" t="s">
        <v>164</v>
      </c>
      <c r="Q34" s="249">
        <f>(C40^2-C41^2)*PI()/4/1000^2</f>
        <v>2.1213604393365078E-3</v>
      </c>
      <c r="R34" s="30"/>
      <c r="S34" s="30"/>
      <c r="T34" s="31" t="s">
        <v>250</v>
      </c>
    </row>
    <row r="35" spans="1:50" ht="15" customHeight="1" thickBot="1" x14ac:dyDescent="0.3">
      <c r="D35"/>
      <c r="F35" s="6"/>
      <c r="G35" s="6"/>
      <c r="I35" s="19" t="s">
        <v>85</v>
      </c>
      <c r="J35" s="44">
        <f>$J$34/144</f>
        <v>1.1511837185972264E-5</v>
      </c>
      <c r="K35" s="30" t="s">
        <v>87</v>
      </c>
      <c r="L35" s="31"/>
      <c r="N35" s="3"/>
      <c r="O35" s="3"/>
      <c r="P35" s="247" t="s">
        <v>169</v>
      </c>
      <c r="Q35" s="250">
        <f>1/1.3556</f>
        <v>0.73768073177928595</v>
      </c>
      <c r="R35" s="30"/>
      <c r="S35" s="30"/>
      <c r="T35" s="31" t="s">
        <v>255</v>
      </c>
    </row>
    <row r="36" spans="1:50" ht="15" customHeight="1" thickBot="1" x14ac:dyDescent="0.3">
      <c r="A36" t="s">
        <v>33</v>
      </c>
      <c r="B36" s="17"/>
      <c r="C36" s="202" t="s">
        <v>22</v>
      </c>
      <c r="D36"/>
      <c r="F36" s="6"/>
      <c r="G36" s="6"/>
      <c r="I36" s="21" t="s">
        <v>85</v>
      </c>
      <c r="J36" s="97">
        <f>$J$35/2048.5*6.66</f>
        <v>3.7426817504796325E-8</v>
      </c>
      <c r="K36" s="32" t="s">
        <v>88</v>
      </c>
      <c r="L36" s="33"/>
      <c r="N36" s="3"/>
      <c r="O36" s="3"/>
      <c r="P36" s="247" t="s">
        <v>170</v>
      </c>
      <c r="Q36" s="251">
        <f>$J$35/2048.5*6.66</f>
        <v>3.7426817504796325E-8</v>
      </c>
      <c r="R36" s="30"/>
      <c r="S36" s="30"/>
      <c r="T36" s="31" t="s">
        <v>73</v>
      </c>
    </row>
    <row r="37" spans="1:50" ht="15" customHeight="1" x14ac:dyDescent="0.25">
      <c r="B37" s="24" t="s">
        <v>16</v>
      </c>
      <c r="C37" s="183">
        <v>0</v>
      </c>
      <c r="D37"/>
      <c r="F37" s="6"/>
      <c r="G37" s="6"/>
      <c r="I37" s="30"/>
      <c r="J37" s="45"/>
      <c r="K37" s="30"/>
      <c r="L37" s="30"/>
      <c r="N37" s="3"/>
      <c r="O37" s="3"/>
      <c r="P37" s="247" t="s">
        <v>185</v>
      </c>
      <c r="Q37" s="249">
        <f>C40/1000</f>
        <v>5.5E-2</v>
      </c>
      <c r="R37" s="30"/>
      <c r="S37" s="30"/>
      <c r="T37" s="31" t="s">
        <v>248</v>
      </c>
    </row>
    <row r="38" spans="1:50" ht="15.75" thickBot="1" x14ac:dyDescent="0.3">
      <c r="B38" s="26" t="s">
        <v>17</v>
      </c>
      <c r="C38" s="180">
        <v>5</v>
      </c>
      <c r="I38" s="188" t="s">
        <v>278</v>
      </c>
      <c r="J38" s="188"/>
      <c r="K38" s="188"/>
      <c r="L38" s="188"/>
      <c r="N38" s="3"/>
      <c r="O38" s="3"/>
      <c r="P38" s="247" t="s">
        <v>204</v>
      </c>
      <c r="Q38" s="250">
        <f>$Z$14</f>
        <v>4.4249528005034611</v>
      </c>
      <c r="R38" s="30"/>
      <c r="S38" s="30"/>
      <c r="T38" s="31" t="s">
        <v>144</v>
      </c>
      <c r="AI38" s="5"/>
    </row>
    <row r="39" spans="1:50" ht="75.75" thickBot="1" x14ac:dyDescent="0.3">
      <c r="I39" s="173" t="s">
        <v>89</v>
      </c>
      <c r="J39" s="216" t="s">
        <v>280</v>
      </c>
      <c r="K39" s="216" t="s">
        <v>332</v>
      </c>
      <c r="L39" s="271" t="s">
        <v>286</v>
      </c>
      <c r="M39" s="243" t="s">
        <v>258</v>
      </c>
      <c r="N39" s="244" t="s">
        <v>259</v>
      </c>
      <c r="P39" s="195"/>
      <c r="Q39" s="193"/>
      <c r="R39" s="193"/>
      <c r="S39" s="193"/>
      <c r="T39" s="196"/>
      <c r="AI39" s="5"/>
    </row>
    <row r="40" spans="1:50" ht="18.75" x14ac:dyDescent="0.3">
      <c r="A40" s="3" t="s">
        <v>232</v>
      </c>
      <c r="B40" s="17" t="s">
        <v>233</v>
      </c>
      <c r="C40" s="179">
        <v>55</v>
      </c>
      <c r="D40" t="s">
        <v>83</v>
      </c>
      <c r="E40"/>
      <c r="I40" s="228">
        <f>(L40-L42)/(L41-L42)*(I41-I42)+I42</f>
        <v>76.913043478260875</v>
      </c>
      <c r="J40" s="233">
        <f t="shared" ref="J40:J45" si="35">(I40*$Q$31*$R$44+$Q$44)/$Q$31</f>
        <v>94.180507611575763</v>
      </c>
      <c r="K40" s="276">
        <f>LOG10(J40)</f>
        <v>1.9739610268617707</v>
      </c>
      <c r="L40" s="222">
        <v>0</v>
      </c>
      <c r="M40" s="193"/>
      <c r="N40" s="196"/>
      <c r="P40" s="206" t="s">
        <v>282</v>
      </c>
      <c r="Q40" s="57"/>
      <c r="R40" s="57"/>
      <c r="S40" s="57"/>
      <c r="T40" s="25"/>
      <c r="AI40" s="5"/>
    </row>
    <row r="41" spans="1:50" ht="15.75" thickBot="1" x14ac:dyDescent="0.3">
      <c r="B41" s="21" t="s">
        <v>234</v>
      </c>
      <c r="C41" s="180">
        <v>18</v>
      </c>
      <c r="D41" t="s">
        <v>83</v>
      </c>
      <c r="E41"/>
      <c r="I41" s="221">
        <v>62</v>
      </c>
      <c r="J41" s="233">
        <f t="shared" si="35"/>
        <v>78.613865839269394</v>
      </c>
      <c r="K41" s="276">
        <f t="shared" ref="K41:K45" si="36">LOG10(J41)</f>
        <v>1.8954991532453325</v>
      </c>
      <c r="L41" s="223">
        <v>4.9000000000000002E-2</v>
      </c>
      <c r="M41" s="229"/>
      <c r="N41" s="230"/>
      <c r="P41" s="64" t="s">
        <v>108</v>
      </c>
      <c r="Q41" s="185">
        <f>INDEX(LINEST($Q$4:$Q$14,$E$4:$E$14^{1,2},FALSE,FALSE),3)</f>
        <v>0</v>
      </c>
      <c r="R41" s="66">
        <f>INDEX(LINEST($Q$4:$Q$14,$E$4:$E$14^{1,2},FALSE,FALSE),2)</f>
        <v>13129.73420728842</v>
      </c>
      <c r="S41" s="66">
        <f>INDEX(LINEST($Q$4:$Q$14,$E$4:$E$14^{1,2},FALSE,FALSE),1)</f>
        <v>110.96926069752767</v>
      </c>
      <c r="T41" s="31" t="s">
        <v>253</v>
      </c>
      <c r="AI41" s="5"/>
    </row>
    <row r="42" spans="1:50" ht="15.75" thickBot="1" x14ac:dyDescent="0.3">
      <c r="B42" s="30"/>
      <c r="C42" s="181"/>
      <c r="D42"/>
      <c r="E42"/>
      <c r="H42" s="10"/>
      <c r="I42" s="221">
        <v>48</v>
      </c>
      <c r="J42" s="233">
        <f t="shared" si="35"/>
        <v>64.000283767308289</v>
      </c>
      <c r="K42" s="276">
        <f t="shared" si="36"/>
        <v>1.8061818995823704</v>
      </c>
      <c r="L42" s="223">
        <v>9.5000000000000001E-2</v>
      </c>
      <c r="M42" s="231">
        <f>$Q$36/L42</f>
        <v>3.9396650005048765E-7</v>
      </c>
      <c r="N42" s="232">
        <f>-M42/$Q$35</f>
        <v>-5.3406098746844102E-7</v>
      </c>
      <c r="P42" s="64" t="s">
        <v>21</v>
      </c>
      <c r="Q42" s="185">
        <f>INDEX(LINEST($P$4:$P$14,$M$4:$M$14),2)</f>
        <v>-23776.551908037785</v>
      </c>
      <c r="R42" s="66">
        <f>INDEX(LINEST($P$4:$P$14,$M$4:$M$14),1)</f>
        <v>12518.606743200846</v>
      </c>
      <c r="S42" s="30"/>
      <c r="T42" s="31" t="s">
        <v>253</v>
      </c>
      <c r="AI42" s="5"/>
      <c r="AW42" s="131"/>
      <c r="AX42" s="144"/>
    </row>
    <row r="43" spans="1:50" ht="15.75" thickBot="1" x14ac:dyDescent="0.3">
      <c r="A43" s="10" t="s">
        <v>235</v>
      </c>
      <c r="B43" s="177" t="s">
        <v>236</v>
      </c>
      <c r="C43" s="182">
        <v>1.2250000000000001</v>
      </c>
      <c r="D43" t="s">
        <v>147</v>
      </c>
      <c r="E43" t="s">
        <v>155</v>
      </c>
      <c r="G43" s="6"/>
      <c r="I43" s="221">
        <v>25</v>
      </c>
      <c r="J43" s="233">
        <f t="shared" si="35"/>
        <v>39.992256077657927</v>
      </c>
      <c r="K43" s="276">
        <f t="shared" si="36"/>
        <v>1.6019759046196518</v>
      </c>
      <c r="L43" s="223">
        <v>0.28299999999999997</v>
      </c>
      <c r="M43" s="60"/>
      <c r="N43" s="230"/>
      <c r="P43" s="64" t="s">
        <v>109</v>
      </c>
      <c r="Q43" s="185">
        <f>INDEX(LINEST($Q$4:$Q$14,$P$4:$P$14),2)</f>
        <v>-6114.6309126820452</v>
      </c>
      <c r="R43" s="68">
        <f>INDEX(LINEST($Q$4:$Q$14,$P$4:$P$14),1)</f>
        <v>0.95727666438398118</v>
      </c>
      <c r="S43" s="30"/>
      <c r="T43" s="31" t="s">
        <v>253</v>
      </c>
      <c r="AI43" s="5"/>
    </row>
    <row r="44" spans="1:50" ht="15.75" thickBot="1" x14ac:dyDescent="0.3">
      <c r="C44" s="178"/>
      <c r="D44"/>
      <c r="E44"/>
      <c r="G44" s="6"/>
      <c r="I44" s="221">
        <v>16</v>
      </c>
      <c r="J44" s="233">
        <f t="shared" si="35"/>
        <v>30.597810459968649</v>
      </c>
      <c r="K44" s="276">
        <f t="shared" si="36"/>
        <v>1.4856903500379366</v>
      </c>
      <c r="L44" s="223">
        <v>0.44500000000000001</v>
      </c>
      <c r="M44" s="60"/>
      <c r="N44" s="230"/>
      <c r="P44" s="64" t="s">
        <v>110</v>
      </c>
      <c r="Q44" s="185">
        <f>INDEX(LINEST($P$4:$P$14,$Q$4:$Q$14),2)</f>
        <v>6403.5412099425012</v>
      </c>
      <c r="R44" s="68">
        <f>INDEX(LINEST($P$4:$P$14,$Q$4:$Q$14),1)</f>
        <v>1.0438272908543638</v>
      </c>
      <c r="S44" s="30"/>
      <c r="T44" s="31" t="s">
        <v>253</v>
      </c>
      <c r="AI44" s="5"/>
    </row>
    <row r="45" spans="1:50" ht="15.75" thickBot="1" x14ac:dyDescent="0.3">
      <c r="A45" s="168" t="s">
        <v>237</v>
      </c>
      <c r="B45" s="173" t="s">
        <v>238</v>
      </c>
      <c r="C45" s="179">
        <v>0</v>
      </c>
      <c r="D45" s="30" t="s">
        <v>244</v>
      </c>
      <c r="E45"/>
      <c r="F45" s="6"/>
      <c r="I45" s="234">
        <f>(L45-L43)/(L44-L43)*(I44-I43)+I43</f>
        <v>12.944444444444445</v>
      </c>
      <c r="J45" s="237">
        <f t="shared" si="35"/>
        <v>27.408338182358097</v>
      </c>
      <c r="K45" s="277">
        <f t="shared" si="36"/>
        <v>1.4378827042694906</v>
      </c>
      <c r="L45" s="226">
        <v>0.5</v>
      </c>
      <c r="M45" s="235"/>
      <c r="N45" s="236"/>
      <c r="P45" s="64" t="s">
        <v>166</v>
      </c>
      <c r="Q45" s="186">
        <f>AG11</f>
        <v>-0.60188848740479528</v>
      </c>
      <c r="R45" s="30"/>
      <c r="S45" s="30"/>
      <c r="T45" s="31" t="s">
        <v>247</v>
      </c>
      <c r="U45" s="5"/>
      <c r="AI45" s="5"/>
      <c r="AJ45" s="5"/>
      <c r="AK45" s="131"/>
    </row>
    <row r="46" spans="1:50" x14ac:dyDescent="0.25">
      <c r="A46" s="30"/>
      <c r="B46" s="56" t="s">
        <v>239</v>
      </c>
      <c r="C46" s="183">
        <v>5</v>
      </c>
      <c r="D46" s="45" t="s">
        <v>244</v>
      </c>
      <c r="E46"/>
      <c r="F46" s="6"/>
      <c r="P46" s="64" t="s">
        <v>168</v>
      </c>
      <c r="Q46" s="187">
        <f>AF11</f>
        <v>2.4958775749086</v>
      </c>
      <c r="R46" s="30"/>
      <c r="S46" s="30"/>
      <c r="T46" s="31" t="s">
        <v>247</v>
      </c>
      <c r="AI46" s="5"/>
      <c r="AJ46" s="5"/>
      <c r="AK46" s="131"/>
      <c r="AX46" s="144"/>
    </row>
    <row r="47" spans="1:50" ht="15.75" thickBot="1" x14ac:dyDescent="0.3">
      <c r="A47" s="168"/>
      <c r="B47" s="56" t="s">
        <v>238</v>
      </c>
      <c r="C47" s="183">
        <v>0</v>
      </c>
      <c r="D47" s="45" t="s">
        <v>240</v>
      </c>
      <c r="E47"/>
      <c r="H47" s="6"/>
      <c r="I47" s="6"/>
      <c r="J47" s="6"/>
      <c r="K47" s="9"/>
      <c r="L47" s="6"/>
      <c r="M47" s="6"/>
      <c r="N47" s="10"/>
      <c r="O47" s="10"/>
      <c r="P47" s="198" t="s">
        <v>197</v>
      </c>
      <c r="Q47" s="199">
        <v>8</v>
      </c>
      <c r="R47" s="32"/>
      <c r="S47" s="32"/>
      <c r="T47" s="33" t="s">
        <v>249</v>
      </c>
      <c r="W47" s="45"/>
      <c r="X47" s="175"/>
      <c r="Y47" s="45"/>
      <c r="AI47" s="5"/>
      <c r="AJ47" s="5"/>
      <c r="AK47" s="131"/>
    </row>
    <row r="48" spans="1:50" ht="15.75" thickBot="1" x14ac:dyDescent="0.3">
      <c r="A48" s="168"/>
      <c r="B48" s="114" t="s">
        <v>239</v>
      </c>
      <c r="C48" s="180">
        <v>180</v>
      </c>
      <c r="D48" s="45" t="s">
        <v>240</v>
      </c>
      <c r="E48"/>
      <c r="H48" s="6"/>
      <c r="I48" s="192" t="s">
        <v>82</v>
      </c>
      <c r="J48" s="191">
        <f>INDEX(LINEST($Y$3:$Y$14,$P$3:$P$14^{1,2}),3)</f>
        <v>-1.7588963712643103E-3</v>
      </c>
      <c r="K48" s="160">
        <f>INDEX(LINEST($Y$3:$Y$14,$P$3:$P$14^{1,2}),2)</f>
        <v>1.3207576166030541E-7</v>
      </c>
      <c r="L48" s="160">
        <f>INDEX(LINEST($Y$3:$Y$14,$P$3:$P$14^{1,2}),1)</f>
        <v>1.0875990624709801E-11</v>
      </c>
      <c r="M48" s="44" t="s">
        <v>254</v>
      </c>
      <c r="N48" s="10"/>
      <c r="O48" s="10"/>
      <c r="U48" s="10"/>
      <c r="V48" s="3"/>
      <c r="W48" s="45"/>
      <c r="X48" s="60"/>
      <c r="Y48" s="45"/>
      <c r="AX48" s="144"/>
    </row>
    <row r="49" spans="1:45" ht="15.75" thickBot="1" x14ac:dyDescent="0.3">
      <c r="Q49" s="60"/>
      <c r="R49" s="193"/>
      <c r="T49" s="193"/>
      <c r="U49" s="168"/>
      <c r="V49" s="30"/>
    </row>
    <row r="50" spans="1:45" ht="15.75" thickBot="1" x14ac:dyDescent="0.3">
      <c r="A50" s="3" t="s">
        <v>230</v>
      </c>
      <c r="B50" s="189">
        <v>1.25</v>
      </c>
      <c r="C50" s="45" t="s">
        <v>231</v>
      </c>
      <c r="D50" s="5"/>
      <c r="E50" s="172">
        <f>C31</f>
        <v>240</v>
      </c>
      <c r="F50" s="172" t="s">
        <v>142</v>
      </c>
      <c r="I50" s="156" t="s">
        <v>269</v>
      </c>
      <c r="M50" s="217" t="s">
        <v>268</v>
      </c>
      <c r="N50" s="122"/>
      <c r="Q50" s="60"/>
      <c r="R50" s="193"/>
      <c r="T50" s="193"/>
      <c r="U50" s="168"/>
      <c r="V50" s="30"/>
      <c r="W50" s="174"/>
      <c r="X50" s="45"/>
      <c r="Y50" s="45"/>
    </row>
    <row r="51" spans="1:45" x14ac:dyDescent="0.25">
      <c r="I51" s="218" t="s">
        <v>263</v>
      </c>
      <c r="J51" s="216" t="s">
        <v>89</v>
      </c>
      <c r="K51" s="219" t="s">
        <v>264</v>
      </c>
      <c r="L51" s="219" t="s">
        <v>265</v>
      </c>
      <c r="M51" s="219" t="s">
        <v>266</v>
      </c>
      <c r="N51" s="220" t="s">
        <v>267</v>
      </c>
      <c r="P51" s="215" t="s">
        <v>272</v>
      </c>
      <c r="Q51" s="240">
        <v>0</v>
      </c>
      <c r="R51" s="238">
        <f ca="1">J56</f>
        <v>21.611111111111111</v>
      </c>
      <c r="S51" s="238">
        <f ca="1">J55</f>
        <v>36.989361702127667</v>
      </c>
      <c r="T51" s="238">
        <f ca="1">J54</f>
        <v>51.04347826086957</v>
      </c>
      <c r="U51" s="239">
        <f ca="1">J53</f>
        <v>70.826086956521749</v>
      </c>
      <c r="V51" s="241">
        <v>80</v>
      </c>
      <c r="W51" s="45"/>
      <c r="X51" s="45"/>
      <c r="Y51" s="45"/>
    </row>
    <row r="52" spans="1:45" x14ac:dyDescent="0.25">
      <c r="I52" s="221">
        <v>0</v>
      </c>
      <c r="J52" s="233">
        <f t="shared" ref="J52:J57" ca="1" si="37">FORECAST(I52,OFFSET(MeasNt,MATCH(I52,MeasTauT,1)-1,0,2),OFFSET(MeasTauT,MATCH(I52,MeasTauT,1)-1,0,2))</f>
        <v>76.913043478260875</v>
      </c>
      <c r="K52" s="57">
        <v>0.2</v>
      </c>
      <c r="L52" s="57">
        <v>4.4000000000000004</v>
      </c>
      <c r="M52" s="57">
        <v>0.09</v>
      </c>
      <c r="N52" s="25">
        <v>5</v>
      </c>
      <c r="P52" s="252" t="s">
        <v>264</v>
      </c>
      <c r="Q52" s="253">
        <f>K57</f>
        <v>0.47499999999999998</v>
      </c>
      <c r="R52" s="253">
        <f>K56</f>
        <v>0.47499999999999998</v>
      </c>
      <c r="S52" s="253">
        <f>K55</f>
        <v>0.32500000000000001</v>
      </c>
      <c r="T52" s="253">
        <f>K54</f>
        <v>0.22500000000000001</v>
      </c>
      <c r="U52" s="254">
        <f>K53</f>
        <v>0.2</v>
      </c>
      <c r="V52" s="255">
        <f>K52</f>
        <v>0.2</v>
      </c>
      <c r="W52" s="45" t="s">
        <v>273</v>
      </c>
      <c r="X52" s="45"/>
      <c r="Y52" s="45"/>
      <c r="AJ52" s="94"/>
      <c r="AR52" s="3"/>
    </row>
    <row r="53" spans="1:45" x14ac:dyDescent="0.25">
      <c r="I53" s="221">
        <v>0.02</v>
      </c>
      <c r="J53" s="233">
        <f t="shared" ca="1" si="37"/>
        <v>70.826086956521749</v>
      </c>
      <c r="K53" s="57">
        <v>0.2</v>
      </c>
      <c r="L53" s="57">
        <v>3.75</v>
      </c>
      <c r="M53" s="57">
        <v>0.09</v>
      </c>
      <c r="N53" s="25">
        <v>5</v>
      </c>
      <c r="P53" s="252" t="s">
        <v>265</v>
      </c>
      <c r="Q53" s="256">
        <f>L57</f>
        <v>2.4</v>
      </c>
      <c r="R53" s="256">
        <f>L56</f>
        <v>2.4</v>
      </c>
      <c r="S53" s="256">
        <f>L55</f>
        <v>2.7</v>
      </c>
      <c r="T53" s="256">
        <f>L54</f>
        <v>3.2</v>
      </c>
      <c r="U53" s="257">
        <f>L53</f>
        <v>3.75</v>
      </c>
      <c r="V53" s="258">
        <f>L52</f>
        <v>4.4000000000000004</v>
      </c>
      <c r="W53" s="45"/>
      <c r="X53" s="45"/>
      <c r="Y53" s="45"/>
      <c r="AS53" s="3"/>
    </row>
    <row r="54" spans="1:45" x14ac:dyDescent="0.25">
      <c r="I54" s="221">
        <v>8.5000000000000006E-2</v>
      </c>
      <c r="J54" s="233">
        <f t="shared" ca="1" si="37"/>
        <v>51.04347826086957</v>
      </c>
      <c r="K54" s="57">
        <v>0.22500000000000001</v>
      </c>
      <c r="L54" s="57">
        <v>3.2</v>
      </c>
      <c r="M54" s="223">
        <v>0.125</v>
      </c>
      <c r="N54" s="224">
        <v>4.05</v>
      </c>
      <c r="P54" s="252" t="s">
        <v>270</v>
      </c>
      <c r="Q54" s="259">
        <v>0.15</v>
      </c>
      <c r="R54" s="259"/>
      <c r="S54" s="259"/>
      <c r="T54" s="259"/>
      <c r="U54" s="260"/>
      <c r="V54" s="261"/>
      <c r="W54" s="45"/>
      <c r="X54" s="45"/>
      <c r="Y54" s="45"/>
    </row>
    <row r="55" spans="1:45" x14ac:dyDescent="0.25">
      <c r="I55" s="221">
        <v>0.185</v>
      </c>
      <c r="J55" s="233">
        <f t="shared" ca="1" si="37"/>
        <v>36.989361702127667</v>
      </c>
      <c r="K55" s="57">
        <v>0.32500000000000001</v>
      </c>
      <c r="L55" s="57">
        <v>2.7</v>
      </c>
      <c r="M55" s="57">
        <v>0.24</v>
      </c>
      <c r="N55" s="25">
        <v>3.75</v>
      </c>
      <c r="P55" s="252" t="s">
        <v>271</v>
      </c>
      <c r="Q55" s="259">
        <v>0.03</v>
      </c>
      <c r="R55" s="259"/>
      <c r="S55" s="259"/>
      <c r="T55" s="259"/>
      <c r="U55" s="260"/>
      <c r="V55" s="261"/>
      <c r="W55" s="45"/>
      <c r="X55" s="176"/>
      <c r="Y55" s="45"/>
    </row>
    <row r="56" spans="1:45" x14ac:dyDescent="0.25">
      <c r="I56" s="221">
        <v>0.34399999999999997</v>
      </c>
      <c r="J56" s="233">
        <f t="shared" ca="1" si="37"/>
        <v>21.611111111111111</v>
      </c>
      <c r="K56" s="57">
        <v>0.47499999999999998</v>
      </c>
      <c r="L56" s="57">
        <v>2.4</v>
      </c>
      <c r="M56" s="57">
        <v>0.42</v>
      </c>
      <c r="N56" s="25">
        <v>3.6</v>
      </c>
      <c r="P56" s="252" t="s">
        <v>266</v>
      </c>
      <c r="Q56" s="253">
        <f>M57</f>
        <v>0.42</v>
      </c>
      <c r="R56" s="253">
        <f>M56</f>
        <v>0.42</v>
      </c>
      <c r="S56" s="253">
        <f>M55</f>
        <v>0.24</v>
      </c>
      <c r="T56" s="253">
        <f>M54</f>
        <v>0.125</v>
      </c>
      <c r="U56" s="254">
        <f>M53</f>
        <v>0.09</v>
      </c>
      <c r="V56" s="255">
        <f>M52</f>
        <v>0.09</v>
      </c>
      <c r="W56" s="45" t="s">
        <v>274</v>
      </c>
      <c r="X56" s="176"/>
      <c r="Y56" s="45"/>
    </row>
    <row r="57" spans="1:45" ht="15.75" thickBot="1" x14ac:dyDescent="0.3">
      <c r="I57" s="225">
        <v>0.5</v>
      </c>
      <c r="J57" s="237">
        <f t="shared" ca="1" si="37"/>
        <v>12.94444444444445</v>
      </c>
      <c r="K57" s="227">
        <v>0.47499999999999998</v>
      </c>
      <c r="L57" s="227">
        <v>2.4</v>
      </c>
      <c r="M57" s="227">
        <v>0.42</v>
      </c>
      <c r="N57" s="27">
        <v>3.6</v>
      </c>
      <c r="P57" s="262" t="s">
        <v>267</v>
      </c>
      <c r="Q57" s="263">
        <f>N57</f>
        <v>3.6</v>
      </c>
      <c r="R57" s="263">
        <f>N56</f>
        <v>3.6</v>
      </c>
      <c r="S57" s="263">
        <f>N55</f>
        <v>3.75</v>
      </c>
      <c r="T57" s="263">
        <f>N54</f>
        <v>4.05</v>
      </c>
      <c r="U57" s="264">
        <f>N53</f>
        <v>5</v>
      </c>
      <c r="V57" s="265">
        <f>N52</f>
        <v>5</v>
      </c>
      <c r="W57" s="45"/>
      <c r="X57" s="176"/>
      <c r="Y57" s="45"/>
    </row>
    <row r="58" spans="1:45" x14ac:dyDescent="0.25">
      <c r="V58" s="45"/>
      <c r="W58" s="45"/>
      <c r="X58" s="176"/>
      <c r="Y58" s="45"/>
    </row>
    <row r="59" spans="1:45" x14ac:dyDescent="0.25">
      <c r="W59" s="45"/>
      <c r="X59" s="176"/>
      <c r="Y59" s="45"/>
    </row>
    <row r="60" spans="1:45" x14ac:dyDescent="0.25">
      <c r="W60" s="45"/>
      <c r="X60" s="129"/>
      <c r="Y60" s="45"/>
    </row>
    <row r="61" spans="1:45" x14ac:dyDescent="0.25">
      <c r="W61" s="45"/>
      <c r="X61" s="129"/>
      <c r="Y61" s="45"/>
    </row>
    <row r="62" spans="1:45" x14ac:dyDescent="0.25">
      <c r="W62" s="45"/>
      <c r="X62" s="129"/>
      <c r="Y62" s="45"/>
    </row>
    <row r="63" spans="1:45" x14ac:dyDescent="0.25">
      <c r="H63" s="15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2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2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2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0"/>
      <c r="E71" s="60"/>
      <c r="F71" s="60"/>
      <c r="G71" s="60"/>
      <c r="H71" s="60"/>
      <c r="I71" s="170"/>
      <c r="J71" s="60"/>
      <c r="K71" s="167"/>
      <c r="L71" s="60"/>
      <c r="M71" s="60"/>
      <c r="N71" s="168"/>
      <c r="O71" s="168"/>
      <c r="P71" s="168"/>
      <c r="Q71" s="168"/>
      <c r="R71" s="168"/>
      <c r="S71" s="168"/>
      <c r="T71" s="168"/>
      <c r="U71" s="169"/>
      <c r="V71" s="16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0"/>
      <c r="E72" s="60"/>
      <c r="F72" s="60"/>
      <c r="G72" s="60"/>
      <c r="H72" s="60"/>
      <c r="I72" s="170"/>
      <c r="J72" s="60"/>
      <c r="K72" s="167"/>
      <c r="L72" s="60"/>
      <c r="M72" s="60"/>
      <c r="N72" s="168"/>
      <c r="O72" s="168"/>
      <c r="P72" s="168"/>
      <c r="Q72" s="168"/>
      <c r="R72" s="168"/>
      <c r="S72" s="168"/>
      <c r="T72" s="168"/>
      <c r="U72" s="169"/>
      <c r="V72" s="169"/>
      <c r="W72" s="9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0"/>
      <c r="E73" s="60"/>
      <c r="F73" s="60"/>
      <c r="G73" s="60"/>
      <c r="H73" s="60"/>
      <c r="I73" s="170"/>
      <c r="J73" s="60"/>
      <c r="K73" s="167"/>
      <c r="L73" s="60"/>
      <c r="M73" s="60"/>
      <c r="N73" s="168"/>
      <c r="O73" s="168"/>
      <c r="P73" s="168"/>
      <c r="Q73" s="168"/>
      <c r="R73" s="168"/>
      <c r="S73" s="168"/>
      <c r="T73" s="168"/>
      <c r="U73" s="169"/>
      <c r="V73" s="16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0"/>
      <c r="E74" s="60"/>
      <c r="F74" s="60"/>
      <c r="G74" s="60"/>
      <c r="H74" s="60"/>
      <c r="I74" s="170"/>
      <c r="J74" s="60"/>
      <c r="K74" s="167"/>
      <c r="L74" s="60"/>
      <c r="M74" s="60"/>
      <c r="N74" s="168"/>
      <c r="O74" s="168"/>
      <c r="P74" s="168"/>
      <c r="Q74" s="168"/>
      <c r="R74" s="168"/>
      <c r="S74" s="168"/>
      <c r="T74" s="168"/>
      <c r="U74" s="169"/>
      <c r="V74" s="169"/>
      <c r="W74" s="45"/>
      <c r="X74" s="45"/>
      <c r="Y74" s="45"/>
      <c r="Z74" s="45"/>
      <c r="AA74" s="12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0"/>
      <c r="E75" s="60"/>
      <c r="F75" s="60"/>
      <c r="G75" s="60"/>
      <c r="H75" s="60"/>
      <c r="I75" s="170"/>
      <c r="J75" s="60"/>
      <c r="K75" s="167"/>
      <c r="L75" s="60"/>
      <c r="M75" s="60"/>
      <c r="N75" s="168"/>
      <c r="O75" s="168"/>
      <c r="P75" s="168"/>
      <c r="Q75" s="168"/>
      <c r="R75" s="168"/>
      <c r="S75" s="168"/>
      <c r="T75" s="168"/>
      <c r="U75" s="169"/>
      <c r="V75" s="169"/>
      <c r="W75" s="45"/>
      <c r="X75" s="45"/>
      <c r="Y75" s="45"/>
      <c r="Z75" s="45"/>
      <c r="AA75" s="12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0"/>
      <c r="E76" s="60"/>
      <c r="F76" s="60"/>
      <c r="G76" s="60"/>
      <c r="H76" s="60"/>
      <c r="I76" s="170"/>
      <c r="J76" s="60"/>
      <c r="K76" s="167"/>
      <c r="L76" s="60"/>
      <c r="M76" s="60"/>
      <c r="N76" s="168"/>
      <c r="O76" s="168"/>
      <c r="P76" s="168"/>
      <c r="Q76" s="168"/>
      <c r="R76" s="168"/>
      <c r="S76" s="168"/>
      <c r="T76" s="168"/>
      <c r="U76" s="169"/>
      <c r="V76" s="169"/>
      <c r="W76" s="45"/>
      <c r="X76" s="45"/>
      <c r="Y76" s="45"/>
      <c r="Z76" s="45"/>
      <c r="AA76" s="12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0"/>
      <c r="E77" s="60"/>
      <c r="F77" s="60"/>
      <c r="G77" s="60"/>
      <c r="H77" s="60"/>
      <c r="I77" s="60"/>
      <c r="J77" s="60"/>
      <c r="K77" s="167"/>
      <c r="L77" s="60"/>
      <c r="M77" s="60"/>
      <c r="N77" s="168"/>
      <c r="O77" s="168"/>
      <c r="P77" s="168"/>
      <c r="Q77" s="168"/>
      <c r="R77" s="168"/>
      <c r="S77" s="168"/>
      <c r="T77" s="168"/>
      <c r="U77" s="169"/>
      <c r="V77" s="169"/>
      <c r="W77" s="45"/>
      <c r="X77" s="166"/>
      <c r="Y77" s="16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0"/>
      <c r="E93" s="60"/>
      <c r="F93" s="60"/>
      <c r="G93" s="60"/>
      <c r="H93" s="60"/>
      <c r="I93" s="60"/>
      <c r="J93" s="60"/>
      <c r="K93" s="167"/>
      <c r="L93" s="60"/>
      <c r="M93" s="60"/>
      <c r="N93" s="168"/>
      <c r="O93" s="168"/>
      <c r="P93" s="168"/>
      <c r="Q93" s="168"/>
      <c r="R93" s="168"/>
      <c r="S93" s="168"/>
      <c r="T93" s="168"/>
      <c r="U93" s="169"/>
      <c r="V93" s="169"/>
      <c r="W93" s="45"/>
      <c r="X93" s="166"/>
      <c r="Y93" s="16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0"/>
      <c r="E94" s="60"/>
      <c r="F94" s="60"/>
      <c r="G94" s="60"/>
      <c r="H94" s="60"/>
      <c r="I94" s="60"/>
      <c r="J94" s="60"/>
      <c r="K94" s="167"/>
      <c r="L94" s="60"/>
      <c r="M94" s="60"/>
      <c r="N94" s="168"/>
      <c r="O94" s="168"/>
      <c r="P94" s="168"/>
      <c r="Q94" s="168"/>
      <c r="R94" s="168"/>
      <c r="S94" s="168"/>
      <c r="T94" s="168"/>
      <c r="U94" s="169"/>
      <c r="V94" s="169"/>
      <c r="W94" s="45"/>
      <c r="X94" s="166"/>
      <c r="Y94" s="16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0"/>
      <c r="E95" s="60"/>
      <c r="F95" s="60"/>
      <c r="G95" s="60"/>
      <c r="H95" s="60"/>
      <c r="I95" s="60"/>
      <c r="J95" s="60"/>
      <c r="K95" s="167"/>
      <c r="L95" s="60"/>
      <c r="M95" s="60"/>
      <c r="N95" s="168"/>
      <c r="O95" s="168"/>
      <c r="P95" s="168"/>
      <c r="Q95" s="168"/>
      <c r="R95" s="168"/>
      <c r="S95" s="168"/>
      <c r="T95" s="168"/>
      <c r="U95" s="169"/>
      <c r="V95" s="169"/>
      <c r="W95" s="45"/>
      <c r="X95" s="166"/>
      <c r="Y95" s="16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0"/>
      <c r="E96" s="60"/>
      <c r="F96" s="60"/>
      <c r="G96" s="60"/>
      <c r="H96" s="60"/>
      <c r="I96" s="60"/>
      <c r="J96" s="60"/>
      <c r="K96" s="167"/>
      <c r="L96" s="60"/>
      <c r="M96" s="60"/>
      <c r="N96" s="168"/>
      <c r="O96" s="168"/>
      <c r="P96" s="168"/>
      <c r="Q96" s="168"/>
      <c r="R96" s="168"/>
      <c r="S96" s="168"/>
      <c r="T96" s="168"/>
      <c r="U96" s="169"/>
      <c r="V96" s="169"/>
      <c r="W96" s="45"/>
      <c r="X96" s="166"/>
      <c r="Y96" s="16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0"/>
      <c r="E97" s="60"/>
      <c r="F97" s="60"/>
      <c r="G97" s="60"/>
      <c r="H97" s="60"/>
      <c r="I97" s="60"/>
      <c r="J97" s="60"/>
      <c r="K97" s="167"/>
      <c r="L97" s="60"/>
      <c r="M97" s="60"/>
      <c r="N97" s="168"/>
      <c r="O97" s="168"/>
      <c r="P97" s="168"/>
      <c r="Q97" s="168"/>
      <c r="R97" s="168"/>
      <c r="S97" s="168"/>
      <c r="T97" s="168"/>
      <c r="U97" s="169"/>
      <c r="V97" s="169"/>
      <c r="W97" s="45"/>
      <c r="X97" s="166"/>
      <c r="Y97" s="16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0"/>
      <c r="E98" s="60"/>
      <c r="F98" s="60"/>
      <c r="G98" s="60"/>
      <c r="H98" s="60"/>
      <c r="I98" s="60"/>
      <c r="J98" s="60"/>
      <c r="K98" s="167"/>
      <c r="L98" s="60"/>
      <c r="M98" s="60"/>
      <c r="N98" s="168"/>
      <c r="O98" s="168"/>
      <c r="P98" s="168"/>
      <c r="Q98" s="168"/>
      <c r="R98" s="168"/>
      <c r="S98" s="168"/>
      <c r="T98" s="168"/>
      <c r="U98" s="169"/>
      <c r="V98" s="169"/>
      <c r="W98" s="45"/>
      <c r="X98" s="166"/>
      <c r="Y98" s="16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0"/>
      <c r="E99" s="60"/>
      <c r="F99" s="60"/>
      <c r="G99" s="60"/>
      <c r="H99" s="60"/>
      <c r="I99" s="60"/>
      <c r="J99" s="60"/>
      <c r="K99" s="167"/>
      <c r="L99" s="60"/>
      <c r="M99" s="60"/>
      <c r="N99" s="168"/>
      <c r="O99" s="168"/>
      <c r="P99" s="168"/>
      <c r="Q99" s="168"/>
      <c r="R99" s="168"/>
      <c r="S99" s="168"/>
      <c r="T99" s="168"/>
      <c r="U99" s="169"/>
      <c r="V99" s="169"/>
      <c r="W99" s="45"/>
      <c r="X99" s="166"/>
      <c r="Y99" s="16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0"/>
      <c r="E100" s="60"/>
      <c r="F100" s="60"/>
      <c r="G100" s="60"/>
      <c r="H100" s="60"/>
      <c r="I100" s="60"/>
      <c r="J100" s="60"/>
      <c r="K100" s="167"/>
      <c r="L100" s="60"/>
      <c r="M100" s="60"/>
      <c r="N100" s="168"/>
      <c r="O100" s="168"/>
      <c r="P100" s="168"/>
      <c r="Q100" s="168"/>
      <c r="R100" s="168"/>
      <c r="S100" s="168"/>
      <c r="T100" s="168"/>
      <c r="U100" s="169"/>
      <c r="V100" s="169"/>
      <c r="W100" s="45"/>
      <c r="X100" s="166"/>
      <c r="Y100" s="16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0"/>
      <c r="E101" s="60"/>
      <c r="F101" s="60"/>
      <c r="G101" s="60"/>
      <c r="H101" s="60"/>
      <c r="I101" s="60"/>
      <c r="J101" s="60"/>
      <c r="K101" s="167"/>
      <c r="L101" s="60"/>
      <c r="M101" s="60"/>
      <c r="N101" s="168"/>
      <c r="O101" s="168"/>
      <c r="P101" s="168"/>
      <c r="Q101" s="168"/>
      <c r="R101" s="168"/>
      <c r="S101" s="168"/>
      <c r="T101" s="168"/>
      <c r="U101" s="169"/>
      <c r="V101" s="169"/>
      <c r="W101" s="45"/>
      <c r="X101" s="166"/>
      <c r="Y101" s="16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169"/>
      <c r="V102" s="169"/>
      <c r="W102" s="45"/>
      <c r="X102" s="166"/>
      <c r="Y102" s="16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169"/>
      <c r="V103" s="169"/>
      <c r="W103" s="45"/>
      <c r="X103" s="166"/>
      <c r="Y103" s="16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0"/>
      <c r="E107" s="60"/>
      <c r="F107" s="60"/>
      <c r="G107" s="60"/>
      <c r="H107" s="60"/>
      <c r="I107" s="170"/>
      <c r="J107" s="60"/>
      <c r="K107" s="167"/>
      <c r="L107" s="60"/>
      <c r="M107" s="60"/>
      <c r="N107" s="168"/>
      <c r="O107" s="168"/>
      <c r="P107" s="168"/>
      <c r="Q107" s="168"/>
      <c r="R107" s="168"/>
      <c r="S107" s="168"/>
      <c r="T107" s="168"/>
      <c r="U107" s="169"/>
      <c r="V107" s="169"/>
      <c r="W107" s="45"/>
      <c r="X107" s="166"/>
      <c r="Y107" s="16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0"/>
      <c r="E108" s="60"/>
      <c r="F108" s="60"/>
      <c r="G108" s="60"/>
      <c r="H108" s="60"/>
      <c r="I108" s="170"/>
      <c r="J108" s="60"/>
      <c r="K108" s="167"/>
      <c r="L108" s="60"/>
      <c r="M108" s="60"/>
      <c r="N108" s="168"/>
      <c r="O108" s="168"/>
      <c r="P108" s="168"/>
      <c r="Q108" s="168"/>
      <c r="R108" s="168"/>
      <c r="S108" s="168"/>
      <c r="T108" s="168"/>
      <c r="U108" s="169"/>
      <c r="V108" s="169"/>
      <c r="W108" s="45"/>
      <c r="X108" s="166"/>
      <c r="Y108" s="16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0"/>
      <c r="E109" s="60"/>
      <c r="F109" s="60"/>
      <c r="G109" s="60"/>
      <c r="H109" s="60"/>
      <c r="I109" s="170"/>
      <c r="J109" s="60"/>
      <c r="K109" s="167"/>
      <c r="L109" s="60"/>
      <c r="M109" s="60"/>
      <c r="N109" s="168"/>
      <c r="O109" s="168"/>
      <c r="P109" s="168"/>
      <c r="Q109" s="168"/>
      <c r="R109" s="168"/>
      <c r="S109" s="168"/>
      <c r="T109" s="168"/>
      <c r="U109" s="169"/>
      <c r="V109" s="169"/>
      <c r="W109" s="45"/>
      <c r="X109" s="166"/>
      <c r="Y109" s="16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0"/>
      <c r="E110" s="60"/>
      <c r="F110" s="60"/>
      <c r="G110" s="60"/>
      <c r="H110" s="60"/>
      <c r="I110" s="60"/>
      <c r="J110" s="60"/>
      <c r="K110" s="167"/>
      <c r="L110" s="60"/>
      <c r="M110" s="60"/>
      <c r="N110" s="168"/>
      <c r="O110" s="168"/>
      <c r="P110" s="168"/>
      <c r="Q110" s="168"/>
      <c r="R110" s="168"/>
      <c r="S110" s="168"/>
      <c r="T110" s="168"/>
      <c r="U110" s="169"/>
      <c r="V110" s="169"/>
      <c r="W110" s="45"/>
      <c r="X110" s="166"/>
      <c r="Y110" s="16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0"/>
      <c r="E111" s="60"/>
      <c r="F111" s="60"/>
      <c r="G111" s="60"/>
      <c r="H111" s="60"/>
      <c r="I111" s="60"/>
      <c r="J111" s="60"/>
      <c r="K111" s="167"/>
      <c r="L111" s="60"/>
      <c r="M111" s="60"/>
      <c r="N111" s="168"/>
      <c r="O111" s="168"/>
      <c r="P111" s="168"/>
      <c r="Q111" s="168"/>
      <c r="R111" s="168"/>
      <c r="S111" s="168"/>
      <c r="T111" s="168"/>
      <c r="U111" s="169"/>
      <c r="V111" s="169"/>
      <c r="W111" s="45"/>
      <c r="X111" s="166"/>
      <c r="Y111" s="16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0"/>
      <c r="E112" s="60"/>
      <c r="F112" s="60"/>
      <c r="G112" s="60"/>
      <c r="H112" s="60"/>
      <c r="I112" s="60"/>
      <c r="J112" s="60"/>
      <c r="K112" s="167"/>
      <c r="L112" s="60"/>
      <c r="M112" s="60"/>
      <c r="N112" s="168"/>
      <c r="O112" s="168"/>
      <c r="P112" s="168"/>
      <c r="Q112" s="168"/>
      <c r="R112" s="168"/>
      <c r="S112" s="168"/>
      <c r="T112" s="168"/>
      <c r="U112" s="169"/>
      <c r="V112" s="169"/>
      <c r="W112" s="45"/>
      <c r="X112" s="166"/>
      <c r="Y112" s="16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0"/>
      <c r="E113" s="60"/>
      <c r="F113" s="60"/>
      <c r="G113" s="60"/>
      <c r="H113" s="60"/>
      <c r="I113" s="60"/>
      <c r="J113" s="60"/>
      <c r="K113" s="167"/>
      <c r="L113" s="60"/>
      <c r="M113" s="60"/>
      <c r="N113" s="168"/>
      <c r="O113" s="168"/>
      <c r="P113" s="168"/>
      <c r="Q113" s="168"/>
      <c r="R113" s="168"/>
      <c r="S113" s="168"/>
      <c r="T113" s="168"/>
      <c r="U113" s="169"/>
      <c r="V113" s="169"/>
      <c r="W113" s="45"/>
      <c r="X113" s="166"/>
      <c r="Y113" s="16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0"/>
      <c r="E114" s="60"/>
      <c r="F114" s="60"/>
      <c r="G114" s="60"/>
      <c r="H114" s="60"/>
      <c r="I114" s="60"/>
      <c r="J114" s="60"/>
      <c r="K114" s="167"/>
      <c r="L114" s="60"/>
      <c r="M114" s="60"/>
      <c r="N114" s="168"/>
      <c r="O114" s="168"/>
      <c r="P114" s="168"/>
      <c r="Q114" s="168"/>
      <c r="R114" s="168"/>
      <c r="S114" s="168"/>
      <c r="T114" s="168"/>
      <c r="U114" s="169"/>
      <c r="V114" s="169"/>
      <c r="W114" s="45"/>
      <c r="X114" s="166"/>
      <c r="Y114" s="16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0"/>
      <c r="E115" s="60"/>
      <c r="F115" s="60"/>
      <c r="G115" s="60"/>
      <c r="H115" s="60"/>
      <c r="I115" s="60"/>
      <c r="J115" s="60"/>
      <c r="K115" s="167"/>
      <c r="L115" s="60"/>
      <c r="M115" s="60"/>
      <c r="N115" s="168"/>
      <c r="O115" s="168"/>
      <c r="P115" s="168"/>
      <c r="Q115" s="168"/>
      <c r="R115" s="168"/>
      <c r="S115" s="168"/>
      <c r="T115" s="168"/>
      <c r="U115" s="169"/>
      <c r="V115" s="169"/>
      <c r="W115" s="45"/>
      <c r="X115" s="166"/>
      <c r="Y115" s="16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0"/>
      <c r="E116" s="60"/>
      <c r="F116" s="60"/>
      <c r="G116" s="60"/>
      <c r="H116" s="60"/>
      <c r="I116" s="60"/>
      <c r="J116" s="60"/>
      <c r="K116" s="167"/>
      <c r="L116" s="60"/>
      <c r="M116" s="60"/>
      <c r="N116" s="168"/>
      <c r="O116" s="168"/>
      <c r="P116" s="168"/>
      <c r="Q116" s="168"/>
      <c r="R116" s="168"/>
      <c r="S116" s="168"/>
      <c r="T116" s="168"/>
      <c r="U116" s="169"/>
      <c r="V116" s="169"/>
      <c r="W116" s="45"/>
      <c r="X116" s="166"/>
      <c r="Y116" s="16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0"/>
      <c r="E117" s="60"/>
      <c r="F117" s="60"/>
      <c r="G117" s="60"/>
      <c r="H117" s="60"/>
      <c r="I117" s="60"/>
      <c r="J117" s="60"/>
      <c r="K117" s="167"/>
      <c r="L117" s="60"/>
      <c r="M117" s="60"/>
      <c r="N117" s="168"/>
      <c r="O117" s="168"/>
      <c r="P117" s="168"/>
      <c r="Q117" s="168"/>
      <c r="R117" s="168"/>
      <c r="S117" s="168"/>
      <c r="T117" s="168"/>
      <c r="U117" s="169"/>
      <c r="V117" s="169"/>
      <c r="W117" s="45"/>
      <c r="X117" s="166"/>
      <c r="Y117" s="16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0"/>
      <c r="E118" s="60"/>
      <c r="F118" s="60"/>
      <c r="G118" s="60"/>
      <c r="H118" s="60"/>
      <c r="I118" s="60"/>
      <c r="J118" s="60"/>
      <c r="K118" s="167"/>
      <c r="L118" s="60"/>
      <c r="M118" s="60"/>
      <c r="N118" s="168"/>
      <c r="O118" s="168"/>
      <c r="P118" s="168"/>
      <c r="Q118" s="168"/>
      <c r="R118" s="168"/>
      <c r="S118" s="168"/>
      <c r="T118" s="168"/>
      <c r="U118" s="169"/>
      <c r="V118" s="169"/>
      <c r="W118" s="45"/>
      <c r="X118" s="166"/>
      <c r="Y118" s="16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0"/>
      <c r="E119" s="60"/>
      <c r="F119" s="60"/>
      <c r="G119" s="60"/>
      <c r="H119" s="60"/>
      <c r="I119" s="60"/>
      <c r="J119" s="60"/>
      <c r="K119" s="167"/>
      <c r="L119" s="60"/>
      <c r="M119" s="60"/>
      <c r="N119" s="168"/>
      <c r="O119" s="168"/>
      <c r="P119" s="168"/>
      <c r="Q119" s="168"/>
      <c r="R119" s="168"/>
      <c r="S119" s="168"/>
      <c r="T119" s="168"/>
      <c r="U119" s="169"/>
      <c r="V119" s="169"/>
      <c r="W119" s="45"/>
      <c r="X119" s="166"/>
      <c r="Y119" s="16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169"/>
      <c r="V120" s="169"/>
      <c r="W120" s="45"/>
      <c r="X120" s="166"/>
      <c r="Y120" s="16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169"/>
      <c r="V121" s="169"/>
      <c r="W121" s="45"/>
      <c r="X121" s="166"/>
      <c r="Y121" s="16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45"/>
      <c r="V122" s="45"/>
      <c r="W122" s="45"/>
      <c r="X122" s="16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45"/>
      <c r="V123" s="45"/>
      <c r="W123" s="45"/>
      <c r="X123" s="16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B18" zoomScale="70" zoomScaleNormal="70" workbookViewId="0">
      <selection activeCell="K37" sqref="K37:L4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207</v>
      </c>
      <c r="B1" t="s">
        <v>206</v>
      </c>
      <c r="C1" s="203" t="s">
        <v>46</v>
      </c>
      <c r="D1" s="204" t="s">
        <v>0</v>
      </c>
      <c r="E1" s="204" t="s">
        <v>1</v>
      </c>
      <c r="F1" s="204" t="s">
        <v>10</v>
      </c>
      <c r="G1" s="204" t="s">
        <v>11</v>
      </c>
      <c r="H1" s="204" t="s">
        <v>23</v>
      </c>
      <c r="I1" s="205" t="s">
        <v>97</v>
      </c>
      <c r="J1" s="169"/>
      <c r="K1" s="4" t="s">
        <v>12</v>
      </c>
      <c r="L1" s="4" t="s">
        <v>7</v>
      </c>
      <c r="M1" s="4" t="s">
        <v>56</v>
      </c>
      <c r="N1" s="4" t="s">
        <v>24</v>
      </c>
      <c r="O1" s="4" t="s">
        <v>102</v>
      </c>
      <c r="P1" s="4" t="s">
        <v>25</v>
      </c>
      <c r="Q1" s="4" t="s">
        <v>122</v>
      </c>
      <c r="R1" s="4" t="s">
        <v>26</v>
      </c>
      <c r="S1" s="4" t="s">
        <v>89</v>
      </c>
      <c r="T1" s="4" t="s">
        <v>7</v>
      </c>
      <c r="U1" s="4" t="str">
        <f t="shared" ref="U1:U12" si="0">K1</f>
        <v>Charger Pwr, W</v>
      </c>
      <c r="V1" s="4" t="s">
        <v>156</v>
      </c>
      <c r="W1" s="4" t="s">
        <v>123</v>
      </c>
      <c r="X1" s="4" t="s">
        <v>135</v>
      </c>
      <c r="Y1" s="4" t="s">
        <v>42</v>
      </c>
      <c r="Z1" s="4" t="s">
        <v>143</v>
      </c>
      <c r="AA1" s="4" t="s">
        <v>245</v>
      </c>
      <c r="AB1" s="4" t="s">
        <v>246</v>
      </c>
      <c r="AC1" s="4" t="s">
        <v>151</v>
      </c>
      <c r="AD1" s="4" t="s">
        <v>152</v>
      </c>
      <c r="AE1" s="4" t="s">
        <v>153</v>
      </c>
      <c r="AF1" s="4" t="s">
        <v>199</v>
      </c>
      <c r="AG1" s="4" t="s">
        <v>158</v>
      </c>
      <c r="AH1" s="4" t="s">
        <v>61</v>
      </c>
      <c r="AI1" s="4" t="s">
        <v>58</v>
      </c>
      <c r="AJ1" s="4" t="s">
        <v>62</v>
      </c>
      <c r="AK1" s="4" t="s">
        <v>59</v>
      </c>
      <c r="AL1" s="4" t="s">
        <v>94</v>
      </c>
      <c r="AM1" s="4" t="s">
        <v>95</v>
      </c>
      <c r="AN1" s="4" t="s">
        <v>90</v>
      </c>
      <c r="AO1" s="4" t="s">
        <v>91</v>
      </c>
      <c r="AP1" s="4" t="s">
        <v>78</v>
      </c>
      <c r="AQ1" s="4" t="s">
        <v>124</v>
      </c>
      <c r="AR1" s="4" t="s">
        <v>77</v>
      </c>
      <c r="AS1" s="4" t="s">
        <v>74</v>
      </c>
      <c r="AT1" s="4" t="s">
        <v>92</v>
      </c>
      <c r="AU1" s="4" t="s">
        <v>171</v>
      </c>
      <c r="AX1" s="4"/>
      <c r="AY1" s="4"/>
    </row>
    <row r="2" spans="1:51" x14ac:dyDescent="0.25">
      <c r="A2" t="s">
        <v>208</v>
      </c>
      <c r="B2" t="s">
        <v>187</v>
      </c>
      <c r="C2" s="200">
        <f t="shared" ref="C2:C12" si="1">D2/180+1</f>
        <v>1.0372724106884923</v>
      </c>
      <c r="D2" s="242">
        <f>EXP((0-$Q$40)/$R$40)</f>
        <v>6.7090339239286205</v>
      </c>
      <c r="E2" s="98">
        <v>3.3999999999999998E-3</v>
      </c>
      <c r="F2" s="98">
        <v>12.23</v>
      </c>
      <c r="G2" s="98">
        <v>7.5999999999999998E-2</v>
      </c>
      <c r="H2" s="128">
        <v>1.0000000000000001E+32</v>
      </c>
      <c r="I2" s="171">
        <v>1.0000000000000001E+32</v>
      </c>
      <c r="J2" s="169"/>
      <c r="K2" s="2">
        <f t="shared" ref="K2:K12" si="2">F2*G2</f>
        <v>0.92947999999999997</v>
      </c>
      <c r="L2" s="209">
        <f t="shared" ref="L2:L12" si="3">D2</f>
        <v>6.7090339239286205</v>
      </c>
      <c r="M2" s="214">
        <f t="shared" ref="M2:M12" si="4">LN(L2)</f>
        <v>1.9034549650486081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6.7090339239286205</v>
      </c>
      <c r="U2" s="138">
        <f t="shared" si="0"/>
        <v>0.92947999999999997</v>
      </c>
      <c r="V2" s="1">
        <f>($U2-$U$2)</f>
        <v>0</v>
      </c>
      <c r="W2" s="214">
        <f>($U2-$U$2)*0.001341022</f>
        <v>0</v>
      </c>
      <c r="X2" s="207">
        <v>0</v>
      </c>
      <c r="Y2" s="207">
        <v>0</v>
      </c>
      <c r="Z2" s="208">
        <f>$Q$36*(P2/$Q$29/100)^2</f>
        <v>7.5021579327112167E-58</v>
      </c>
      <c r="AA2" s="209">
        <f t="shared" ref="AA2:AA12" si="10">SQRT(Z2^3/4/$Q$26/$Q$32)</f>
        <v>2.0154592931120451E-85</v>
      </c>
      <c r="AB2" s="1"/>
      <c r="AC2" s="138">
        <f t="shared" ref="AC2:AC12" si="11">SQRT(Z2/$Q$32/$Q$26)</f>
        <v>5.3730121684699729E-28</v>
      </c>
      <c r="AD2" s="155">
        <f t="shared" ref="AD2:AD11" si="12">AC2*1/1.6/1000*3600</f>
        <v>1.2089277379057438E-27</v>
      </c>
      <c r="AE2" s="4">
        <f t="shared" ref="AE2:AE12" si="13">Q2/60*PI()*$C$38/1000</f>
        <v>0</v>
      </c>
      <c r="AF2" s="138">
        <f>AE2/AC2</f>
        <v>0</v>
      </c>
      <c r="AH2" s="208">
        <f t="shared" ref="AH2:AH13" si="14">D2/$Q$30*$Q$22</f>
        <v>0.18636205344246171</v>
      </c>
      <c r="AI2" s="208">
        <f t="shared" ref="AI2:AI13" si="15">AH2/$Q$22*$Q$30</f>
        <v>6.7090339239286205</v>
      </c>
      <c r="AJ2" s="209">
        <f t="shared" ref="AJ2:AJ13" si="16">MAX(($Q$40+$R$40*LN($AI2)),0)</f>
        <v>0</v>
      </c>
      <c r="AK2" s="209">
        <f t="shared" ref="AK2:AK13" si="17">MAX(($Q$40+$R$40*LN(AI2))/$Q$29,0)</f>
        <v>0</v>
      </c>
      <c r="AL2" s="209">
        <f t="shared" ref="AL2:AL13" si="18">($Q$41+$R$41*AK2*$Q$29)/$Q$29</f>
        <v>-13.964544696589824</v>
      </c>
      <c r="AM2" s="209">
        <f t="shared" ref="AM2:AM13" si="19">($Q$42+$R$42*AL2*$Q$29)/$Q$29</f>
        <v>9.1881258622900461E-2</v>
      </c>
      <c r="AN2" s="1"/>
      <c r="AO2" s="1">
        <f t="shared" ref="AO2:AO13" si="20">MAX($Q$41+$R$41*AJ2, 0)</f>
        <v>0</v>
      </c>
      <c r="AP2" s="207"/>
      <c r="AQ2" s="207"/>
      <c r="AR2" s="207"/>
      <c r="AS2" s="1"/>
      <c r="AT2" s="207"/>
      <c r="AU2" s="1"/>
    </row>
    <row r="3" spans="1:51" ht="15" customHeight="1" x14ac:dyDescent="0.25">
      <c r="A3" t="s">
        <v>209</v>
      </c>
      <c r="B3" t="s">
        <v>187</v>
      </c>
      <c r="C3" s="200">
        <f t="shared" si="1"/>
        <v>1.0555555555555556</v>
      </c>
      <c r="D3" s="72">
        <v>10</v>
      </c>
      <c r="E3" s="98">
        <v>7.0000000000000007E-2</v>
      </c>
      <c r="F3" s="72">
        <v>12.22</v>
      </c>
      <c r="G3" s="96">
        <v>0.35699999999999998</v>
      </c>
      <c r="H3" s="72">
        <v>7360</v>
      </c>
      <c r="I3" s="171">
        <v>1.0000000000000001E+32</v>
      </c>
      <c r="J3" s="60"/>
      <c r="K3" s="2">
        <f t="shared" si="2"/>
        <v>4.3625400000000001</v>
      </c>
      <c r="L3" s="1">
        <f t="shared" si="3"/>
        <v>10</v>
      </c>
      <c r="M3" s="214">
        <f t="shared" si="4"/>
        <v>2.3025850929940459</v>
      </c>
      <c r="N3" s="3">
        <f t="shared" si="5"/>
        <v>135.86956521739131</v>
      </c>
      <c r="O3" s="3">
        <f t="shared" si="5"/>
        <v>9.999999999999999E-27</v>
      </c>
      <c r="P3" s="3">
        <f t="shared" si="6"/>
        <v>8152.1739130434789</v>
      </c>
      <c r="Q3" s="3">
        <f t="shared" ref="Q3:Q12" si="21">O3*60/$C$24</f>
        <v>5.9999999999999995E-25</v>
      </c>
      <c r="R3" s="3">
        <f t="shared" si="7"/>
        <v>17.69134963768116</v>
      </c>
      <c r="S3" s="3">
        <f t="shared" si="8"/>
        <v>1.3020833333333332E-27</v>
      </c>
      <c r="T3" s="3">
        <f>L3</f>
        <v>10</v>
      </c>
      <c r="U3" s="138">
        <f>K3</f>
        <v>4.3625400000000001</v>
      </c>
      <c r="V3" s="1">
        <f t="shared" ref="V3:V12" si="22">($U3-$U$2)</f>
        <v>3.4330600000000002</v>
      </c>
      <c r="W3" s="214">
        <f t="shared" ref="W3:W12" si="23">($U3-$U$2)*0.001341022</f>
        <v>4.603808987320001E-3</v>
      </c>
      <c r="X3" s="210">
        <f>$W3/$P3*5252</f>
        <v>2.9659824556389695E-3</v>
      </c>
      <c r="Y3" s="210">
        <f>X3-$X$3</f>
        <v>0</v>
      </c>
      <c r="Z3" s="208">
        <f t="shared" ref="Z3:Z11" si="24">$Q$36*(P3/$Q$29/100)^2</f>
        <v>0.13849387724316256</v>
      </c>
      <c r="AA3" s="209">
        <f t="shared" si="10"/>
        <v>0.505522613917187</v>
      </c>
      <c r="AB3" s="2">
        <f>AA3/U3*100</f>
        <v>11.587804671525923</v>
      </c>
      <c r="AC3" s="138">
        <f t="shared" si="11"/>
        <v>7.3002882723776823</v>
      </c>
      <c r="AD3" s="155">
        <f t="shared" si="12"/>
        <v>16.425648612849784</v>
      </c>
      <c r="AE3" s="4">
        <f t="shared" si="13"/>
        <v>1.7278759594743859E-27</v>
      </c>
      <c r="AF3" s="138">
        <f t="shared" ref="AF3:AF12" si="25">AE3/AC3</f>
        <v>2.3668599033440931E-28</v>
      </c>
      <c r="AH3" s="208">
        <f t="shared" si="14"/>
        <v>0.27777777777777779</v>
      </c>
      <c r="AI3" s="208">
        <f t="shared" si="15"/>
        <v>10</v>
      </c>
      <c r="AJ3" s="209">
        <f t="shared" si="16"/>
        <v>4955.5552609427614</v>
      </c>
      <c r="AK3" s="209">
        <f t="shared" si="17"/>
        <v>10.754243187809811</v>
      </c>
      <c r="AL3" s="209">
        <f t="shared" si="18"/>
        <v>-3.4566594209835877</v>
      </c>
      <c r="AM3" s="209">
        <f t="shared" si="19"/>
        <v>10.830615370281183</v>
      </c>
      <c r="AN3" s="1"/>
      <c r="AO3" s="1">
        <f t="shared" si="20"/>
        <v>0</v>
      </c>
      <c r="AP3" s="207">
        <f t="shared" ref="AP3:AP13" si="26">MAX($J$46+$AJ3*($K$46+$AJ3*$L$46), 0)</f>
        <v>0</v>
      </c>
      <c r="AQ3" s="207">
        <f>AJ3*AP3/5252</f>
        <v>0</v>
      </c>
      <c r="AR3" s="211">
        <f t="shared" ref="AR3:AR13" si="27">MAX($K$46+$L$46*2*AJ3,1E-32)</f>
        <v>2.4215538624094316E-7</v>
      </c>
      <c r="AS3" s="208"/>
      <c r="AT3" s="1"/>
      <c r="AU3" s="208"/>
      <c r="AX3" s="111"/>
      <c r="AY3" s="87"/>
    </row>
    <row r="4" spans="1:51" ht="15" customHeight="1" x14ac:dyDescent="0.25">
      <c r="A4" t="s">
        <v>210</v>
      </c>
      <c r="B4" t="s">
        <v>220</v>
      </c>
      <c r="C4" s="200">
        <f t="shared" si="1"/>
        <v>1.0777777777777777</v>
      </c>
      <c r="D4" s="72">
        <v>14</v>
      </c>
      <c r="E4" s="98">
        <v>0.3</v>
      </c>
      <c r="F4" s="72">
        <v>12.22</v>
      </c>
      <c r="G4" s="96">
        <v>0.54700000000000004</v>
      </c>
      <c r="H4" s="72">
        <v>5440</v>
      </c>
      <c r="I4" s="77">
        <v>80000</v>
      </c>
      <c r="J4" s="60"/>
      <c r="K4" s="2">
        <f t="shared" si="2"/>
        <v>6.6843400000000006</v>
      </c>
      <c r="L4" s="1">
        <f t="shared" si="3"/>
        <v>14</v>
      </c>
      <c r="M4" s="214">
        <f t="shared" si="4"/>
        <v>2.6390573296152584</v>
      </c>
      <c r="N4" s="3">
        <f t="shared" si="5"/>
        <v>183.82352941176472</v>
      </c>
      <c r="O4" s="3">
        <f t="shared" si="5"/>
        <v>12.500000000000002</v>
      </c>
      <c r="P4" s="3">
        <f t="shared" si="6"/>
        <v>11029.411764705883</v>
      </c>
      <c r="Q4" s="3">
        <f t="shared" si="21"/>
        <v>750.00000000000011</v>
      </c>
      <c r="R4" s="3">
        <f t="shared" si="7"/>
        <v>23.935355392156865</v>
      </c>
      <c r="S4" s="3">
        <f t="shared" si="8"/>
        <v>1.627604166666667</v>
      </c>
      <c r="T4" s="3">
        <f t="shared" si="9"/>
        <v>14</v>
      </c>
      <c r="U4" s="138">
        <f t="shared" si="0"/>
        <v>6.6843400000000006</v>
      </c>
      <c r="V4" s="209">
        <f t="shared" si="22"/>
        <v>5.7548600000000008</v>
      </c>
      <c r="W4" s="214">
        <f t="shared" si="23"/>
        <v>7.7173938669200014E-3</v>
      </c>
      <c r="X4" s="210">
        <f t="shared" ref="X4:X12" si="28">$W4/$P4*5252</f>
        <v>3.6748789014084552E-3</v>
      </c>
      <c r="Y4" s="210">
        <f t="shared" ref="Y4:Y12" si="29">X4-$X$3</f>
        <v>7.0889644576948565E-4</v>
      </c>
      <c r="Z4" s="208">
        <f t="shared" si="24"/>
        <v>0.2535060936388685</v>
      </c>
      <c r="AA4" s="209">
        <f t="shared" si="10"/>
        <v>1.2519221745431335</v>
      </c>
      <c r="AB4" s="2">
        <f t="shared" ref="AB4:AB11" si="30">AA4/U4*100</f>
        <v>18.729181557837173</v>
      </c>
      <c r="AC4" s="138">
        <f t="shared" si="11"/>
        <v>9.876860603805099</v>
      </c>
      <c r="AD4" s="155">
        <f t="shared" si="12"/>
        <v>22.222936358561473</v>
      </c>
      <c r="AE4" s="155">
        <f t="shared" si="13"/>
        <v>2.1598449493429834</v>
      </c>
      <c r="AF4" s="138">
        <f t="shared" si="25"/>
        <v>0.21867727367853049</v>
      </c>
      <c r="AG4" s="131"/>
      <c r="AH4" s="208">
        <f t="shared" si="14"/>
        <v>0.3888888888888889</v>
      </c>
      <c r="AI4" s="208">
        <f t="shared" si="15"/>
        <v>14</v>
      </c>
      <c r="AJ4" s="209">
        <f t="shared" si="16"/>
        <v>9133.1571145852577</v>
      </c>
      <c r="AK4" s="209">
        <f t="shared" si="17"/>
        <v>19.820219432693701</v>
      </c>
      <c r="AL4" s="209">
        <f t="shared" si="18"/>
        <v>5.4016336851826967</v>
      </c>
      <c r="AM4" s="209">
        <f t="shared" si="19"/>
        <v>19.88351724874855</v>
      </c>
      <c r="AN4" s="2">
        <f t="shared" ref="AN4:AN13" si="31">AO4/$Q$29</f>
        <v>5.4016336851826967</v>
      </c>
      <c r="AO4" s="3">
        <f t="shared" si="20"/>
        <v>2489.0728021321866</v>
      </c>
      <c r="AP4" s="207">
        <f t="shared" si="26"/>
        <v>4.7406206488910443E-5</v>
      </c>
      <c r="AQ4" s="207">
        <f t="shared" ref="AQ4:AQ13" si="32">AJ4*AP4/5252</f>
        <v>8.2438753250131417E-5</v>
      </c>
      <c r="AR4" s="211">
        <f t="shared" si="27"/>
        <v>3.298719185561271E-7</v>
      </c>
      <c r="AS4" s="208">
        <f t="shared" ref="AS4:AS13" si="33">$Q$34/AR4</f>
        <v>0.11345863469863143</v>
      </c>
      <c r="AT4" s="1"/>
      <c r="AU4" s="208"/>
      <c r="AX4" s="110"/>
      <c r="AY4" s="87"/>
    </row>
    <row r="5" spans="1:51" ht="13.9" customHeight="1" x14ac:dyDescent="0.25">
      <c r="A5" t="s">
        <v>211</v>
      </c>
      <c r="B5" s="156">
        <v>16</v>
      </c>
      <c r="C5" s="200">
        <f t="shared" si="1"/>
        <v>1.1444444444444444</v>
      </c>
      <c r="D5" s="72">
        <v>26</v>
      </c>
      <c r="E5" s="72">
        <v>0.72</v>
      </c>
      <c r="F5" s="72">
        <v>12.18</v>
      </c>
      <c r="G5" s="72">
        <v>1.21</v>
      </c>
      <c r="H5" s="72">
        <v>3610</v>
      </c>
      <c r="I5" s="77">
        <v>6240</v>
      </c>
      <c r="J5" s="60"/>
      <c r="K5" s="2">
        <f t="shared" si="2"/>
        <v>14.7378</v>
      </c>
      <c r="L5" s="1">
        <f t="shared" si="3"/>
        <v>26</v>
      </c>
      <c r="M5" s="214">
        <f t="shared" si="4"/>
        <v>3.2580965380214821</v>
      </c>
      <c r="N5" s="3">
        <f t="shared" si="5"/>
        <v>277.0083102493075</v>
      </c>
      <c r="O5" s="3">
        <f t="shared" si="5"/>
        <v>160.25641025641028</v>
      </c>
      <c r="P5" s="3">
        <f t="shared" si="6"/>
        <v>16620.498614958451</v>
      </c>
      <c r="Q5" s="3">
        <f t="shared" si="21"/>
        <v>9615.3846153846171</v>
      </c>
      <c r="R5" s="3">
        <f t="shared" si="7"/>
        <v>36.068790397045248</v>
      </c>
      <c r="S5" s="3">
        <f t="shared" si="8"/>
        <v>20.866720085470089</v>
      </c>
      <c r="T5" s="3">
        <f t="shared" si="9"/>
        <v>26</v>
      </c>
      <c r="U5" s="138">
        <f t="shared" si="0"/>
        <v>14.7378</v>
      </c>
      <c r="V5" s="209">
        <f t="shared" si="22"/>
        <v>13.80832</v>
      </c>
      <c r="W5" s="214">
        <f t="shared" si="23"/>
        <v>1.8517260903040001E-2</v>
      </c>
      <c r="X5" s="210">
        <f t="shared" si="28"/>
        <v>5.8513680314764257E-3</v>
      </c>
      <c r="Y5" s="210">
        <f t="shared" si="29"/>
        <v>2.8853855758374561E-3</v>
      </c>
      <c r="Z5" s="208">
        <f t="shared" si="24"/>
        <v>0.57566761555783164</v>
      </c>
      <c r="AA5" s="209">
        <f t="shared" si="10"/>
        <v>4.2840292290669311</v>
      </c>
      <c r="AB5" s="2">
        <f t="shared" si="30"/>
        <v>29.068308900018529</v>
      </c>
      <c r="AC5" s="138">
        <f t="shared" si="11"/>
        <v>14.883690217368349</v>
      </c>
      <c r="AD5" s="155">
        <f t="shared" si="12"/>
        <v>33.488302989078782</v>
      </c>
      <c r="AE5" s="155">
        <f t="shared" si="13"/>
        <v>27.690319863371577</v>
      </c>
      <c r="AF5" s="138">
        <f t="shared" si="25"/>
        <v>1.8604472048913434</v>
      </c>
      <c r="AG5" s="131"/>
      <c r="AH5" s="208">
        <f t="shared" si="14"/>
        <v>0.7222222222222221</v>
      </c>
      <c r="AI5" s="208">
        <f t="shared" si="15"/>
        <v>25.999999999999996</v>
      </c>
      <c r="AJ5" s="209">
        <f t="shared" si="16"/>
        <v>16819.07905121908</v>
      </c>
      <c r="AK5" s="209">
        <f t="shared" si="17"/>
        <v>36.499737524346962</v>
      </c>
      <c r="AL5" s="209">
        <f t="shared" si="18"/>
        <v>21.699057827325941</v>
      </c>
      <c r="AM5" s="209">
        <f t="shared" si="19"/>
        <v>36.538981214812814</v>
      </c>
      <c r="AN5" s="2">
        <f t="shared" si="31"/>
        <v>21.699057827325941</v>
      </c>
      <c r="AO5" s="3">
        <f t="shared" si="20"/>
        <v>9998.925846831793</v>
      </c>
      <c r="AP5" s="207">
        <f t="shared" si="26"/>
        <v>3.2029540127219589E-3</v>
      </c>
      <c r="AQ5" s="207">
        <f t="shared" si="32"/>
        <v>1.0257185212755138E-2</v>
      </c>
      <c r="AR5" s="211">
        <f t="shared" si="27"/>
        <v>4.9125216577592726E-7</v>
      </c>
      <c r="AS5" s="208">
        <f t="shared" si="33"/>
        <v>7.6186569978131474E-2</v>
      </c>
      <c r="AT5" s="212">
        <f t="shared" ref="AT5:AT12" si="34">$Q$43*$Q$26*$Q$35^2*$Q$32*PI()/240*($AC5-$Q$45)/$Q$44*$Q$33</f>
        <v>-1.1688670161362719E-7</v>
      </c>
      <c r="AU5" s="145">
        <f t="shared" ref="AU5" si="35">-$Q$34/AT5</f>
        <v>0.32019739618037896</v>
      </c>
      <c r="AX5" s="110"/>
      <c r="AY5" s="87"/>
    </row>
    <row r="6" spans="1:51" ht="13.9" customHeight="1" x14ac:dyDescent="0.25">
      <c r="A6" t="s">
        <v>213</v>
      </c>
      <c r="B6" s="156">
        <v>25</v>
      </c>
      <c r="C6" s="200">
        <f t="shared" si="1"/>
        <v>1.1888888888888889</v>
      </c>
      <c r="D6" s="72">
        <v>34</v>
      </c>
      <c r="E6" s="72">
        <v>0.97</v>
      </c>
      <c r="F6" s="72">
        <v>12.16</v>
      </c>
      <c r="G6" s="72">
        <v>1.74</v>
      </c>
      <c r="H6" s="72">
        <v>3080</v>
      </c>
      <c r="I6" s="77">
        <v>4780</v>
      </c>
      <c r="J6" s="60"/>
      <c r="K6" s="2">
        <f t="shared" si="2"/>
        <v>21.1584</v>
      </c>
      <c r="L6" s="1">
        <f t="shared" si="3"/>
        <v>34</v>
      </c>
      <c r="M6" s="214">
        <f t="shared" si="4"/>
        <v>3.5263605246161616</v>
      </c>
      <c r="N6" s="3">
        <f t="shared" si="5"/>
        <v>324.6753246753247</v>
      </c>
      <c r="O6" s="3">
        <f t="shared" si="5"/>
        <v>209.20502092050208</v>
      </c>
      <c r="P6" s="3">
        <f t="shared" si="6"/>
        <v>19480.519480519481</v>
      </c>
      <c r="Q6" s="3">
        <f t="shared" si="21"/>
        <v>12552.301255230124</v>
      </c>
      <c r="R6" s="3">
        <f t="shared" si="7"/>
        <v>42.275432900432897</v>
      </c>
      <c r="S6" s="3">
        <f t="shared" si="8"/>
        <v>27.240237099023705</v>
      </c>
      <c r="T6" s="3">
        <f t="shared" si="9"/>
        <v>34</v>
      </c>
      <c r="U6" s="138">
        <f t="shared" si="0"/>
        <v>21.1584</v>
      </c>
      <c r="V6" s="209">
        <f t="shared" si="22"/>
        <v>20.228919999999999</v>
      </c>
      <c r="W6" s="214">
        <f t="shared" si="23"/>
        <v>2.7127426756240001E-2</v>
      </c>
      <c r="X6" s="210">
        <f t="shared" si="28"/>
        <v>7.3136265932869874E-3</v>
      </c>
      <c r="Y6" s="210">
        <f t="shared" si="29"/>
        <v>4.3476441376480175E-3</v>
      </c>
      <c r="Z6" s="208">
        <f t="shared" si="24"/>
        <v>0.79083297485992743</v>
      </c>
      <c r="AA6" s="209">
        <f t="shared" si="10"/>
        <v>6.8979792161521081</v>
      </c>
      <c r="AB6" s="2">
        <f t="shared" si="30"/>
        <v>32.601610784142977</v>
      </c>
      <c r="AC6" s="138">
        <f t="shared" si="11"/>
        <v>17.444844702824586</v>
      </c>
      <c r="AD6" s="155">
        <f t="shared" si="12"/>
        <v>39.250900581355317</v>
      </c>
      <c r="AE6" s="155">
        <f t="shared" si="13"/>
        <v>36.14803262498716</v>
      </c>
      <c r="AF6" s="138">
        <f t="shared" si="25"/>
        <v>2.0721326696095059</v>
      </c>
      <c r="AG6" s="131"/>
      <c r="AH6" s="208">
        <f t="shared" si="14"/>
        <v>0.94444444444444442</v>
      </c>
      <c r="AI6" s="208">
        <f t="shared" si="15"/>
        <v>34</v>
      </c>
      <c r="AJ6" s="213">
        <f t="shared" si="16"/>
        <v>20149.814861452069</v>
      </c>
      <c r="AK6" s="213">
        <f t="shared" si="17"/>
        <v>43.727896834748414</v>
      </c>
      <c r="AL6" s="213">
        <f t="shared" si="18"/>
        <v>28.761634659659219</v>
      </c>
      <c r="AM6" s="213">
        <f t="shared" si="19"/>
        <v>43.756716539888409</v>
      </c>
      <c r="AN6" s="9">
        <f t="shared" si="31"/>
        <v>28.761634659659219</v>
      </c>
      <c r="AO6" s="10">
        <f t="shared" si="20"/>
        <v>13253.361251170969</v>
      </c>
      <c r="AP6" s="210">
        <f t="shared" si="26"/>
        <v>4.9556527014363687E-3</v>
      </c>
      <c r="AQ6" s="210">
        <f t="shared" si="32"/>
        <v>1.9012849286290486E-2</v>
      </c>
      <c r="AR6" s="212">
        <f t="shared" si="27"/>
        <v>5.6118716809715231E-7</v>
      </c>
      <c r="AS6" s="208">
        <f t="shared" si="33"/>
        <v>6.6692218982307566E-2</v>
      </c>
      <c r="AT6" s="212">
        <f t="shared" si="34"/>
        <v>-1.7818561428078719E-7</v>
      </c>
      <c r="AU6" s="145">
        <f t="shared" ref="AU6:AU12" si="36">-$Q$34/AT6</f>
        <v>0.21004399067715232</v>
      </c>
      <c r="AX6" s="110"/>
      <c r="AY6" s="87"/>
    </row>
    <row r="7" spans="1:51" ht="13.9" customHeight="1" x14ac:dyDescent="0.25">
      <c r="A7" t="s">
        <v>214</v>
      </c>
      <c r="B7" s="156">
        <v>36</v>
      </c>
      <c r="C7" s="200">
        <f t="shared" si="1"/>
        <v>1.2833333333333332</v>
      </c>
      <c r="D7" s="72">
        <v>51</v>
      </c>
      <c r="E7" s="72">
        <v>1.3149999999999999</v>
      </c>
      <c r="F7" s="72">
        <v>12.05</v>
      </c>
      <c r="G7" s="72">
        <v>2.92</v>
      </c>
      <c r="H7" s="72">
        <v>2490</v>
      </c>
      <c r="I7" s="77">
        <v>3500</v>
      </c>
      <c r="J7" s="60"/>
      <c r="K7" s="2">
        <f t="shared" si="2"/>
        <v>35.186</v>
      </c>
      <c r="L7" s="1">
        <f t="shared" si="3"/>
        <v>51</v>
      </c>
      <c r="M7" s="214">
        <f t="shared" si="4"/>
        <v>3.9318256327243257</v>
      </c>
      <c r="N7" s="3">
        <f t="shared" si="5"/>
        <v>401.60642570281129</v>
      </c>
      <c r="O7" s="3">
        <f t="shared" si="5"/>
        <v>285.71428571428572</v>
      </c>
      <c r="P7" s="3">
        <f t="shared" si="6"/>
        <v>24096.385542168679</v>
      </c>
      <c r="Q7" s="3">
        <f t="shared" si="21"/>
        <v>17142.857142857145</v>
      </c>
      <c r="R7" s="3">
        <f t="shared" si="7"/>
        <v>52.292503346720224</v>
      </c>
      <c r="S7" s="3">
        <f t="shared" si="8"/>
        <v>37.202380952380956</v>
      </c>
      <c r="T7" s="3">
        <f t="shared" si="9"/>
        <v>51</v>
      </c>
      <c r="U7" s="138">
        <f t="shared" si="0"/>
        <v>35.186</v>
      </c>
      <c r="V7" s="209">
        <f t="shared" si="22"/>
        <v>34.256520000000002</v>
      </c>
      <c r="W7" s="214">
        <f t="shared" si="23"/>
        <v>4.5938746963440004E-2</v>
      </c>
      <c r="X7" s="210">
        <f t="shared" si="28"/>
        <v>1.0012717410657455E-2</v>
      </c>
      <c r="Y7" s="210">
        <f t="shared" si="29"/>
        <v>7.0467349550184851E-3</v>
      </c>
      <c r="Z7" s="208">
        <f t="shared" si="24"/>
        <v>1.210005956792829</v>
      </c>
      <c r="AA7" s="209">
        <f t="shared" si="10"/>
        <v>13.054973352949846</v>
      </c>
      <c r="AB7" s="2">
        <f t="shared" si="30"/>
        <v>37.102749255243126</v>
      </c>
      <c r="AC7" s="138">
        <f t="shared" si="11"/>
        <v>21.578362122369377</v>
      </c>
      <c r="AD7" s="155">
        <f t="shared" si="12"/>
        <v>48.5513147753311</v>
      </c>
      <c r="AE7" s="155">
        <f t="shared" si="13"/>
        <v>49.367884556411035</v>
      </c>
      <c r="AF7" s="138">
        <f t="shared" si="25"/>
        <v>2.2878420649560529</v>
      </c>
      <c r="AG7" s="131"/>
      <c r="AH7" s="208">
        <f t="shared" si="14"/>
        <v>1.4166666666666665</v>
      </c>
      <c r="AI7" s="208">
        <f t="shared" si="15"/>
        <v>51</v>
      </c>
      <c r="AJ7" s="209">
        <f t="shared" si="16"/>
        <v>25184.024531258845</v>
      </c>
      <c r="AK7" s="209">
        <f t="shared" si="17"/>
        <v>54.652831014016591</v>
      </c>
      <c r="AL7" s="209">
        <f t="shared" si="18"/>
        <v>39.436300742106155</v>
      </c>
      <c r="AM7" s="209">
        <f t="shared" si="19"/>
        <v>54.665895483462393</v>
      </c>
      <c r="AN7" s="2">
        <f t="shared" si="31"/>
        <v>39.436300742106155</v>
      </c>
      <c r="AO7" s="3">
        <f t="shared" si="20"/>
        <v>18172.247381962516</v>
      </c>
      <c r="AP7" s="207">
        <f t="shared" si="26"/>
        <v>8.0468511177519183E-3</v>
      </c>
      <c r="AQ7" s="207">
        <f t="shared" si="32"/>
        <v>3.8585699914099769E-2</v>
      </c>
      <c r="AR7" s="211">
        <f t="shared" si="27"/>
        <v>6.6688977707076621E-7</v>
      </c>
      <c r="AS7" s="208">
        <f t="shared" si="33"/>
        <v>5.6121444340006467E-2</v>
      </c>
      <c r="AT7" s="212">
        <f t="shared" si="34"/>
        <v>-2.7711760949923428E-7</v>
      </c>
      <c r="AU7" s="145">
        <f t="shared" si="36"/>
        <v>0.13505752150658526</v>
      </c>
      <c r="AX7" s="110"/>
      <c r="AY7" s="87"/>
    </row>
    <row r="8" spans="1:51" ht="13.9" customHeight="1" x14ac:dyDescent="0.25">
      <c r="A8" t="s">
        <v>215</v>
      </c>
      <c r="B8" s="156">
        <v>45</v>
      </c>
      <c r="C8" s="200">
        <f t="shared" si="1"/>
        <v>1.4222222222222223</v>
      </c>
      <c r="D8" s="72">
        <v>76</v>
      </c>
      <c r="E8" s="72">
        <v>1.68</v>
      </c>
      <c r="F8" s="72">
        <v>11.97</v>
      </c>
      <c r="G8" s="72">
        <v>4.82</v>
      </c>
      <c r="H8" s="72">
        <v>2070</v>
      </c>
      <c r="I8" s="77">
        <v>2720</v>
      </c>
      <c r="J8" s="60"/>
      <c r="K8" s="2">
        <f t="shared" si="2"/>
        <v>57.695400000000006</v>
      </c>
      <c r="L8" s="1">
        <f t="shared" si="3"/>
        <v>76</v>
      </c>
      <c r="M8" s="214">
        <f t="shared" si="4"/>
        <v>4.3307333402863311</v>
      </c>
      <c r="N8" s="3">
        <f t="shared" si="5"/>
        <v>483.09178743961354</v>
      </c>
      <c r="O8" s="3">
        <f t="shared" si="5"/>
        <v>367.64705882352945</v>
      </c>
      <c r="P8" s="3">
        <f t="shared" si="6"/>
        <v>28985.507246376812</v>
      </c>
      <c r="Q8" s="3">
        <f t="shared" si="21"/>
        <v>22058.823529411766</v>
      </c>
      <c r="R8" s="3">
        <f t="shared" si="7"/>
        <v>62.902576489533011</v>
      </c>
      <c r="S8" s="3">
        <f t="shared" si="8"/>
        <v>47.870710784313729</v>
      </c>
      <c r="T8" s="3">
        <f t="shared" si="9"/>
        <v>76</v>
      </c>
      <c r="U8" s="138">
        <f t="shared" si="0"/>
        <v>57.695400000000006</v>
      </c>
      <c r="V8" s="209">
        <f t="shared" si="22"/>
        <v>56.765920000000008</v>
      </c>
      <c r="W8" s="214">
        <f t="shared" si="23"/>
        <v>7.6124347570240017E-2</v>
      </c>
      <c r="X8" s="210">
        <f t="shared" si="28"/>
        <v>1.3793275033642069E-2</v>
      </c>
      <c r="Y8" s="210">
        <f t="shared" si="29"/>
        <v>1.0827292578003099E-2</v>
      </c>
      <c r="Z8" s="208">
        <f t="shared" si="24"/>
        <v>1.7508361765061535</v>
      </c>
      <c r="AA8" s="209">
        <f t="shared" si="10"/>
        <v>22.722860099915472</v>
      </c>
      <c r="AB8" s="2">
        <f t="shared" si="30"/>
        <v>39.384179847813641</v>
      </c>
      <c r="AC8" s="138">
        <f t="shared" si="11"/>
        <v>25.956580524009535</v>
      </c>
      <c r="AD8" s="155">
        <f t="shared" si="12"/>
        <v>58.402306179021458</v>
      </c>
      <c r="AE8" s="155">
        <f t="shared" si="13"/>
        <v>63.524851451264198</v>
      </c>
      <c r="AF8" s="143">
        <f t="shared" si="25"/>
        <v>2.4473505434394354</v>
      </c>
      <c r="AG8" s="139">
        <f>$N$40/($Q$26*$Q$35*$Q$32*($AC8-$Q$45)^2/4/$AF8)/(PI()*$Q$35/60/($AC8-$Q$45))</f>
        <v>-0.77166743147860251</v>
      </c>
      <c r="AH8" s="208">
        <f t="shared" si="14"/>
        <v>2.1111111111111112</v>
      </c>
      <c r="AI8" s="208">
        <f t="shared" si="15"/>
        <v>76</v>
      </c>
      <c r="AJ8" s="209">
        <f t="shared" si="16"/>
        <v>30136.818245467628</v>
      </c>
      <c r="AK8" s="209">
        <f t="shared" si="17"/>
        <v>65.401081261865514</v>
      </c>
      <c r="AL8" s="209">
        <f t="shared" si="18"/>
        <v>49.938330363858107</v>
      </c>
      <c r="AM8" s="209">
        <f t="shared" si="19"/>
        <v>65.398645297791418</v>
      </c>
      <c r="AN8" s="2">
        <f t="shared" si="31"/>
        <v>49.9383303638581</v>
      </c>
      <c r="AO8" s="3">
        <f t="shared" si="20"/>
        <v>23011.582631665813</v>
      </c>
      <c r="AP8" s="207">
        <f t="shared" si="26"/>
        <v>1.1607346872347815E-2</v>
      </c>
      <c r="AQ8" s="207">
        <f t="shared" si="32"/>
        <v>6.660481778447129E-2</v>
      </c>
      <c r="AR8" s="211">
        <f t="shared" si="27"/>
        <v>7.70882906407407E-7</v>
      </c>
      <c r="AS8" s="208">
        <f t="shared" si="33"/>
        <v>4.855058685789107E-2</v>
      </c>
      <c r="AT8" s="212">
        <f t="shared" si="34"/>
        <v>-3.8190630106935033E-7</v>
      </c>
      <c r="AU8" s="145">
        <f t="shared" si="36"/>
        <v>9.7999999999999976E-2</v>
      </c>
      <c r="AX8" s="110"/>
      <c r="AY8" s="87"/>
    </row>
    <row r="9" spans="1:51" ht="13.9" customHeight="1" x14ac:dyDescent="0.25">
      <c r="A9" t="s">
        <v>216</v>
      </c>
      <c r="B9" s="156">
        <v>50</v>
      </c>
      <c r="C9" s="200">
        <f t="shared" si="1"/>
        <v>1.5055555555555555</v>
      </c>
      <c r="D9" s="72">
        <v>91</v>
      </c>
      <c r="E9" s="72">
        <v>1.86</v>
      </c>
      <c r="F9" s="72">
        <v>11.92</v>
      </c>
      <c r="G9" s="72">
        <v>5.99</v>
      </c>
      <c r="H9" s="72">
        <v>1890</v>
      </c>
      <c r="I9" s="77">
        <v>2480</v>
      </c>
      <c r="J9" s="60"/>
      <c r="K9" s="2">
        <f t="shared" si="2"/>
        <v>71.400800000000004</v>
      </c>
      <c r="L9" s="1">
        <f t="shared" si="3"/>
        <v>91</v>
      </c>
      <c r="M9" s="214">
        <f t="shared" si="4"/>
        <v>4.5108595065168497</v>
      </c>
      <c r="N9" s="3">
        <f t="shared" si="5"/>
        <v>529.10052910052912</v>
      </c>
      <c r="O9" s="3">
        <f t="shared" si="5"/>
        <v>403.22580645161293</v>
      </c>
      <c r="P9" s="3">
        <f t="shared" si="6"/>
        <v>31746.031746031746</v>
      </c>
      <c r="Q9" s="3">
        <f t="shared" si="21"/>
        <v>24193.548387096776</v>
      </c>
      <c r="R9" s="3">
        <f t="shared" si="7"/>
        <v>68.893298059964721</v>
      </c>
      <c r="S9" s="3">
        <f t="shared" si="8"/>
        <v>52.503360215053767</v>
      </c>
      <c r="T9" s="3">
        <f t="shared" si="9"/>
        <v>91</v>
      </c>
      <c r="U9" s="138">
        <f t="shared" si="0"/>
        <v>71.400800000000004</v>
      </c>
      <c r="V9" s="209">
        <f t="shared" si="22"/>
        <v>70.471320000000006</v>
      </c>
      <c r="W9" s="214">
        <f t="shared" si="23"/>
        <v>9.4503590489040015E-2</v>
      </c>
      <c r="X9" s="210">
        <f t="shared" si="28"/>
        <v>1.5634485003325801E-2</v>
      </c>
      <c r="Y9" s="210">
        <f t="shared" si="29"/>
        <v>1.2668502547686832E-2</v>
      </c>
      <c r="Z9" s="208">
        <f t="shared" si="24"/>
        <v>2.1002093817953633</v>
      </c>
      <c r="AA9" s="209">
        <f t="shared" si="10"/>
        <v>29.853043822013991</v>
      </c>
      <c r="AB9" s="2">
        <f t="shared" si="30"/>
        <v>41.810517279938026</v>
      </c>
      <c r="AC9" s="138">
        <f t="shared" si="11"/>
        <v>28.428635812010441</v>
      </c>
      <c r="AD9" s="155">
        <f t="shared" si="12"/>
        <v>63.964430577023485</v>
      </c>
      <c r="AE9" s="155">
        <f t="shared" si="13"/>
        <v>69.672417720741393</v>
      </c>
      <c r="AF9" s="145">
        <f t="shared" si="25"/>
        <v>2.4507830126448211</v>
      </c>
      <c r="AG9" s="131"/>
      <c r="AH9" s="208">
        <f t="shared" si="14"/>
        <v>2.5277777777777777</v>
      </c>
      <c r="AI9" s="208">
        <f t="shared" si="15"/>
        <v>91</v>
      </c>
      <c r="AJ9" s="209">
        <f t="shared" si="16"/>
        <v>32373.24468436357</v>
      </c>
      <c r="AK9" s="209">
        <f t="shared" si="17"/>
        <v>70.254437249052884</v>
      </c>
      <c r="AL9" s="209">
        <f t="shared" si="18"/>
        <v>54.680505803302282</v>
      </c>
      <c r="AM9" s="209">
        <f t="shared" si="19"/>
        <v>70.245002087891521</v>
      </c>
      <c r="AN9" s="2">
        <f t="shared" si="31"/>
        <v>54.680505803302282</v>
      </c>
      <c r="AO9" s="3">
        <f t="shared" si="20"/>
        <v>25196.777074161691</v>
      </c>
      <c r="AP9" s="207">
        <f t="shared" si="26"/>
        <v>1.3383878773407323E-2</v>
      </c>
      <c r="AQ9" s="207">
        <f t="shared" si="32"/>
        <v>8.2498016442759906E-2</v>
      </c>
      <c r="AR9" s="211">
        <f t="shared" si="27"/>
        <v>8.1784084516523852E-7</v>
      </c>
      <c r="AS9" s="208">
        <f t="shared" si="33"/>
        <v>4.5762959536747666E-2</v>
      </c>
      <c r="AT9" s="212">
        <f t="shared" si="34"/>
        <v>-4.4107270515315736E-7</v>
      </c>
      <c r="AU9" s="145">
        <f t="shared" si="36"/>
        <v>8.4854077496816088E-2</v>
      </c>
      <c r="AX9" s="130"/>
      <c r="AY9" s="132"/>
    </row>
    <row r="10" spans="1:51" ht="13.9" customHeight="1" x14ac:dyDescent="0.25">
      <c r="A10" t="s">
        <v>218</v>
      </c>
      <c r="B10" s="156">
        <v>55</v>
      </c>
      <c r="C10" s="200">
        <f t="shared" si="1"/>
        <v>1.588888888888889</v>
      </c>
      <c r="D10" s="72">
        <v>106</v>
      </c>
      <c r="E10" s="72">
        <v>2.02</v>
      </c>
      <c r="F10" s="72">
        <v>11.87</v>
      </c>
      <c r="G10" s="72">
        <v>7.18</v>
      </c>
      <c r="H10" s="72">
        <v>1800</v>
      </c>
      <c r="I10" s="77">
        <v>2250</v>
      </c>
      <c r="J10" s="60"/>
      <c r="K10" s="2">
        <f t="shared" si="2"/>
        <v>85.226599999999991</v>
      </c>
      <c r="L10" s="1">
        <f t="shared" si="3"/>
        <v>106</v>
      </c>
      <c r="M10" s="214">
        <f t="shared" si="4"/>
        <v>4.6634390941120669</v>
      </c>
      <c r="N10" s="3">
        <f t="shared" si="5"/>
        <v>555.55555555555554</v>
      </c>
      <c r="O10" s="3">
        <f t="shared" si="5"/>
        <v>444.44444444444451</v>
      </c>
      <c r="P10" s="3">
        <f t="shared" si="6"/>
        <v>33333.333333333336</v>
      </c>
      <c r="Q10" s="3">
        <f t="shared" si="21"/>
        <v>26666.666666666672</v>
      </c>
      <c r="R10" s="3">
        <f t="shared" si="7"/>
        <v>72.337962962962962</v>
      </c>
      <c r="S10" s="3">
        <f t="shared" si="8"/>
        <v>57.870370370370381</v>
      </c>
      <c r="T10" s="3">
        <f t="shared" si="9"/>
        <v>106</v>
      </c>
      <c r="U10" s="138">
        <f t="shared" si="0"/>
        <v>85.226599999999991</v>
      </c>
      <c r="V10" s="209">
        <f t="shared" si="22"/>
        <v>84.297119999999993</v>
      </c>
      <c r="W10" s="214">
        <f t="shared" si="23"/>
        <v>0.11304429245663999</v>
      </c>
      <c r="X10" s="210">
        <f t="shared" si="28"/>
        <v>1.7811258719468197E-2</v>
      </c>
      <c r="Y10" s="210">
        <f t="shared" si="29"/>
        <v>1.4845276263829227E-2</v>
      </c>
      <c r="Z10" s="208">
        <f t="shared" si="24"/>
        <v>2.3154808434293885</v>
      </c>
      <c r="AA10" s="209">
        <f t="shared" si="10"/>
        <v>34.558629854458957</v>
      </c>
      <c r="AB10" s="2">
        <f t="shared" si="30"/>
        <v>40.549112430225961</v>
      </c>
      <c r="AC10" s="138">
        <f t="shared" si="11"/>
        <v>29.85006760261097</v>
      </c>
      <c r="AD10" s="155">
        <f t="shared" si="12"/>
        <v>67.16265210587467</v>
      </c>
      <c r="AE10" s="155">
        <f t="shared" si="13"/>
        <v>76.794487087750511</v>
      </c>
      <c r="AF10" s="145">
        <f t="shared" si="25"/>
        <v>2.5726738079827109</v>
      </c>
      <c r="AG10" s="131"/>
      <c r="AH10" s="208">
        <f t="shared" si="14"/>
        <v>2.9444444444444446</v>
      </c>
      <c r="AI10" s="208">
        <f t="shared" si="15"/>
        <v>106</v>
      </c>
      <c r="AJ10" s="209">
        <f t="shared" si="16"/>
        <v>34267.655867784233</v>
      </c>
      <c r="AK10" s="209">
        <f t="shared" si="17"/>
        <v>74.365572629740086</v>
      </c>
      <c r="AL10" s="209">
        <f t="shared" si="18"/>
        <v>58.697463405833936</v>
      </c>
      <c r="AM10" s="209">
        <f t="shared" si="19"/>
        <v>74.350208654195896</v>
      </c>
      <c r="AN10" s="2">
        <f t="shared" si="31"/>
        <v>58.697463405833936</v>
      </c>
      <c r="AO10" s="3">
        <f t="shared" si="20"/>
        <v>27047.79113740828</v>
      </c>
      <c r="AP10" s="207">
        <f t="shared" si="26"/>
        <v>1.4970882321274965E-2</v>
      </c>
      <c r="AQ10" s="207">
        <f t="shared" si="32"/>
        <v>9.7680320529806797E-2</v>
      </c>
      <c r="AR10" s="211">
        <f t="shared" si="27"/>
        <v>8.5761753658064419E-7</v>
      </c>
      <c r="AS10" s="208">
        <f t="shared" si="33"/>
        <v>4.364045265914053E-2</v>
      </c>
      <c r="AT10" s="212">
        <f t="shared" si="34"/>
        <v>-4.7509338750134658E-7</v>
      </c>
      <c r="AU10" s="145">
        <f t="shared" si="36"/>
        <v>7.8777811877439027E-2</v>
      </c>
      <c r="AX10" s="110"/>
      <c r="AY10" s="87"/>
    </row>
    <row r="11" spans="1:51" ht="13.9" customHeight="1" x14ac:dyDescent="0.25">
      <c r="A11" t="s">
        <v>218</v>
      </c>
      <c r="B11" s="156">
        <v>62</v>
      </c>
      <c r="C11" s="200">
        <f t="shared" si="1"/>
        <v>1.7333333333333334</v>
      </c>
      <c r="D11" s="72">
        <v>132</v>
      </c>
      <c r="E11" s="72">
        <v>2.2599999999999998</v>
      </c>
      <c r="F11" s="72">
        <v>11.83</v>
      </c>
      <c r="G11" s="72">
        <v>9.1300000000000008</v>
      </c>
      <c r="H11" s="72">
        <v>1630</v>
      </c>
      <c r="I11" s="77">
        <v>2010</v>
      </c>
      <c r="J11" s="60"/>
      <c r="K11" s="2">
        <f t="shared" si="2"/>
        <v>108.00790000000001</v>
      </c>
      <c r="L11" s="1">
        <f t="shared" si="3"/>
        <v>132</v>
      </c>
      <c r="M11" s="214">
        <f t="shared" si="4"/>
        <v>4.8828019225863706</v>
      </c>
      <c r="N11" s="3">
        <f t="shared" si="5"/>
        <v>613.49693251533745</v>
      </c>
      <c r="O11" s="3">
        <f t="shared" si="5"/>
        <v>497.51243781094524</v>
      </c>
      <c r="P11" s="3">
        <f t="shared" si="6"/>
        <v>36809.815950920245</v>
      </c>
      <c r="Q11" s="3">
        <f t="shared" si="21"/>
        <v>29850.746268656716</v>
      </c>
      <c r="R11" s="3">
        <f t="shared" si="7"/>
        <v>79.882413087934552</v>
      </c>
      <c r="S11" s="3">
        <f t="shared" si="8"/>
        <v>64.780265339966832</v>
      </c>
      <c r="T11" s="3">
        <f t="shared" si="9"/>
        <v>132</v>
      </c>
      <c r="U11" s="138">
        <f t="shared" si="0"/>
        <v>108.00790000000001</v>
      </c>
      <c r="V11" s="209">
        <f t="shared" si="22"/>
        <v>107.07842000000001</v>
      </c>
      <c r="W11" s="214">
        <f t="shared" si="23"/>
        <v>0.14359451694524003</v>
      </c>
      <c r="X11" s="210">
        <f t="shared" si="28"/>
        <v>2.0487969948068882E-2</v>
      </c>
      <c r="Y11" s="210">
        <f t="shared" si="29"/>
        <v>1.7521987492429912E-2</v>
      </c>
      <c r="Z11" s="208">
        <f t="shared" si="24"/>
        <v>2.8236508459901453</v>
      </c>
      <c r="AA11" s="209">
        <f t="shared" si="10"/>
        <v>46.538375322133696</v>
      </c>
      <c r="AB11" s="2">
        <f t="shared" si="30"/>
        <v>43.08793645847544</v>
      </c>
      <c r="AC11" s="138">
        <f t="shared" si="11"/>
        <v>32.963264837239102</v>
      </c>
      <c r="AD11" s="155">
        <f t="shared" si="12"/>
        <v>74.167345883787974</v>
      </c>
      <c r="AE11" s="155">
        <f t="shared" si="13"/>
        <v>85.963978083302791</v>
      </c>
      <c r="AF11" s="145">
        <f t="shared" si="25"/>
        <v>2.6078720814750116</v>
      </c>
      <c r="AG11" s="131"/>
      <c r="AH11" s="208">
        <f t="shared" si="14"/>
        <v>3.6666666666666665</v>
      </c>
      <c r="AI11" s="208">
        <f t="shared" si="15"/>
        <v>132</v>
      </c>
      <c r="AJ11" s="209">
        <f t="shared" si="16"/>
        <v>36991.240339587683</v>
      </c>
      <c r="AK11" s="209">
        <f t="shared" si="17"/>
        <v>80.276129209174655</v>
      </c>
      <c r="AL11" s="209">
        <f t="shared" si="18"/>
        <v>64.472621114939727</v>
      </c>
      <c r="AM11" s="209">
        <f t="shared" si="19"/>
        <v>80.252241410011507</v>
      </c>
      <c r="AN11" s="2">
        <f t="shared" si="31"/>
        <v>64.472621114939727</v>
      </c>
      <c r="AO11" s="3">
        <f t="shared" si="20"/>
        <v>29708.983809764224</v>
      </c>
      <c r="AP11" s="207">
        <f t="shared" si="26"/>
        <v>1.7384552570285879E-2</v>
      </c>
      <c r="AQ11" s="207">
        <f t="shared" si="32"/>
        <v>0.12244405223222424</v>
      </c>
      <c r="AR11" s="211">
        <f t="shared" si="27"/>
        <v>9.1480426564286394E-7</v>
      </c>
      <c r="AS11" s="208">
        <f t="shared" si="33"/>
        <v>4.0912377554880808E-2</v>
      </c>
      <c r="AT11" s="212">
        <f t="shared" si="34"/>
        <v>-5.496049433191593E-7</v>
      </c>
      <c r="AU11" s="145">
        <f t="shared" si="36"/>
        <v>6.8097672627850298E-2</v>
      </c>
      <c r="AX11" s="110"/>
      <c r="AY11" s="87"/>
    </row>
    <row r="12" spans="1:51" ht="13.9" customHeight="1" thickBot="1" x14ac:dyDescent="0.3">
      <c r="A12" t="s">
        <v>219</v>
      </c>
      <c r="B12" t="s">
        <v>220</v>
      </c>
      <c r="C12" s="201">
        <f t="shared" si="1"/>
        <v>2</v>
      </c>
      <c r="D12" s="79">
        <v>180</v>
      </c>
      <c r="E12" s="79">
        <v>2.75</v>
      </c>
      <c r="F12" s="79">
        <v>11.5</v>
      </c>
      <c r="G12" s="79">
        <v>14.51</v>
      </c>
      <c r="H12" s="79">
        <v>1370</v>
      </c>
      <c r="I12" s="80">
        <v>1670</v>
      </c>
      <c r="J12" s="60"/>
      <c r="K12" s="2">
        <f t="shared" si="2"/>
        <v>166.86500000000001</v>
      </c>
      <c r="L12" s="1">
        <f t="shared" si="3"/>
        <v>180</v>
      </c>
      <c r="M12" s="214">
        <f t="shared" si="4"/>
        <v>5.1929568508902104</v>
      </c>
      <c r="N12" s="3">
        <f t="shared" si="5"/>
        <v>729.92700729927003</v>
      </c>
      <c r="O12" s="3">
        <f t="shared" si="5"/>
        <v>598.80239520958082</v>
      </c>
      <c r="P12" s="3">
        <f t="shared" si="6"/>
        <v>43795.620437956204</v>
      </c>
      <c r="Q12" s="3">
        <f t="shared" si="21"/>
        <v>35928.143712574849</v>
      </c>
      <c r="R12" s="3">
        <f t="shared" si="7"/>
        <v>95.042579075425792</v>
      </c>
      <c r="S12" s="3">
        <f t="shared" si="8"/>
        <v>77.969061876247494</v>
      </c>
      <c r="T12" s="3">
        <f t="shared" si="9"/>
        <v>180</v>
      </c>
      <c r="U12" s="138">
        <f t="shared" si="0"/>
        <v>166.86500000000001</v>
      </c>
      <c r="V12" s="209">
        <f t="shared" si="22"/>
        <v>165.93552</v>
      </c>
      <c r="W12" s="214">
        <f t="shared" si="23"/>
        <v>0.22252318290144002</v>
      </c>
      <c r="X12" s="210">
        <f t="shared" si="28"/>
        <v>2.6685128442329287E-2</v>
      </c>
      <c r="Y12" s="210">
        <f t="shared" si="29"/>
        <v>2.3719145986690317E-2</v>
      </c>
      <c r="Z12" s="143">
        <f>C32/0.224</f>
        <v>4.4249528005034611</v>
      </c>
      <c r="AA12" s="209">
        <f t="shared" si="10"/>
        <v>91.297248929319878</v>
      </c>
      <c r="AB12" s="2">
        <f>AA12/U12*100</f>
        <v>54.713240601276404</v>
      </c>
      <c r="AC12" s="138">
        <f t="shared" si="11"/>
        <v>41.264733453849395</v>
      </c>
      <c r="AD12" s="155">
        <f>AC12*1/1.6/1000*3600</f>
        <v>92.845650271161119</v>
      </c>
      <c r="AE12" s="155">
        <f t="shared" si="13"/>
        <v>103.4656263158315</v>
      </c>
      <c r="AF12" s="145">
        <f t="shared" si="25"/>
        <v>2.5073620415250657</v>
      </c>
      <c r="AG12" s="131"/>
      <c r="AH12" s="208">
        <f t="shared" si="14"/>
        <v>5</v>
      </c>
      <c r="AI12" s="208">
        <f t="shared" si="15"/>
        <v>180</v>
      </c>
      <c r="AJ12" s="209">
        <f t="shared" si="16"/>
        <v>40842.089421252422</v>
      </c>
      <c r="AK12" s="209">
        <f t="shared" si="17"/>
        <v>88.633006556537367</v>
      </c>
      <c r="AL12" s="209">
        <f t="shared" si="18"/>
        <v>72.638059341958609</v>
      </c>
      <c r="AM12" s="209">
        <f t="shared" si="19"/>
        <v>88.597067007668912</v>
      </c>
      <c r="AN12" s="2">
        <f t="shared" si="31"/>
        <v>72.638059341958638</v>
      </c>
      <c r="AO12" s="3">
        <f t="shared" si="20"/>
        <v>33471.617744774543</v>
      </c>
      <c r="AP12" s="207">
        <f t="shared" si="26"/>
        <v>2.1063007380398409E-2</v>
      </c>
      <c r="AQ12" s="207">
        <f t="shared" si="32"/>
        <v>0.16379612165093899</v>
      </c>
      <c r="AR12" s="211">
        <f t="shared" si="27"/>
        <v>9.9566001488527295E-7</v>
      </c>
      <c r="AS12" s="208">
        <f t="shared" si="33"/>
        <v>3.7589957360202833E-2</v>
      </c>
      <c r="AT12" s="212">
        <f t="shared" si="34"/>
        <v>-7.4829307503024392E-7</v>
      </c>
      <c r="AU12" s="145">
        <f t="shared" si="36"/>
        <v>5.0016255333224402E-2</v>
      </c>
      <c r="AX12" s="110"/>
      <c r="AY12" s="87"/>
    </row>
    <row r="13" spans="1:51" ht="13.9" customHeight="1" x14ac:dyDescent="0.25">
      <c r="C13" s="246"/>
      <c r="AE13" s="45"/>
      <c r="AF13" s="30"/>
      <c r="AH13" s="208">
        <f t="shared" si="14"/>
        <v>0</v>
      </c>
      <c r="AI13" s="208">
        <f t="shared" si="15"/>
        <v>0</v>
      </c>
      <c r="AJ13" s="209" t="e">
        <f t="shared" si="16"/>
        <v>#NUM!</v>
      </c>
      <c r="AK13" s="209" t="e">
        <f t="shared" si="17"/>
        <v>#NUM!</v>
      </c>
      <c r="AL13" s="209" t="e">
        <f t="shared" si="18"/>
        <v>#NUM!</v>
      </c>
      <c r="AM13" s="209" t="e">
        <f t="shared" si="19"/>
        <v>#NUM!</v>
      </c>
      <c r="AN13" s="2" t="e">
        <f t="shared" si="31"/>
        <v>#NUM!</v>
      </c>
      <c r="AO13" s="3" t="e">
        <f t="shared" si="20"/>
        <v>#NUM!</v>
      </c>
      <c r="AP13" s="207" t="e">
        <f t="shared" si="26"/>
        <v>#NUM!</v>
      </c>
      <c r="AQ13" s="207" t="e">
        <f t="shared" si="32"/>
        <v>#NUM!</v>
      </c>
      <c r="AR13" s="211" t="e">
        <f t="shared" si="27"/>
        <v>#NUM!</v>
      </c>
      <c r="AS13" s="208" t="e">
        <f t="shared" si="33"/>
        <v>#NUM!</v>
      </c>
      <c r="AV13" s="126"/>
      <c r="AW13" s="86"/>
      <c r="AX13" s="111"/>
      <c r="AY13" s="87"/>
    </row>
    <row r="14" spans="1:51" x14ac:dyDescent="0.25">
      <c r="A14" t="s">
        <v>221</v>
      </c>
      <c r="AE14" s="174"/>
      <c r="AF14" s="30"/>
    </row>
    <row r="15" spans="1:51" ht="13.9" customHeight="1" x14ac:dyDescent="0.25">
      <c r="A15">
        <v>1</v>
      </c>
      <c r="C15" t="s">
        <v>222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25">
      <c r="A16">
        <v>2</v>
      </c>
      <c r="C16" t="s">
        <v>223</v>
      </c>
      <c r="I16" s="3"/>
      <c r="J16" s="13" t="s">
        <v>262</v>
      </c>
      <c r="K16" s="14"/>
      <c r="L16" s="14"/>
      <c r="AE16" s="129"/>
      <c r="AF16" s="30"/>
    </row>
    <row r="17" spans="1:48" ht="13.9" customHeight="1" x14ac:dyDescent="0.25">
      <c r="A17">
        <v>3</v>
      </c>
      <c r="C17" t="s">
        <v>225</v>
      </c>
      <c r="I17" s="3"/>
      <c r="J17" s="15" t="s">
        <v>260</v>
      </c>
      <c r="K17" s="16"/>
      <c r="L17" s="16"/>
      <c r="AE17" s="129"/>
      <c r="AF17" s="30"/>
    </row>
    <row r="18" spans="1:48" ht="13.9" customHeight="1" x14ac:dyDescent="0.25">
      <c r="A18">
        <v>4</v>
      </c>
      <c r="C18" t="s">
        <v>224</v>
      </c>
      <c r="J18" s="267" t="s">
        <v>283</v>
      </c>
      <c r="K18" s="266"/>
      <c r="L18" s="266"/>
      <c r="M18" s="266"/>
      <c r="N18" s="266"/>
      <c r="O18" s="268"/>
      <c r="AE18" s="129"/>
      <c r="AF18" s="30"/>
      <c r="AN18" s="45"/>
    </row>
    <row r="19" spans="1:48" ht="13.9" customHeight="1" x14ac:dyDescent="0.25">
      <c r="A19">
        <v>5</v>
      </c>
      <c r="C19" t="s">
        <v>226</v>
      </c>
      <c r="O19" s="168"/>
      <c r="AE19" s="129"/>
      <c r="AF19" s="30"/>
      <c r="AN19" s="45"/>
      <c r="AO19" s="5"/>
      <c r="AU19" s="5"/>
      <c r="AV19" s="5"/>
    </row>
    <row r="20" spans="1:48" ht="13.9" customHeight="1" thickBot="1" x14ac:dyDescent="0.3">
      <c r="A20">
        <v>6</v>
      </c>
      <c r="C20" t="s">
        <v>227</v>
      </c>
      <c r="O20" s="168"/>
      <c r="AN20" s="45"/>
      <c r="AO20" s="5"/>
      <c r="AV20" s="5"/>
    </row>
    <row r="21" spans="1:48" ht="13.9" customHeight="1" x14ac:dyDescent="0.25">
      <c r="A21">
        <v>7</v>
      </c>
      <c r="C21" t="s">
        <v>229</v>
      </c>
      <c r="O21" s="168"/>
      <c r="P21" s="194" t="s">
        <v>256</v>
      </c>
      <c r="Q21" s="63"/>
      <c r="R21" s="63"/>
      <c r="S21" s="63"/>
      <c r="T21" s="29"/>
      <c r="AN21" s="45"/>
      <c r="AO21" s="5"/>
      <c r="AV21" s="5"/>
    </row>
    <row r="22" spans="1:48" ht="13.9" customHeight="1" x14ac:dyDescent="0.25">
      <c r="A22" s="45">
        <v>8</v>
      </c>
      <c r="B22" s="45"/>
      <c r="C22" s="45" t="s">
        <v>261</v>
      </c>
      <c r="D22" s="60"/>
      <c r="E22" s="60"/>
      <c r="F22" s="60"/>
      <c r="G22" s="60"/>
      <c r="O22" s="168"/>
      <c r="P22" s="247" t="s">
        <v>15</v>
      </c>
      <c r="Q22" s="248">
        <f>C44</f>
        <v>5</v>
      </c>
      <c r="R22" s="45"/>
      <c r="S22" s="30"/>
      <c r="T22" s="31" t="s">
        <v>251</v>
      </c>
      <c r="AN22" s="45"/>
      <c r="AO22" s="5"/>
      <c r="AV22" s="5"/>
    </row>
    <row r="23" spans="1:48" ht="13.9" customHeight="1" thickBot="1" x14ac:dyDescent="0.3">
      <c r="H23" s="60"/>
      <c r="I23" s="60"/>
      <c r="J23" s="60"/>
      <c r="K23" s="167"/>
      <c r="L23" s="60"/>
      <c r="M23" s="60"/>
      <c r="N23" s="168"/>
      <c r="O23" s="168"/>
      <c r="P23" s="247" t="s">
        <v>17</v>
      </c>
      <c r="Q23" s="248">
        <f>C36</f>
        <v>5</v>
      </c>
      <c r="R23" s="30"/>
      <c r="S23" s="30"/>
      <c r="T23" s="31" t="s">
        <v>251</v>
      </c>
      <c r="AN23" s="45"/>
      <c r="AO23" s="5"/>
      <c r="AV23" s="5"/>
    </row>
    <row r="24" spans="1:48" ht="13.9" customHeight="1" x14ac:dyDescent="0.25">
      <c r="A24" t="s">
        <v>32</v>
      </c>
      <c r="B24" s="17" t="s">
        <v>3</v>
      </c>
      <c r="C24" s="18">
        <v>1</v>
      </c>
      <c r="D24"/>
      <c r="F24"/>
      <c r="G24" s="60"/>
      <c r="I24" s="17" t="s">
        <v>120</v>
      </c>
      <c r="J24" s="28"/>
      <c r="K24" s="28"/>
      <c r="L24" s="29"/>
      <c r="M24" s="60"/>
      <c r="N24" s="168"/>
      <c r="O24" s="168"/>
      <c r="P24" s="247" t="s">
        <v>16</v>
      </c>
      <c r="Q24" s="248">
        <f>C35</f>
        <v>0</v>
      </c>
      <c r="R24" s="30"/>
      <c r="S24" s="30"/>
      <c r="T24" s="31" t="s">
        <v>251</v>
      </c>
      <c r="AN24" s="45"/>
      <c r="AO24" s="5"/>
      <c r="AV24" s="5"/>
    </row>
    <row r="25" spans="1:48" ht="13.9" customHeight="1" x14ac:dyDescent="0.25">
      <c r="A25" s="169"/>
      <c r="B25" s="19" t="s">
        <v>4</v>
      </c>
      <c r="C25" s="20">
        <v>4800</v>
      </c>
      <c r="D25" t="s">
        <v>71</v>
      </c>
      <c r="F25"/>
      <c r="G25" s="60"/>
      <c r="I25" s="19" t="s">
        <v>114</v>
      </c>
      <c r="J25" s="188">
        <v>25</v>
      </c>
      <c r="K25" s="30" t="s">
        <v>83</v>
      </c>
      <c r="L25" s="31"/>
      <c r="M25" s="60"/>
      <c r="N25" s="168"/>
      <c r="O25" s="168"/>
      <c r="P25" s="247" t="s">
        <v>14</v>
      </c>
      <c r="Q25" s="248">
        <f>C43</f>
        <v>0</v>
      </c>
      <c r="R25" s="45"/>
      <c r="S25" s="30"/>
      <c r="T25" s="31" t="s">
        <v>251</v>
      </c>
      <c r="AN25" s="45"/>
      <c r="AO25" s="5"/>
      <c r="AP25" s="5"/>
    </row>
    <row r="26" spans="1:48" ht="13.9" customHeight="1" x14ac:dyDescent="0.25">
      <c r="A26" s="169"/>
      <c r="B26" s="19" t="s">
        <v>5</v>
      </c>
      <c r="C26" s="20">
        <v>12</v>
      </c>
      <c r="D26"/>
      <c r="F26"/>
      <c r="G26" s="60"/>
      <c r="I26" s="19" t="s">
        <v>130</v>
      </c>
      <c r="J26" s="188">
        <v>2.1797</v>
      </c>
      <c r="K26" s="30" t="s">
        <v>84</v>
      </c>
      <c r="L26" s="31"/>
      <c r="M26" s="60"/>
      <c r="N26" s="168"/>
      <c r="O26" s="168"/>
      <c r="P26" s="247" t="s">
        <v>163</v>
      </c>
      <c r="Q26" s="249">
        <f>$C$41</f>
        <v>1.2250000000000001</v>
      </c>
      <c r="R26" s="30"/>
      <c r="S26" s="30"/>
      <c r="T26" s="31" t="s">
        <v>147</v>
      </c>
      <c r="AN26" s="45"/>
      <c r="AO26" s="5"/>
      <c r="AP26" s="5"/>
    </row>
    <row r="27" spans="1:48" ht="13.9" customHeight="1" x14ac:dyDescent="0.25">
      <c r="A27" s="169"/>
      <c r="B27" s="56" t="s">
        <v>63</v>
      </c>
      <c r="C27" s="20">
        <v>3.9899999999999998E-2</v>
      </c>
      <c r="D27" t="s">
        <v>70</v>
      </c>
      <c r="F27"/>
      <c r="G27" s="6"/>
      <c r="I27" s="19" t="s">
        <v>115</v>
      </c>
      <c r="J27" s="44">
        <f>($J$25/25.4)^2*$J$26/1000*2.2/3</f>
        <v>1.5484983053299442E-3</v>
      </c>
      <c r="K27" s="30" t="s">
        <v>86</v>
      </c>
      <c r="L27" s="157" t="s">
        <v>132</v>
      </c>
      <c r="N27" s="3"/>
      <c r="O27" s="3"/>
      <c r="P27" s="195"/>
      <c r="Q27" s="193"/>
      <c r="R27" s="193"/>
      <c r="S27" s="193"/>
      <c r="T27" s="196"/>
      <c r="AN27" s="45"/>
      <c r="AO27" s="5"/>
      <c r="AP27" s="5"/>
      <c r="AQ27" s="5"/>
      <c r="AR27" s="5"/>
      <c r="AS27" s="131"/>
      <c r="AT27" s="133"/>
      <c r="AU27" s="5"/>
    </row>
    <row r="28" spans="1:48" ht="13.9" customHeight="1" x14ac:dyDescent="0.25">
      <c r="A28" s="169"/>
      <c r="B28" s="56" t="s">
        <v>64</v>
      </c>
      <c r="C28" s="112">
        <v>4.1999999999999996E-6</v>
      </c>
      <c r="D28" t="s">
        <v>69</v>
      </c>
      <c r="F28"/>
      <c r="G28" s="6"/>
      <c r="I28" s="19" t="s">
        <v>127</v>
      </c>
      <c r="J28" s="190">
        <f>3/8/2*25.4</f>
        <v>4.7624999999999993</v>
      </c>
      <c r="K28" s="30" t="s">
        <v>83</v>
      </c>
      <c r="L28" s="31" t="s">
        <v>128</v>
      </c>
      <c r="N28" s="3"/>
      <c r="O28" s="3"/>
      <c r="P28" s="197" t="s">
        <v>257</v>
      </c>
      <c r="Q28" s="193"/>
      <c r="R28" s="193"/>
      <c r="S28" s="193"/>
      <c r="T28" s="196"/>
      <c r="AN28" s="45"/>
      <c r="AO28" s="5"/>
      <c r="AP28" s="5"/>
      <c r="AQ28" s="5"/>
      <c r="AR28" s="5"/>
      <c r="AS28" s="131"/>
      <c r="AT28" s="133"/>
      <c r="AU28" s="5"/>
    </row>
    <row r="29" spans="1:48" ht="13.9" customHeight="1" x14ac:dyDescent="0.25">
      <c r="A29" s="169"/>
      <c r="B29" s="19" t="s">
        <v>241</v>
      </c>
      <c r="C29" s="20">
        <v>240</v>
      </c>
      <c r="D29" t="s">
        <v>242</v>
      </c>
      <c r="F29"/>
      <c r="G29" s="6"/>
      <c r="I29" s="19" t="s">
        <v>129</v>
      </c>
      <c r="J29" s="190">
        <f>3/4*25.4</f>
        <v>19.049999999999997</v>
      </c>
      <c r="K29" s="30" t="s">
        <v>83</v>
      </c>
      <c r="L29" s="31" t="s">
        <v>128</v>
      </c>
      <c r="N29" s="3"/>
      <c r="O29" s="3"/>
      <c r="P29" s="247" t="s">
        <v>27</v>
      </c>
      <c r="Q29" s="248">
        <f>$C$25*$C$26/$B$48/100</f>
        <v>460.8</v>
      </c>
      <c r="R29" s="30"/>
      <c r="S29" s="30"/>
      <c r="T29" s="31" t="s">
        <v>252</v>
      </c>
      <c r="AN29" s="45"/>
      <c r="AO29" s="5"/>
    </row>
    <row r="30" spans="1:48" x14ac:dyDescent="0.25">
      <c r="A30" s="169"/>
      <c r="B30" s="56" t="s">
        <v>65</v>
      </c>
      <c r="C30" s="113">
        <f>C25*2*PI()/60</f>
        <v>502.6548245743669</v>
      </c>
      <c r="D30" t="s">
        <v>67</v>
      </c>
      <c r="F30"/>
      <c r="G30" s="6"/>
      <c r="I30" s="19" t="s">
        <v>131</v>
      </c>
      <c r="J30" s="44">
        <f>PI()*($J$28/25.4)^2/4*3/4*0.3</f>
        <v>6.2126221909368446E-3</v>
      </c>
      <c r="K30" s="30" t="s">
        <v>134</v>
      </c>
      <c r="L30" s="31" t="s">
        <v>128</v>
      </c>
      <c r="N30" s="3"/>
      <c r="O30" s="3"/>
      <c r="P30" s="247" t="s">
        <v>18</v>
      </c>
      <c r="Q30" s="248">
        <f>C46</f>
        <v>180</v>
      </c>
      <c r="R30" s="30"/>
      <c r="S30" s="30"/>
      <c r="T30" s="31" t="s">
        <v>161</v>
      </c>
    </row>
    <row r="31" spans="1:48" ht="13.9" customHeight="1" x14ac:dyDescent="0.25">
      <c r="A31" s="169"/>
      <c r="B31" s="56" t="s">
        <v>66</v>
      </c>
      <c r="C31" s="115">
        <f>7/C30</f>
        <v>1.3926057520540842E-2</v>
      </c>
      <c r="D31" t="s">
        <v>68</v>
      </c>
      <c r="F31"/>
      <c r="G31" s="6"/>
      <c r="I31" s="19" t="s">
        <v>121</v>
      </c>
      <c r="J31" s="44">
        <f>($J$28/25.4)^2*$J$30/2</f>
        <v>1.0920624945006168E-4</v>
      </c>
      <c r="K31" s="30" t="s">
        <v>86</v>
      </c>
      <c r="L31" s="31" t="s">
        <v>133</v>
      </c>
      <c r="N31" s="3"/>
      <c r="O31" s="3"/>
      <c r="P31" s="247" t="s">
        <v>13</v>
      </c>
      <c r="Q31" s="248">
        <f>C45</f>
        <v>0</v>
      </c>
      <c r="R31" s="30"/>
      <c r="S31" s="30"/>
      <c r="T31" s="31" t="s">
        <v>161</v>
      </c>
    </row>
    <row r="32" spans="1:48" ht="13.9" customHeight="1" thickBot="1" x14ac:dyDescent="0.3">
      <c r="B32" s="114" t="s">
        <v>243</v>
      </c>
      <c r="C32" s="184">
        <f>450/454</f>
        <v>0.99118942731277537</v>
      </c>
      <c r="D32" s="6" t="s">
        <v>141</v>
      </c>
      <c r="F32" s="6"/>
      <c r="G32" s="6"/>
      <c r="I32" s="19" t="s">
        <v>85</v>
      </c>
      <c r="J32" s="44">
        <f>$J$27+$J$31</f>
        <v>1.6577045547800059E-3</v>
      </c>
      <c r="K32" s="30" t="s">
        <v>86</v>
      </c>
      <c r="L32" s="31"/>
      <c r="N32" s="3"/>
      <c r="O32" s="3"/>
      <c r="P32" s="247" t="s">
        <v>164</v>
      </c>
      <c r="Q32" s="249">
        <f>(C38^2-C39^2)*PI()/4/1000^2</f>
        <v>2.1213604393365078E-3</v>
      </c>
      <c r="R32" s="30"/>
      <c r="S32" s="30"/>
      <c r="T32" s="31" t="s">
        <v>250</v>
      </c>
    </row>
    <row r="33" spans="1:50" ht="15" customHeight="1" thickBot="1" x14ac:dyDescent="0.3">
      <c r="D33"/>
      <c r="F33" s="6"/>
      <c r="G33" s="6"/>
      <c r="I33" s="19" t="s">
        <v>85</v>
      </c>
      <c r="J33" s="44">
        <f>$J$32/144</f>
        <v>1.1511837185972264E-5</v>
      </c>
      <c r="K33" s="30" t="s">
        <v>87</v>
      </c>
      <c r="L33" s="31"/>
      <c r="N33" s="3"/>
      <c r="O33" s="3"/>
      <c r="P33" s="247" t="s">
        <v>169</v>
      </c>
      <c r="Q33" s="250">
        <f>1/1.3556</f>
        <v>0.73768073177928595</v>
      </c>
      <c r="R33" s="30"/>
      <c r="S33" s="30"/>
      <c r="T33" s="31" t="s">
        <v>255</v>
      </c>
    </row>
    <row r="34" spans="1:50" ht="15" customHeight="1" thickBot="1" x14ac:dyDescent="0.3">
      <c r="A34" t="s">
        <v>33</v>
      </c>
      <c r="B34" s="17"/>
      <c r="C34" s="202" t="s">
        <v>22</v>
      </c>
      <c r="D34"/>
      <c r="F34" s="6"/>
      <c r="G34" s="6"/>
      <c r="I34" s="21" t="s">
        <v>85</v>
      </c>
      <c r="J34" s="97">
        <f>$J$33/2048.5*6.66</f>
        <v>3.7426817504796325E-8</v>
      </c>
      <c r="K34" s="32" t="s">
        <v>88</v>
      </c>
      <c r="L34" s="33"/>
      <c r="N34" s="3"/>
      <c r="O34" s="3"/>
      <c r="P34" s="247" t="s">
        <v>170</v>
      </c>
      <c r="Q34" s="251">
        <f>$J$33/2048.5*6.66</f>
        <v>3.7426817504796325E-8</v>
      </c>
      <c r="R34" s="30"/>
      <c r="S34" s="30"/>
      <c r="T34" s="31" t="s">
        <v>73</v>
      </c>
    </row>
    <row r="35" spans="1:50" ht="15" customHeight="1" x14ac:dyDescent="0.25">
      <c r="B35" s="24" t="s">
        <v>16</v>
      </c>
      <c r="C35" s="183">
        <v>0</v>
      </c>
      <c r="D35"/>
      <c r="F35" s="6"/>
      <c r="G35" s="6"/>
      <c r="I35" s="30"/>
      <c r="J35" s="45"/>
      <c r="K35" s="30"/>
      <c r="L35" s="30"/>
      <c r="N35" s="3"/>
      <c r="O35" s="3"/>
      <c r="P35" s="247" t="s">
        <v>185</v>
      </c>
      <c r="Q35" s="249">
        <f>C38/1000</f>
        <v>5.5E-2</v>
      </c>
      <c r="R35" s="30"/>
      <c r="S35" s="30"/>
      <c r="T35" s="31" t="s">
        <v>248</v>
      </c>
    </row>
    <row r="36" spans="1:50" ht="15.75" thickBot="1" x14ac:dyDescent="0.3">
      <c r="B36" s="26" t="s">
        <v>17</v>
      </c>
      <c r="C36" s="180">
        <v>5</v>
      </c>
      <c r="I36" s="188" t="s">
        <v>279</v>
      </c>
      <c r="J36" s="188"/>
      <c r="K36" s="188"/>
      <c r="L36" s="188"/>
      <c r="N36" s="3"/>
      <c r="O36" s="3"/>
      <c r="P36" s="247" t="s">
        <v>204</v>
      </c>
      <c r="Q36" s="250">
        <f>$Z$12</f>
        <v>4.4249528005034611</v>
      </c>
      <c r="R36" s="30"/>
      <c r="S36" s="30"/>
      <c r="T36" s="31" t="s">
        <v>144</v>
      </c>
      <c r="AI36" s="5"/>
    </row>
    <row r="37" spans="1:50" ht="75.75" thickBot="1" x14ac:dyDescent="0.3">
      <c r="I37" s="173" t="s">
        <v>89</v>
      </c>
      <c r="J37" s="216" t="s">
        <v>280</v>
      </c>
      <c r="K37" s="216" t="s">
        <v>332</v>
      </c>
      <c r="L37" s="271" t="s">
        <v>287</v>
      </c>
      <c r="M37" s="243" t="s">
        <v>258</v>
      </c>
      <c r="N37" s="244" t="s">
        <v>259</v>
      </c>
      <c r="P37" s="195"/>
      <c r="Q37" s="193"/>
      <c r="R37" s="193"/>
      <c r="S37" s="193"/>
      <c r="T37" s="196"/>
      <c r="AI37" s="5"/>
    </row>
    <row r="38" spans="1:50" ht="18.75" x14ac:dyDescent="0.3">
      <c r="A38" s="3" t="s">
        <v>232</v>
      </c>
      <c r="B38" s="17" t="s">
        <v>233</v>
      </c>
      <c r="C38" s="179">
        <v>55</v>
      </c>
      <c r="D38" t="s">
        <v>83</v>
      </c>
      <c r="E38"/>
      <c r="I38" s="228">
        <f>(L38-L40)/(L39-L40)*(I39-I40)+I40</f>
        <v>72.945454545454538</v>
      </c>
      <c r="J38" s="233">
        <f t="shared" ref="J38:J43" si="37">(I38*$Q$29*$R$42+$Q$42)/$Q$29</f>
        <v>88.911215408699249</v>
      </c>
      <c r="K38" s="276">
        <f>LOG10(J38)</f>
        <v>1.9489565470544956</v>
      </c>
      <c r="L38" s="222">
        <v>0</v>
      </c>
      <c r="M38" s="193"/>
      <c r="N38" s="196"/>
      <c r="P38" s="206" t="s">
        <v>281</v>
      </c>
      <c r="Q38" s="57"/>
      <c r="R38" s="57"/>
      <c r="S38" s="57"/>
      <c r="T38" s="25"/>
      <c r="AI38" s="5"/>
    </row>
    <row r="39" spans="1:50" ht="15.75" thickBot="1" x14ac:dyDescent="0.3">
      <c r="B39" s="21" t="s">
        <v>234</v>
      </c>
      <c r="C39" s="180">
        <v>18</v>
      </c>
      <c r="D39" t="s">
        <v>83</v>
      </c>
      <c r="E39"/>
      <c r="I39" s="221">
        <v>62</v>
      </c>
      <c r="J39" s="233">
        <f t="shared" si="37"/>
        <v>77.725299021912619</v>
      </c>
      <c r="K39" s="276">
        <f t="shared" ref="K39:K43" si="38">LOG10(J39)</f>
        <v>1.890562401520206</v>
      </c>
      <c r="L39" s="223">
        <v>4.2999999999999997E-2</v>
      </c>
      <c r="M39" s="229"/>
      <c r="N39" s="230"/>
      <c r="P39" s="64" t="s">
        <v>108</v>
      </c>
      <c r="Q39" s="185">
        <f>INDEX(LINEST($Q$5:$Q$12,$E$5:$E$12^{1,2},FALSE,FALSE),3)</f>
        <v>0</v>
      </c>
      <c r="R39" s="185">
        <f>INDEX(LINEST($Q$5:$Q$12,$E$5:$E$12^{1,2},FALSE,FALSE),2)</f>
        <v>13114.624315320485</v>
      </c>
      <c r="S39" s="185">
        <f>INDEX(LINEST($Q$5:$Q$12,$E$5:$E$12^{1,2},FALSE,FALSE),1)</f>
        <v>-0.8433621525460272</v>
      </c>
      <c r="T39" s="31" t="s">
        <v>253</v>
      </c>
      <c r="AI39" s="5"/>
    </row>
    <row r="40" spans="1:50" ht="15.75" thickBot="1" x14ac:dyDescent="0.3">
      <c r="B40" s="30"/>
      <c r="C40" s="181"/>
      <c r="D40"/>
      <c r="E40"/>
      <c r="H40" s="10"/>
      <c r="I40" s="221">
        <v>48</v>
      </c>
      <c r="J40" s="233">
        <f t="shared" si="37"/>
        <v>63.41773155044131</v>
      </c>
      <c r="K40" s="276">
        <f t="shared" si="38"/>
        <v>1.8022107032737655</v>
      </c>
      <c r="L40" s="223">
        <v>9.8000000000000004E-2</v>
      </c>
      <c r="M40" s="231">
        <f>$Q$34/L40</f>
        <v>3.8190630106935023E-7</v>
      </c>
      <c r="N40" s="232">
        <f>-M40/$Q$33</f>
        <v>-5.1771218172961117E-7</v>
      </c>
      <c r="P40" s="64" t="s">
        <v>21</v>
      </c>
      <c r="Q40" s="185">
        <f>INDEX(LINEST($P$4:$P$12,$M$4:$M$12),2)</f>
        <v>-23633.085065689971</v>
      </c>
      <c r="R40" s="66">
        <f>INDEX(LINEST($P$4:$P$12,$M$4:$M$12),1)</f>
        <v>12415.888738973374</v>
      </c>
      <c r="S40" s="30"/>
      <c r="T40" s="31" t="s">
        <v>253</v>
      </c>
      <c r="AI40" s="5"/>
      <c r="AW40" s="131"/>
      <c r="AX40" s="144"/>
    </row>
    <row r="41" spans="1:50" ht="15.75" thickBot="1" x14ac:dyDescent="0.3">
      <c r="A41" s="10" t="s">
        <v>235</v>
      </c>
      <c r="B41" s="177" t="s">
        <v>236</v>
      </c>
      <c r="C41" s="182">
        <v>1.2250000000000001</v>
      </c>
      <c r="D41" t="s">
        <v>147</v>
      </c>
      <c r="E41" t="s">
        <v>155</v>
      </c>
      <c r="G41" s="6"/>
      <c r="I41" s="221">
        <v>25</v>
      </c>
      <c r="J41" s="233">
        <f t="shared" si="37"/>
        <v>39.912442133024179</v>
      </c>
      <c r="K41" s="276">
        <f t="shared" si="38"/>
        <v>1.6011083018869563</v>
      </c>
      <c r="L41" s="223">
        <v>0.28899999999999998</v>
      </c>
      <c r="M41" s="60"/>
      <c r="N41" s="230"/>
      <c r="P41" s="64" t="s">
        <v>109</v>
      </c>
      <c r="Q41" s="185">
        <f>INDEX(LINEST($Q$5:$Q$12,$P$5:$P$12),2)</f>
        <v>-6434.862196188591</v>
      </c>
      <c r="R41" s="68">
        <f>INDEX(LINEST($Q$5:$Q$12,$P$5:$P$12),1)</f>
        <v>0.97709202703516818</v>
      </c>
      <c r="S41" s="30"/>
      <c r="T41" s="31" t="s">
        <v>253</v>
      </c>
      <c r="AI41" s="5"/>
    </row>
    <row r="42" spans="1:50" ht="15.75" thickBot="1" x14ac:dyDescent="0.3">
      <c r="C42" s="178"/>
      <c r="D42"/>
      <c r="E42"/>
      <c r="G42" s="6"/>
      <c r="I42" s="221">
        <v>16</v>
      </c>
      <c r="J42" s="233">
        <f t="shared" si="37"/>
        <v>30.714720187078346</v>
      </c>
      <c r="K42" s="276">
        <f t="shared" si="38"/>
        <v>1.4873465632251288</v>
      </c>
      <c r="L42" s="223">
        <v>0.436</v>
      </c>
      <c r="M42" s="60"/>
      <c r="N42" s="230"/>
      <c r="P42" s="64" t="s">
        <v>110</v>
      </c>
      <c r="Q42" s="185">
        <f>INDEX(LINEST($P$5:$P$12,$Q$5:$Q$12),2)</f>
        <v>6618.569244086877</v>
      </c>
      <c r="R42" s="68">
        <f>INDEX(LINEST($P$5:$P$12,$Q$5:$Q$12),1)</f>
        <v>1.0219691051050925</v>
      </c>
      <c r="S42" s="30"/>
      <c r="T42" s="31" t="s">
        <v>253</v>
      </c>
      <c r="AI42" s="5"/>
    </row>
    <row r="43" spans="1:50" ht="15.75" thickBot="1" x14ac:dyDescent="0.3">
      <c r="A43" s="168" t="s">
        <v>237</v>
      </c>
      <c r="B43" s="173" t="s">
        <v>238</v>
      </c>
      <c r="C43" s="179">
        <v>0</v>
      </c>
      <c r="D43" s="30" t="s">
        <v>244</v>
      </c>
      <c r="E43"/>
      <c r="F43" s="6"/>
      <c r="I43" s="234">
        <f>(L43-L41)/(L42-L41)*(I42-I41)+I41</f>
        <v>12.081632653061224</v>
      </c>
      <c r="J43" s="237">
        <f t="shared" si="37"/>
        <v>26.710269816054311</v>
      </c>
      <c r="K43" s="277">
        <f t="shared" si="38"/>
        <v>1.4266782751060476</v>
      </c>
      <c r="L43" s="226">
        <v>0.5</v>
      </c>
      <c r="M43" s="235"/>
      <c r="N43" s="236"/>
      <c r="P43" s="64" t="s">
        <v>166</v>
      </c>
      <c r="Q43" s="186">
        <f>AG8</f>
        <v>-0.77166743147860251</v>
      </c>
      <c r="R43" s="30"/>
      <c r="S43" s="30"/>
      <c r="T43" s="31" t="s">
        <v>247</v>
      </c>
      <c r="U43" s="5"/>
      <c r="AI43" s="5"/>
      <c r="AJ43" s="5"/>
      <c r="AK43" s="131"/>
    </row>
    <row r="44" spans="1:50" x14ac:dyDescent="0.25">
      <c r="A44" s="30"/>
      <c r="B44" s="56" t="s">
        <v>239</v>
      </c>
      <c r="C44" s="183">
        <v>5</v>
      </c>
      <c r="D44" s="45" t="s">
        <v>244</v>
      </c>
      <c r="E44"/>
      <c r="F44" s="6"/>
      <c r="P44" s="64" t="s">
        <v>168</v>
      </c>
      <c r="Q44" s="187">
        <f>AF8</f>
        <v>2.4473505434394354</v>
      </c>
      <c r="R44" s="30"/>
      <c r="S44" s="30"/>
      <c r="T44" s="31" t="s">
        <v>247</v>
      </c>
      <c r="AI44" s="5"/>
      <c r="AJ44" s="5"/>
      <c r="AK44" s="131"/>
      <c r="AX44" s="144"/>
    </row>
    <row r="45" spans="1:50" ht="15.75" thickBot="1" x14ac:dyDescent="0.3">
      <c r="A45" s="168"/>
      <c r="B45" s="56" t="s">
        <v>238</v>
      </c>
      <c r="C45" s="183">
        <v>0</v>
      </c>
      <c r="D45" s="45" t="s">
        <v>240</v>
      </c>
      <c r="E45"/>
      <c r="H45" s="6"/>
      <c r="I45" s="6"/>
      <c r="J45" s="6"/>
      <c r="K45" s="9"/>
      <c r="L45" s="6"/>
      <c r="M45" s="6"/>
      <c r="N45" s="10"/>
      <c r="O45" s="10"/>
      <c r="P45" s="198" t="s">
        <v>197</v>
      </c>
      <c r="Q45" s="199">
        <v>10</v>
      </c>
      <c r="R45" s="32"/>
      <c r="S45" s="32"/>
      <c r="T45" s="33" t="s">
        <v>249</v>
      </c>
      <c r="W45" s="45"/>
      <c r="X45" s="175"/>
      <c r="Y45" s="45"/>
      <c r="AI45" s="5"/>
      <c r="AJ45" s="5"/>
      <c r="AK45" s="131"/>
    </row>
    <row r="46" spans="1:50" ht="15.75" thickBot="1" x14ac:dyDescent="0.3">
      <c r="A46" s="168"/>
      <c r="B46" s="114" t="s">
        <v>239</v>
      </c>
      <c r="C46" s="180">
        <v>180</v>
      </c>
      <c r="D46" s="45" t="s">
        <v>240</v>
      </c>
      <c r="E46"/>
      <c r="H46" s="6"/>
      <c r="I46" s="192" t="s">
        <v>82</v>
      </c>
      <c r="J46" s="191">
        <f>INDEX(LINEST($Y$3:$Y$12,$P$3:$P$12^{1,2}),3)</f>
        <v>-2.0896438355913084E-3</v>
      </c>
      <c r="K46" s="160">
        <f>INDEX(LINEST($Y$3:$Y$12,$P$3:$P$12^{1,2}),2)</f>
        <v>1.381042730868355E-7</v>
      </c>
      <c r="L46" s="160">
        <f>INDEX(LINEST($Y$3:$Y$12,$P$3:$P$12^{1,2}),1)</f>
        <v>1.0498431323547851E-11</v>
      </c>
      <c r="M46" s="44" t="s">
        <v>254</v>
      </c>
      <c r="N46" s="10"/>
      <c r="O46" s="10"/>
      <c r="U46" s="10"/>
      <c r="V46" s="3"/>
      <c r="W46" s="45"/>
      <c r="X46" s="60"/>
      <c r="Y46" s="45"/>
      <c r="AX46" s="144"/>
    </row>
    <row r="47" spans="1:50" ht="15.75" thickBot="1" x14ac:dyDescent="0.3">
      <c r="Q47" s="60"/>
      <c r="R47" s="193"/>
      <c r="T47" s="193"/>
      <c r="U47" s="168"/>
      <c r="V47" s="30"/>
    </row>
    <row r="48" spans="1:50" ht="15.75" thickBot="1" x14ac:dyDescent="0.3">
      <c r="A48" s="3" t="s">
        <v>230</v>
      </c>
      <c r="B48" s="189">
        <v>1.25</v>
      </c>
      <c r="C48" s="45" t="s">
        <v>231</v>
      </c>
      <c r="D48" s="5"/>
      <c r="E48" s="172">
        <f>C29</f>
        <v>240</v>
      </c>
      <c r="F48" s="172" t="s">
        <v>142</v>
      </c>
      <c r="I48" s="156" t="s">
        <v>269</v>
      </c>
      <c r="M48" s="217" t="s">
        <v>268</v>
      </c>
      <c r="N48" s="122"/>
      <c r="Q48" s="60"/>
      <c r="R48" s="193"/>
      <c r="T48" s="193"/>
      <c r="U48" s="168"/>
      <c r="V48" s="30"/>
      <c r="W48" s="174"/>
      <c r="X48" s="45"/>
      <c r="Y48" s="45"/>
    </row>
    <row r="49" spans="8:45" x14ac:dyDescent="0.25">
      <c r="I49" s="218" t="s">
        <v>263</v>
      </c>
      <c r="J49" s="216" t="s">
        <v>89</v>
      </c>
      <c r="K49" s="219" t="s">
        <v>264</v>
      </c>
      <c r="L49" s="219" t="s">
        <v>265</v>
      </c>
      <c r="M49" s="219" t="s">
        <v>266</v>
      </c>
      <c r="N49" s="220" t="s">
        <v>267</v>
      </c>
      <c r="P49" s="215" t="s">
        <v>272</v>
      </c>
      <c r="Q49" s="240">
        <v>0</v>
      </c>
      <c r="R49" s="238">
        <f ca="1">J54</f>
        <v>21.632653061224492</v>
      </c>
      <c r="S49" s="238">
        <f ca="1">J53</f>
        <v>37.523560209424083</v>
      </c>
      <c r="T49" s="238">
        <f ca="1">J52</f>
        <v>51.309090909090905</v>
      </c>
      <c r="U49" s="239">
        <f ca="1">J51</f>
        <v>67.854545454545445</v>
      </c>
      <c r="V49" s="241">
        <v>80</v>
      </c>
      <c r="W49" s="45"/>
      <c r="X49" s="45"/>
      <c r="Y49" s="45"/>
    </row>
    <row r="50" spans="8:45" x14ac:dyDescent="0.25">
      <c r="I50" s="221">
        <v>0</v>
      </c>
      <c r="J50" s="233">
        <f t="shared" ref="J50:J55" ca="1" si="39">FORECAST(I50,OFFSET(MeasNt,MATCH(I50,MeasTauT,1)-1,0,2),OFFSET(MeasTauT,MATCH(I50,MeasTauT,1)-1,0,2))</f>
        <v>72.945454545454538</v>
      </c>
      <c r="K50" s="57">
        <v>0.2</v>
      </c>
      <c r="L50" s="57">
        <v>4.4000000000000004</v>
      </c>
      <c r="M50" s="57">
        <v>0.09</v>
      </c>
      <c r="N50" s="25">
        <v>5</v>
      </c>
      <c r="P50" s="252" t="s">
        <v>264</v>
      </c>
      <c r="Q50" s="253">
        <f>K55</f>
        <v>0.47499999999999998</v>
      </c>
      <c r="R50" s="253">
        <f>K54</f>
        <v>0.47499999999999998</v>
      </c>
      <c r="S50" s="253">
        <f>K53</f>
        <v>0.32500000000000001</v>
      </c>
      <c r="T50" s="253">
        <f>K52</f>
        <v>0.22500000000000001</v>
      </c>
      <c r="U50" s="254">
        <f>K51</f>
        <v>0.2</v>
      </c>
      <c r="V50" s="255">
        <f>K50</f>
        <v>0.2</v>
      </c>
      <c r="W50" s="45" t="s">
        <v>273</v>
      </c>
      <c r="X50" s="45"/>
      <c r="Y50" s="45"/>
      <c r="AJ50" s="94"/>
      <c r="AR50" s="3"/>
    </row>
    <row r="51" spans="8:45" x14ac:dyDescent="0.25">
      <c r="I51" s="221">
        <v>0.02</v>
      </c>
      <c r="J51" s="233">
        <f t="shared" ca="1" si="39"/>
        <v>67.854545454545445</v>
      </c>
      <c r="K51" s="57">
        <v>0.2</v>
      </c>
      <c r="L51" s="57">
        <v>3.75</v>
      </c>
      <c r="M51" s="57">
        <v>0.09</v>
      </c>
      <c r="N51" s="25">
        <v>5</v>
      </c>
      <c r="P51" s="252" t="s">
        <v>265</v>
      </c>
      <c r="Q51" s="256">
        <f>L55</f>
        <v>2.4</v>
      </c>
      <c r="R51" s="256">
        <f>L54</f>
        <v>2.4</v>
      </c>
      <c r="S51" s="256">
        <f>L53</f>
        <v>2.7</v>
      </c>
      <c r="T51" s="256">
        <f>L52</f>
        <v>3.2</v>
      </c>
      <c r="U51" s="257">
        <f>L51</f>
        <v>3.75</v>
      </c>
      <c r="V51" s="258">
        <f>L50</f>
        <v>4.4000000000000004</v>
      </c>
      <c r="W51" s="45"/>
      <c r="X51" s="45"/>
      <c r="Y51" s="45"/>
      <c r="AS51" s="3"/>
    </row>
    <row r="52" spans="8:45" x14ac:dyDescent="0.25">
      <c r="I52" s="221">
        <v>8.5000000000000006E-2</v>
      </c>
      <c r="J52" s="233">
        <f t="shared" ca="1" si="39"/>
        <v>51.309090909090905</v>
      </c>
      <c r="K52" s="57">
        <v>0.22500000000000001</v>
      </c>
      <c r="L52" s="57">
        <v>3.2</v>
      </c>
      <c r="M52" s="223">
        <v>0.125</v>
      </c>
      <c r="N52" s="224">
        <v>4.05</v>
      </c>
      <c r="P52" s="252" t="s">
        <v>270</v>
      </c>
      <c r="Q52" s="259">
        <v>0.15</v>
      </c>
      <c r="R52" s="259"/>
      <c r="S52" s="259"/>
      <c r="T52" s="259"/>
      <c r="U52" s="260"/>
      <c r="V52" s="261"/>
      <c r="W52" s="45"/>
      <c r="X52" s="45"/>
      <c r="Y52" s="45"/>
    </row>
    <row r="53" spans="8:45" x14ac:dyDescent="0.25">
      <c r="I53" s="221">
        <v>0.185</v>
      </c>
      <c r="J53" s="233">
        <f t="shared" ca="1" si="39"/>
        <v>37.523560209424083</v>
      </c>
      <c r="K53" s="57">
        <v>0.32500000000000001</v>
      </c>
      <c r="L53" s="57">
        <v>2.7</v>
      </c>
      <c r="M53" s="57">
        <v>0.24</v>
      </c>
      <c r="N53" s="25">
        <v>3.75</v>
      </c>
      <c r="P53" s="252" t="s">
        <v>271</v>
      </c>
      <c r="Q53" s="259">
        <v>0.03</v>
      </c>
      <c r="R53" s="259"/>
      <c r="S53" s="259"/>
      <c r="T53" s="259"/>
      <c r="U53" s="260"/>
      <c r="V53" s="261"/>
      <c r="W53" s="45"/>
      <c r="X53" s="176"/>
      <c r="Y53" s="45"/>
    </row>
    <row r="54" spans="8:45" x14ac:dyDescent="0.25">
      <c r="I54" s="221">
        <v>0.34399999999999997</v>
      </c>
      <c r="J54" s="233">
        <f t="shared" ca="1" si="39"/>
        <v>21.632653061224492</v>
      </c>
      <c r="K54" s="57">
        <v>0.47499999999999998</v>
      </c>
      <c r="L54" s="57">
        <v>2.4</v>
      </c>
      <c r="M54" s="57">
        <v>0.42</v>
      </c>
      <c r="N54" s="25">
        <v>3.6</v>
      </c>
      <c r="P54" s="252" t="s">
        <v>266</v>
      </c>
      <c r="Q54" s="253">
        <f>M55</f>
        <v>0.42</v>
      </c>
      <c r="R54" s="253">
        <f>M54</f>
        <v>0.42</v>
      </c>
      <c r="S54" s="253">
        <f>M53</f>
        <v>0.24</v>
      </c>
      <c r="T54" s="253">
        <f>M52</f>
        <v>0.125</v>
      </c>
      <c r="U54" s="254">
        <f>M51</f>
        <v>0.09</v>
      </c>
      <c r="V54" s="255">
        <f>M50</f>
        <v>0.09</v>
      </c>
      <c r="W54" s="45" t="s">
        <v>274</v>
      </c>
      <c r="X54" s="176"/>
      <c r="Y54" s="45"/>
    </row>
    <row r="55" spans="8:45" ht="15.75" thickBot="1" x14ac:dyDescent="0.3">
      <c r="I55" s="225">
        <v>0.5</v>
      </c>
      <c r="J55" s="237">
        <f t="shared" ca="1" si="39"/>
        <v>12.081632653061224</v>
      </c>
      <c r="K55" s="227">
        <v>0.47499999999999998</v>
      </c>
      <c r="L55" s="227">
        <v>2.4</v>
      </c>
      <c r="M55" s="227">
        <v>0.42</v>
      </c>
      <c r="N55" s="27">
        <v>3.6</v>
      </c>
      <c r="P55" s="262" t="s">
        <v>267</v>
      </c>
      <c r="Q55" s="263">
        <f>N55</f>
        <v>3.6</v>
      </c>
      <c r="R55" s="263">
        <f>N54</f>
        <v>3.6</v>
      </c>
      <c r="S55" s="263">
        <f>N53</f>
        <v>3.75</v>
      </c>
      <c r="T55" s="263">
        <f>N52</f>
        <v>4.05</v>
      </c>
      <c r="U55" s="264">
        <f>N51</f>
        <v>5</v>
      </c>
      <c r="V55" s="265">
        <f>N50</f>
        <v>5</v>
      </c>
      <c r="W55" s="45"/>
      <c r="X55" s="176"/>
      <c r="Y55" s="45"/>
    </row>
    <row r="56" spans="8:45" x14ac:dyDescent="0.25">
      <c r="V56" s="45"/>
      <c r="W56" s="45"/>
      <c r="X56" s="176"/>
      <c r="Y56" s="45"/>
    </row>
    <row r="57" spans="8:45" x14ac:dyDescent="0.25">
      <c r="W57" s="45"/>
      <c r="X57" s="176"/>
      <c r="Y57" s="45"/>
    </row>
    <row r="58" spans="8:45" x14ac:dyDescent="0.25">
      <c r="W58" s="45"/>
      <c r="X58" s="129"/>
      <c r="Y58" s="45"/>
    </row>
    <row r="59" spans="8:45" x14ac:dyDescent="0.25">
      <c r="W59" s="45"/>
      <c r="X59" s="129"/>
      <c r="Y59" s="45"/>
    </row>
    <row r="60" spans="8:45" x14ac:dyDescent="0.25">
      <c r="W60" s="45"/>
      <c r="X60" s="129"/>
      <c r="Y60" s="45"/>
    </row>
    <row r="61" spans="8:45" x14ac:dyDescent="0.25">
      <c r="H61" s="15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2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2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2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0"/>
      <c r="E69" s="60"/>
      <c r="F69" s="60"/>
      <c r="G69" s="60"/>
      <c r="H69" s="60"/>
      <c r="I69" s="170"/>
      <c r="J69" s="60"/>
      <c r="K69" s="167"/>
      <c r="L69" s="60"/>
      <c r="M69" s="60"/>
      <c r="N69" s="168"/>
      <c r="O69" s="168"/>
      <c r="P69" s="168"/>
      <c r="Q69" s="168"/>
      <c r="R69" s="168"/>
      <c r="S69" s="168"/>
      <c r="T69" s="168"/>
      <c r="U69" s="169"/>
      <c r="V69" s="16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0"/>
      <c r="E70" s="60"/>
      <c r="F70" s="60"/>
      <c r="G70" s="60"/>
      <c r="H70" s="60"/>
      <c r="I70" s="170"/>
      <c r="J70" s="60"/>
      <c r="K70" s="167"/>
      <c r="L70" s="60"/>
      <c r="M70" s="60"/>
      <c r="N70" s="168"/>
      <c r="O70" s="168"/>
      <c r="P70" s="168"/>
      <c r="Q70" s="168"/>
      <c r="R70" s="168"/>
      <c r="S70" s="168"/>
      <c r="T70" s="168"/>
      <c r="U70" s="169"/>
      <c r="V70" s="169"/>
      <c r="W70" s="9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0"/>
      <c r="E71" s="60"/>
      <c r="F71" s="60"/>
      <c r="G71" s="60"/>
      <c r="H71" s="60"/>
      <c r="I71" s="170"/>
      <c r="J71" s="60"/>
      <c r="K71" s="167"/>
      <c r="L71" s="60"/>
      <c r="M71" s="60"/>
      <c r="N71" s="168"/>
      <c r="O71" s="168"/>
      <c r="P71" s="168"/>
      <c r="Q71" s="168"/>
      <c r="R71" s="168"/>
      <c r="S71" s="168"/>
      <c r="T71" s="168"/>
      <c r="U71" s="169"/>
      <c r="V71" s="16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0"/>
      <c r="E72" s="60"/>
      <c r="F72" s="60"/>
      <c r="G72" s="60"/>
      <c r="H72" s="60"/>
      <c r="I72" s="170"/>
      <c r="J72" s="60"/>
      <c r="K72" s="167"/>
      <c r="L72" s="60"/>
      <c r="M72" s="60"/>
      <c r="N72" s="168"/>
      <c r="O72" s="168"/>
      <c r="P72" s="168"/>
      <c r="Q72" s="168"/>
      <c r="R72" s="168"/>
      <c r="S72" s="168"/>
      <c r="T72" s="168"/>
      <c r="U72" s="169"/>
      <c r="V72" s="169"/>
      <c r="W72" s="45"/>
      <c r="X72" s="45"/>
      <c r="Y72" s="45"/>
      <c r="Z72" s="45"/>
      <c r="AA72" s="12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0"/>
      <c r="E73" s="60"/>
      <c r="F73" s="60"/>
      <c r="G73" s="60"/>
      <c r="H73" s="60"/>
      <c r="I73" s="170"/>
      <c r="J73" s="60"/>
      <c r="K73" s="167"/>
      <c r="L73" s="60"/>
      <c r="M73" s="60"/>
      <c r="N73" s="168"/>
      <c r="O73" s="168"/>
      <c r="P73" s="168"/>
      <c r="Q73" s="168"/>
      <c r="R73" s="168"/>
      <c r="S73" s="168"/>
      <c r="T73" s="168"/>
      <c r="U73" s="169"/>
      <c r="V73" s="169"/>
      <c r="W73" s="45"/>
      <c r="X73" s="45"/>
      <c r="Y73" s="45"/>
      <c r="Z73" s="45"/>
      <c r="AA73" s="12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0"/>
      <c r="E74" s="60"/>
      <c r="F74" s="60"/>
      <c r="G74" s="60"/>
      <c r="H74" s="60"/>
      <c r="I74" s="170"/>
      <c r="J74" s="60"/>
      <c r="K74" s="167"/>
      <c r="L74" s="60"/>
      <c r="M74" s="60"/>
      <c r="N74" s="168"/>
      <c r="O74" s="168"/>
      <c r="P74" s="168"/>
      <c r="Q74" s="168"/>
      <c r="R74" s="168"/>
      <c r="S74" s="168"/>
      <c r="T74" s="168"/>
      <c r="U74" s="169"/>
      <c r="V74" s="169"/>
      <c r="W74" s="45"/>
      <c r="X74" s="45"/>
      <c r="Y74" s="45"/>
      <c r="Z74" s="45"/>
      <c r="AA74" s="12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0"/>
      <c r="E75" s="60"/>
      <c r="F75" s="60"/>
      <c r="G75" s="60"/>
      <c r="H75" s="60"/>
      <c r="I75" s="60"/>
      <c r="J75" s="60"/>
      <c r="K75" s="167"/>
      <c r="L75" s="60"/>
      <c r="M75" s="60"/>
      <c r="N75" s="168"/>
      <c r="O75" s="168"/>
      <c r="P75" s="168"/>
      <c r="Q75" s="168"/>
      <c r="R75" s="168"/>
      <c r="S75" s="168"/>
      <c r="T75" s="168"/>
      <c r="U75" s="169"/>
      <c r="V75" s="169"/>
      <c r="W75" s="45"/>
      <c r="X75" s="166"/>
      <c r="Y75" s="16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0"/>
      <c r="E91" s="60"/>
      <c r="F91" s="60"/>
      <c r="G91" s="60"/>
      <c r="H91" s="60"/>
      <c r="I91" s="60"/>
      <c r="J91" s="60"/>
      <c r="K91" s="167"/>
      <c r="L91" s="60"/>
      <c r="M91" s="60"/>
      <c r="N91" s="168"/>
      <c r="O91" s="168"/>
      <c r="P91" s="168"/>
      <c r="Q91" s="168"/>
      <c r="R91" s="168"/>
      <c r="S91" s="168"/>
      <c r="T91" s="168"/>
      <c r="U91" s="169"/>
      <c r="V91" s="169"/>
      <c r="W91" s="45"/>
      <c r="X91" s="166"/>
      <c r="Y91" s="16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0"/>
      <c r="E92" s="60"/>
      <c r="F92" s="60"/>
      <c r="G92" s="60"/>
      <c r="H92" s="60"/>
      <c r="I92" s="60"/>
      <c r="J92" s="60"/>
      <c r="K92" s="167"/>
      <c r="L92" s="60"/>
      <c r="M92" s="60"/>
      <c r="N92" s="168"/>
      <c r="O92" s="168"/>
      <c r="P92" s="168"/>
      <c r="Q92" s="168"/>
      <c r="R92" s="168"/>
      <c r="S92" s="168"/>
      <c r="T92" s="168"/>
      <c r="U92" s="169"/>
      <c r="V92" s="169"/>
      <c r="W92" s="45"/>
      <c r="X92" s="166"/>
      <c r="Y92" s="16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0"/>
      <c r="E93" s="60"/>
      <c r="F93" s="60"/>
      <c r="G93" s="60"/>
      <c r="H93" s="60"/>
      <c r="I93" s="60"/>
      <c r="J93" s="60"/>
      <c r="K93" s="167"/>
      <c r="L93" s="60"/>
      <c r="M93" s="60"/>
      <c r="N93" s="168"/>
      <c r="O93" s="168"/>
      <c r="P93" s="168"/>
      <c r="Q93" s="168"/>
      <c r="R93" s="168"/>
      <c r="S93" s="168"/>
      <c r="T93" s="168"/>
      <c r="U93" s="169"/>
      <c r="V93" s="169"/>
      <c r="W93" s="45"/>
      <c r="X93" s="166"/>
      <c r="Y93" s="16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0"/>
      <c r="E94" s="60"/>
      <c r="F94" s="60"/>
      <c r="G94" s="60"/>
      <c r="H94" s="60"/>
      <c r="I94" s="60"/>
      <c r="J94" s="60"/>
      <c r="K94" s="167"/>
      <c r="L94" s="60"/>
      <c r="M94" s="60"/>
      <c r="N94" s="168"/>
      <c r="O94" s="168"/>
      <c r="P94" s="168"/>
      <c r="Q94" s="168"/>
      <c r="R94" s="168"/>
      <c r="S94" s="168"/>
      <c r="T94" s="168"/>
      <c r="U94" s="169"/>
      <c r="V94" s="169"/>
      <c r="W94" s="45"/>
      <c r="X94" s="166"/>
      <c r="Y94" s="16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0"/>
      <c r="E95" s="60"/>
      <c r="F95" s="60"/>
      <c r="G95" s="60"/>
      <c r="H95" s="60"/>
      <c r="I95" s="60"/>
      <c r="J95" s="60"/>
      <c r="K95" s="167"/>
      <c r="L95" s="60"/>
      <c r="M95" s="60"/>
      <c r="N95" s="168"/>
      <c r="O95" s="168"/>
      <c r="P95" s="168"/>
      <c r="Q95" s="168"/>
      <c r="R95" s="168"/>
      <c r="S95" s="168"/>
      <c r="T95" s="168"/>
      <c r="U95" s="169"/>
      <c r="V95" s="169"/>
      <c r="W95" s="45"/>
      <c r="X95" s="166"/>
      <c r="Y95" s="16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0"/>
      <c r="E96" s="60"/>
      <c r="F96" s="60"/>
      <c r="G96" s="60"/>
      <c r="H96" s="60"/>
      <c r="I96" s="60"/>
      <c r="J96" s="60"/>
      <c r="K96" s="167"/>
      <c r="L96" s="60"/>
      <c r="M96" s="60"/>
      <c r="N96" s="168"/>
      <c r="O96" s="168"/>
      <c r="P96" s="168"/>
      <c r="Q96" s="168"/>
      <c r="R96" s="168"/>
      <c r="S96" s="168"/>
      <c r="T96" s="168"/>
      <c r="U96" s="169"/>
      <c r="V96" s="169"/>
      <c r="W96" s="45"/>
      <c r="X96" s="166"/>
      <c r="Y96" s="16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0"/>
      <c r="E97" s="60"/>
      <c r="F97" s="60"/>
      <c r="G97" s="60"/>
      <c r="H97" s="60"/>
      <c r="I97" s="60"/>
      <c r="J97" s="60"/>
      <c r="K97" s="167"/>
      <c r="L97" s="60"/>
      <c r="M97" s="60"/>
      <c r="N97" s="168"/>
      <c r="O97" s="168"/>
      <c r="P97" s="168"/>
      <c r="Q97" s="168"/>
      <c r="R97" s="168"/>
      <c r="S97" s="168"/>
      <c r="T97" s="168"/>
      <c r="U97" s="169"/>
      <c r="V97" s="169"/>
      <c r="W97" s="45"/>
      <c r="X97" s="166"/>
      <c r="Y97" s="16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0"/>
      <c r="E98" s="60"/>
      <c r="F98" s="60"/>
      <c r="G98" s="60"/>
      <c r="H98" s="60"/>
      <c r="I98" s="60"/>
      <c r="J98" s="60"/>
      <c r="K98" s="167"/>
      <c r="L98" s="60"/>
      <c r="M98" s="60"/>
      <c r="N98" s="168"/>
      <c r="O98" s="168"/>
      <c r="P98" s="168"/>
      <c r="Q98" s="168"/>
      <c r="R98" s="168"/>
      <c r="S98" s="168"/>
      <c r="T98" s="168"/>
      <c r="U98" s="169"/>
      <c r="V98" s="169"/>
      <c r="W98" s="45"/>
      <c r="X98" s="166"/>
      <c r="Y98" s="16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0"/>
      <c r="E99" s="60"/>
      <c r="F99" s="60"/>
      <c r="G99" s="60"/>
      <c r="H99" s="60"/>
      <c r="I99" s="60"/>
      <c r="J99" s="60"/>
      <c r="K99" s="167"/>
      <c r="L99" s="60"/>
      <c r="M99" s="60"/>
      <c r="N99" s="168"/>
      <c r="O99" s="168"/>
      <c r="P99" s="168"/>
      <c r="Q99" s="168"/>
      <c r="R99" s="168"/>
      <c r="S99" s="168"/>
      <c r="T99" s="168"/>
      <c r="U99" s="169"/>
      <c r="V99" s="169"/>
      <c r="W99" s="45"/>
      <c r="X99" s="166"/>
      <c r="Y99" s="16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169"/>
      <c r="V100" s="169"/>
      <c r="W100" s="45"/>
      <c r="X100" s="166"/>
      <c r="Y100" s="16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169"/>
      <c r="V101" s="169"/>
      <c r="W101" s="45"/>
      <c r="X101" s="166"/>
      <c r="Y101" s="16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0"/>
      <c r="E105" s="60"/>
      <c r="F105" s="60"/>
      <c r="G105" s="60"/>
      <c r="H105" s="60"/>
      <c r="I105" s="170"/>
      <c r="J105" s="60"/>
      <c r="K105" s="167"/>
      <c r="L105" s="60"/>
      <c r="M105" s="60"/>
      <c r="N105" s="168"/>
      <c r="O105" s="168"/>
      <c r="P105" s="168"/>
      <c r="Q105" s="168"/>
      <c r="R105" s="168"/>
      <c r="S105" s="168"/>
      <c r="T105" s="168"/>
      <c r="U105" s="169"/>
      <c r="V105" s="169"/>
      <c r="W105" s="45"/>
      <c r="X105" s="166"/>
      <c r="Y105" s="16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0"/>
      <c r="E106" s="60"/>
      <c r="F106" s="60"/>
      <c r="G106" s="60"/>
      <c r="H106" s="60"/>
      <c r="I106" s="170"/>
      <c r="J106" s="60"/>
      <c r="K106" s="167"/>
      <c r="L106" s="60"/>
      <c r="M106" s="60"/>
      <c r="N106" s="168"/>
      <c r="O106" s="168"/>
      <c r="P106" s="168"/>
      <c r="Q106" s="168"/>
      <c r="R106" s="168"/>
      <c r="S106" s="168"/>
      <c r="T106" s="168"/>
      <c r="U106" s="169"/>
      <c r="V106" s="169"/>
      <c r="W106" s="45"/>
      <c r="X106" s="166"/>
      <c r="Y106" s="16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0"/>
      <c r="E107" s="60"/>
      <c r="F107" s="60"/>
      <c r="G107" s="60"/>
      <c r="H107" s="60"/>
      <c r="I107" s="170"/>
      <c r="J107" s="60"/>
      <c r="K107" s="167"/>
      <c r="L107" s="60"/>
      <c r="M107" s="60"/>
      <c r="N107" s="168"/>
      <c r="O107" s="168"/>
      <c r="P107" s="168"/>
      <c r="Q107" s="168"/>
      <c r="R107" s="168"/>
      <c r="S107" s="168"/>
      <c r="T107" s="168"/>
      <c r="U107" s="169"/>
      <c r="V107" s="169"/>
      <c r="W107" s="45"/>
      <c r="X107" s="166"/>
      <c r="Y107" s="16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0"/>
      <c r="E108" s="60"/>
      <c r="F108" s="60"/>
      <c r="G108" s="60"/>
      <c r="H108" s="60"/>
      <c r="I108" s="60"/>
      <c r="J108" s="60"/>
      <c r="K108" s="167"/>
      <c r="L108" s="60"/>
      <c r="M108" s="60"/>
      <c r="N108" s="168"/>
      <c r="O108" s="168"/>
      <c r="P108" s="168"/>
      <c r="Q108" s="168"/>
      <c r="R108" s="168"/>
      <c r="S108" s="168"/>
      <c r="T108" s="168"/>
      <c r="U108" s="169"/>
      <c r="V108" s="169"/>
      <c r="W108" s="45"/>
      <c r="X108" s="166"/>
      <c r="Y108" s="16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0"/>
      <c r="E109" s="60"/>
      <c r="F109" s="60"/>
      <c r="G109" s="60"/>
      <c r="H109" s="60"/>
      <c r="I109" s="60"/>
      <c r="J109" s="60"/>
      <c r="K109" s="167"/>
      <c r="L109" s="60"/>
      <c r="M109" s="60"/>
      <c r="N109" s="168"/>
      <c r="O109" s="168"/>
      <c r="P109" s="168"/>
      <c r="Q109" s="168"/>
      <c r="R109" s="168"/>
      <c r="S109" s="168"/>
      <c r="T109" s="168"/>
      <c r="U109" s="169"/>
      <c r="V109" s="169"/>
      <c r="W109" s="45"/>
      <c r="X109" s="166"/>
      <c r="Y109" s="16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0"/>
      <c r="E110" s="60"/>
      <c r="F110" s="60"/>
      <c r="G110" s="60"/>
      <c r="H110" s="60"/>
      <c r="I110" s="60"/>
      <c r="J110" s="60"/>
      <c r="K110" s="167"/>
      <c r="L110" s="60"/>
      <c r="M110" s="60"/>
      <c r="N110" s="168"/>
      <c r="O110" s="168"/>
      <c r="P110" s="168"/>
      <c r="Q110" s="168"/>
      <c r="R110" s="168"/>
      <c r="S110" s="168"/>
      <c r="T110" s="168"/>
      <c r="U110" s="169"/>
      <c r="V110" s="169"/>
      <c r="W110" s="45"/>
      <c r="X110" s="166"/>
      <c r="Y110" s="16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0"/>
      <c r="E111" s="60"/>
      <c r="F111" s="60"/>
      <c r="G111" s="60"/>
      <c r="H111" s="60"/>
      <c r="I111" s="60"/>
      <c r="J111" s="60"/>
      <c r="K111" s="167"/>
      <c r="L111" s="60"/>
      <c r="M111" s="60"/>
      <c r="N111" s="168"/>
      <c r="O111" s="168"/>
      <c r="P111" s="168"/>
      <c r="Q111" s="168"/>
      <c r="R111" s="168"/>
      <c r="S111" s="168"/>
      <c r="T111" s="168"/>
      <c r="U111" s="169"/>
      <c r="V111" s="169"/>
      <c r="W111" s="45"/>
      <c r="X111" s="166"/>
      <c r="Y111" s="16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0"/>
      <c r="E112" s="60"/>
      <c r="F112" s="60"/>
      <c r="G112" s="60"/>
      <c r="H112" s="60"/>
      <c r="I112" s="60"/>
      <c r="J112" s="60"/>
      <c r="K112" s="167"/>
      <c r="L112" s="60"/>
      <c r="M112" s="60"/>
      <c r="N112" s="168"/>
      <c r="O112" s="168"/>
      <c r="P112" s="168"/>
      <c r="Q112" s="168"/>
      <c r="R112" s="168"/>
      <c r="S112" s="168"/>
      <c r="T112" s="168"/>
      <c r="U112" s="169"/>
      <c r="V112" s="169"/>
      <c r="W112" s="45"/>
      <c r="X112" s="166"/>
      <c r="Y112" s="16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0"/>
      <c r="E113" s="60"/>
      <c r="F113" s="60"/>
      <c r="G113" s="60"/>
      <c r="H113" s="60"/>
      <c r="I113" s="60"/>
      <c r="J113" s="60"/>
      <c r="K113" s="167"/>
      <c r="L113" s="60"/>
      <c r="M113" s="60"/>
      <c r="N113" s="168"/>
      <c r="O113" s="168"/>
      <c r="P113" s="168"/>
      <c r="Q113" s="168"/>
      <c r="R113" s="168"/>
      <c r="S113" s="168"/>
      <c r="T113" s="168"/>
      <c r="U113" s="169"/>
      <c r="V113" s="169"/>
      <c r="W113" s="45"/>
      <c r="X113" s="166"/>
      <c r="Y113" s="16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0"/>
      <c r="E114" s="60"/>
      <c r="F114" s="60"/>
      <c r="G114" s="60"/>
      <c r="H114" s="60"/>
      <c r="I114" s="60"/>
      <c r="J114" s="60"/>
      <c r="K114" s="167"/>
      <c r="L114" s="60"/>
      <c r="M114" s="60"/>
      <c r="N114" s="168"/>
      <c r="O114" s="168"/>
      <c r="P114" s="168"/>
      <c r="Q114" s="168"/>
      <c r="R114" s="168"/>
      <c r="S114" s="168"/>
      <c r="T114" s="168"/>
      <c r="U114" s="169"/>
      <c r="V114" s="169"/>
      <c r="W114" s="45"/>
      <c r="X114" s="166"/>
      <c r="Y114" s="16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0"/>
      <c r="E115" s="60"/>
      <c r="F115" s="60"/>
      <c r="G115" s="60"/>
      <c r="H115" s="60"/>
      <c r="I115" s="60"/>
      <c r="J115" s="60"/>
      <c r="K115" s="167"/>
      <c r="L115" s="60"/>
      <c r="M115" s="60"/>
      <c r="N115" s="168"/>
      <c r="O115" s="168"/>
      <c r="P115" s="168"/>
      <c r="Q115" s="168"/>
      <c r="R115" s="168"/>
      <c r="S115" s="168"/>
      <c r="T115" s="168"/>
      <c r="U115" s="169"/>
      <c r="V115" s="169"/>
      <c r="W115" s="45"/>
      <c r="X115" s="166"/>
      <c r="Y115" s="16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0"/>
      <c r="E116" s="60"/>
      <c r="F116" s="60"/>
      <c r="G116" s="60"/>
      <c r="H116" s="60"/>
      <c r="I116" s="60"/>
      <c r="J116" s="60"/>
      <c r="K116" s="167"/>
      <c r="L116" s="60"/>
      <c r="M116" s="60"/>
      <c r="N116" s="168"/>
      <c r="O116" s="168"/>
      <c r="P116" s="168"/>
      <c r="Q116" s="168"/>
      <c r="R116" s="168"/>
      <c r="S116" s="168"/>
      <c r="T116" s="168"/>
      <c r="U116" s="169"/>
      <c r="V116" s="169"/>
      <c r="W116" s="45"/>
      <c r="X116" s="166"/>
      <c r="Y116" s="16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0"/>
      <c r="E117" s="60"/>
      <c r="F117" s="60"/>
      <c r="G117" s="60"/>
      <c r="H117" s="60"/>
      <c r="I117" s="60"/>
      <c r="J117" s="60"/>
      <c r="K117" s="167"/>
      <c r="L117" s="60"/>
      <c r="M117" s="60"/>
      <c r="N117" s="168"/>
      <c r="O117" s="168"/>
      <c r="P117" s="168"/>
      <c r="Q117" s="168"/>
      <c r="R117" s="168"/>
      <c r="S117" s="168"/>
      <c r="T117" s="168"/>
      <c r="U117" s="169"/>
      <c r="V117" s="169"/>
      <c r="W117" s="45"/>
      <c r="X117" s="166"/>
      <c r="Y117" s="16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169"/>
      <c r="V118" s="169"/>
      <c r="W118" s="45"/>
      <c r="X118" s="166"/>
      <c r="Y118" s="16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169"/>
      <c r="V119" s="169"/>
      <c r="W119" s="45"/>
      <c r="X119" s="166"/>
      <c r="Y119" s="16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45"/>
      <c r="V120" s="45"/>
      <c r="W120" s="45"/>
      <c r="X120" s="16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45"/>
      <c r="V121" s="45"/>
      <c r="W121" s="45"/>
      <c r="X121" s="16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abSelected="1" topLeftCell="Q1" zoomScale="70" zoomScaleNormal="70" workbookViewId="0">
      <selection activeCell="AG8" sqref="AG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207</v>
      </c>
      <c r="B1" t="s">
        <v>206</v>
      </c>
      <c r="C1" s="203" t="s">
        <v>46</v>
      </c>
      <c r="D1" s="204" t="s">
        <v>0</v>
      </c>
      <c r="E1" s="204" t="s">
        <v>1</v>
      </c>
      <c r="F1" s="204" t="s">
        <v>10</v>
      </c>
      <c r="G1" s="204" t="s">
        <v>11</v>
      </c>
      <c r="H1" s="204" t="s">
        <v>23</v>
      </c>
      <c r="I1" s="205" t="s">
        <v>97</v>
      </c>
      <c r="J1" s="169"/>
      <c r="K1" s="4" t="s">
        <v>12</v>
      </c>
      <c r="L1" s="4" t="s">
        <v>7</v>
      </c>
      <c r="M1" s="4" t="s">
        <v>56</v>
      </c>
      <c r="N1" s="4" t="s">
        <v>24</v>
      </c>
      <c r="O1" s="4" t="s">
        <v>102</v>
      </c>
      <c r="P1" s="4" t="s">
        <v>25</v>
      </c>
      <c r="Q1" s="4" t="s">
        <v>122</v>
      </c>
      <c r="R1" s="4" t="s">
        <v>26</v>
      </c>
      <c r="S1" s="4" t="s">
        <v>89</v>
      </c>
      <c r="T1" s="4" t="s">
        <v>7</v>
      </c>
      <c r="U1" s="4" t="str">
        <f t="shared" ref="U1:U12" si="0">K1</f>
        <v>Charger Pwr, W</v>
      </c>
      <c r="V1" s="4" t="s">
        <v>156</v>
      </c>
      <c r="W1" s="4" t="s">
        <v>123</v>
      </c>
      <c r="X1" s="4" t="s">
        <v>135</v>
      </c>
      <c r="Y1" s="4" t="s">
        <v>42</v>
      </c>
      <c r="Z1" s="4" t="s">
        <v>143</v>
      </c>
      <c r="AA1" s="4" t="s">
        <v>245</v>
      </c>
      <c r="AB1" s="4" t="s">
        <v>246</v>
      </c>
      <c r="AC1" s="4" t="s">
        <v>151</v>
      </c>
      <c r="AD1" s="4" t="s">
        <v>152</v>
      </c>
      <c r="AE1" s="4" t="s">
        <v>153</v>
      </c>
      <c r="AF1" s="4" t="s">
        <v>199</v>
      </c>
      <c r="AG1" s="4" t="s">
        <v>158</v>
      </c>
      <c r="AH1" s="4" t="s">
        <v>61</v>
      </c>
      <c r="AI1" s="4" t="s">
        <v>58</v>
      </c>
      <c r="AJ1" s="4" t="s">
        <v>62</v>
      </c>
      <c r="AK1" s="4" t="s">
        <v>59</v>
      </c>
      <c r="AL1" s="4" t="s">
        <v>94</v>
      </c>
      <c r="AM1" s="4" t="s">
        <v>95</v>
      </c>
      <c r="AN1" s="4" t="s">
        <v>90</v>
      </c>
      <c r="AO1" s="4" t="s">
        <v>91</v>
      </c>
      <c r="AP1" s="4" t="s">
        <v>78</v>
      </c>
      <c r="AQ1" s="4" t="s">
        <v>124</v>
      </c>
      <c r="AR1" s="4" t="s">
        <v>77</v>
      </c>
      <c r="AS1" s="4" t="s">
        <v>74</v>
      </c>
      <c r="AT1" s="4" t="s">
        <v>92</v>
      </c>
      <c r="AU1" s="4" t="s">
        <v>171</v>
      </c>
      <c r="AX1" s="4"/>
      <c r="AY1" s="4"/>
    </row>
    <row r="2" spans="1:51" x14ac:dyDescent="0.25">
      <c r="A2" t="s">
        <v>208</v>
      </c>
      <c r="B2" t="s">
        <v>187</v>
      </c>
      <c r="C2" s="200">
        <f t="shared" ref="C2:C12" si="1">D2/180+1</f>
        <v>1.0396468619615136</v>
      </c>
      <c r="D2" s="242">
        <f>EXP((0-$Q$40)/$R$40)</f>
        <v>7.1364351530724619</v>
      </c>
      <c r="E2" s="98">
        <v>0</v>
      </c>
      <c r="F2" s="98">
        <v>12.15</v>
      </c>
      <c r="G2" s="98">
        <v>0.105</v>
      </c>
      <c r="H2" s="128">
        <v>1.0000000000000001E+32</v>
      </c>
      <c r="I2" s="171">
        <v>1.0000000000000001E+32</v>
      </c>
      <c r="J2" s="169"/>
      <c r="K2" s="2">
        <f t="shared" ref="K2:K12" si="2">F2*G2</f>
        <v>1.2757499999999999</v>
      </c>
      <c r="L2" s="209">
        <f t="shared" ref="L2:L12" si="3">D2</f>
        <v>7.1364351530724619</v>
      </c>
      <c r="M2" s="214">
        <f t="shared" ref="M2:M12" si="4">LN(L2)</f>
        <v>1.9652133733894221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Q12" si="6">N2*60/$C$24</f>
        <v>5.9999999999999995E-25</v>
      </c>
      <c r="Q2" s="4">
        <v>0</v>
      </c>
      <c r="R2" s="3">
        <f t="shared" ref="R2:S12" si="7">P2/$Q$29</f>
        <v>1.3020833333333332E-27</v>
      </c>
      <c r="S2" s="3">
        <f t="shared" si="7"/>
        <v>0</v>
      </c>
      <c r="T2" s="3">
        <f t="shared" ref="T2:T12" si="8">L2</f>
        <v>7.1364351530724619</v>
      </c>
      <c r="U2" s="138">
        <f t="shared" si="0"/>
        <v>1.2757499999999999</v>
      </c>
      <c r="V2" s="1">
        <f>($U2-$U$2)</f>
        <v>0</v>
      </c>
      <c r="W2" s="214">
        <f>($U2-$U$2)*0.001341022</f>
        <v>0</v>
      </c>
      <c r="X2" s="207">
        <v>0</v>
      </c>
      <c r="Y2" s="207">
        <v>0</v>
      </c>
      <c r="Z2" s="208">
        <f>$Q$36*(P2/$Q$29/100)^2</f>
        <v>7.5021579327112167E-58</v>
      </c>
      <c r="AA2" s="209">
        <f t="shared" ref="AA2:AA12" si="9">SQRT(Z2^3/4/$Q$26/$Q$32)</f>
        <v>2.0154592931120451E-85</v>
      </c>
      <c r="AB2" s="1"/>
      <c r="AC2" s="138">
        <f t="shared" ref="AC2:AC12" si="10">SQRT(Z2/$Q$32/$Q$26)</f>
        <v>5.3730121684699729E-28</v>
      </c>
      <c r="AD2" s="155">
        <f t="shared" ref="AD2:AD11" si="11">AC2*1/1.6/1000*3600</f>
        <v>1.2089277379057438E-27</v>
      </c>
      <c r="AE2" s="4">
        <f t="shared" ref="AE2:AE12" si="12">Q2/60*PI()*$C$38/1000</f>
        <v>0</v>
      </c>
      <c r="AF2" s="138">
        <f>AE2/AC2</f>
        <v>0</v>
      </c>
      <c r="AH2" s="208">
        <f>D2/$Q$30*$Q$22</f>
        <v>0.1982343098075684</v>
      </c>
      <c r="AI2" s="208">
        <f t="shared" ref="AI2:AI13" si="13">AH2/$Q$22*$Q$30</f>
        <v>7.1364351530724619</v>
      </c>
      <c r="AJ2" s="209">
        <f>MAX(($Q$40+$R$40*LN($AI2)),0)</f>
        <v>0</v>
      </c>
      <c r="AK2" s="209">
        <f t="shared" ref="AK2:AK13" si="14">MAX(($Q$40+$R$40*LN(AI2))/$Q$29,0)</f>
        <v>0</v>
      </c>
      <c r="AL2" s="209">
        <f t="shared" ref="AL2:AL13" si="15">($Q$41+$R$41*AK2*$Q$29)/$Q$29</f>
        <v>-18.751985122124399</v>
      </c>
      <c r="AM2" s="209">
        <f t="shared" ref="AM2:AM13" si="16">($Q$42+$R$42*AL2*$Q$29)/$Q$29</f>
        <v>0.16841534935101679</v>
      </c>
      <c r="AN2" s="1"/>
      <c r="AO2" s="1">
        <f t="shared" ref="AO2:AO13" si="17">MAX($Q$41+$R$41*AJ2, 0)</f>
        <v>0</v>
      </c>
      <c r="AP2" s="207"/>
      <c r="AQ2" s="207"/>
      <c r="AR2" s="207"/>
      <c r="AS2" s="1"/>
      <c r="AT2" s="207"/>
      <c r="AU2" s="1"/>
    </row>
    <row r="3" spans="1:51" ht="15" customHeight="1" x14ac:dyDescent="0.25">
      <c r="A3" t="s">
        <v>209</v>
      </c>
      <c r="B3" t="s">
        <v>187</v>
      </c>
      <c r="C3" s="200">
        <f t="shared" si="1"/>
        <v>1.05</v>
      </c>
      <c r="D3" s="72">
        <v>9</v>
      </c>
      <c r="E3" s="98">
        <v>9.2999999999999999E-2</v>
      </c>
      <c r="F3" s="72">
        <v>12.18</v>
      </c>
      <c r="G3" s="96">
        <v>0.37</v>
      </c>
      <c r="H3" s="72">
        <v>7720</v>
      </c>
      <c r="I3" s="171">
        <v>1.0000000000000001E+32</v>
      </c>
      <c r="J3" s="60"/>
      <c r="K3" s="2">
        <f t="shared" si="2"/>
        <v>4.5065999999999997</v>
      </c>
      <c r="L3" s="1">
        <f t="shared" si="3"/>
        <v>9</v>
      </c>
      <c r="M3" s="214">
        <f t="shared" si="4"/>
        <v>2.1972245773362196</v>
      </c>
      <c r="N3" s="3">
        <f t="shared" si="5"/>
        <v>129.53367875647669</v>
      </c>
      <c r="O3" s="3">
        <f t="shared" si="5"/>
        <v>9.999999999999999E-27</v>
      </c>
      <c r="P3" s="3">
        <f t="shared" si="6"/>
        <v>7772.020725388601</v>
      </c>
      <c r="Q3" s="3">
        <f t="shared" si="6"/>
        <v>5.9999999999999995E-25</v>
      </c>
      <c r="R3" s="3">
        <f t="shared" si="7"/>
        <v>16.866364421416236</v>
      </c>
      <c r="S3" s="3">
        <f t="shared" si="7"/>
        <v>1.3020833333333332E-27</v>
      </c>
      <c r="T3" s="3">
        <f>L3</f>
        <v>9</v>
      </c>
      <c r="U3" s="138">
        <f>K3</f>
        <v>4.5065999999999997</v>
      </c>
      <c r="V3" s="1">
        <f t="shared" ref="V3:V12" si="18">($U3-$U$2)</f>
        <v>3.2308499999999998</v>
      </c>
      <c r="W3" s="214">
        <f t="shared" ref="W3:W12" si="19">($U3-$U$2)*0.001341022</f>
        <v>4.3326409287000002E-3</v>
      </c>
      <c r="X3" s="210">
        <f>$W3/$P3*5252</f>
        <v>2.9278138802691688E-3</v>
      </c>
      <c r="Y3" s="210">
        <f>X3-$X$3</f>
        <v>0</v>
      </c>
      <c r="Z3" s="208">
        <f t="shared" ref="Z3:Z11" si="20">$Q$36*(P3/$Q$29/100)^2</f>
        <v>0.12587851238810469</v>
      </c>
      <c r="AA3" s="209">
        <f t="shared" si="9"/>
        <v>0.43804843187188136</v>
      </c>
      <c r="AB3" s="2">
        <f>AA3/U3*100</f>
        <v>9.7201533722070153</v>
      </c>
      <c r="AC3" s="138">
        <f t="shared" si="10"/>
        <v>6.9598603218522976</v>
      </c>
      <c r="AD3" s="155">
        <f t="shared" si="11"/>
        <v>15.659685724167669</v>
      </c>
      <c r="AE3" s="4">
        <f t="shared" si="12"/>
        <v>1.7278759594743859E-27</v>
      </c>
      <c r="AF3" s="138">
        <f t="shared" ref="AF3" si="21">AE3/AC3</f>
        <v>2.4826302247033153E-28</v>
      </c>
      <c r="AH3" s="208">
        <f>D3/$Q$30*$Q$22</f>
        <v>0.25</v>
      </c>
      <c r="AI3" s="208">
        <f t="shared" si="13"/>
        <v>9</v>
      </c>
      <c r="AJ3" s="209">
        <f>MAX(($Q$40+$R$40*LN($AI3)),0)</f>
        <v>2981.8312148311707</v>
      </c>
      <c r="AK3" s="209">
        <f t="shared" si="14"/>
        <v>6.4709878794079225</v>
      </c>
      <c r="AL3" s="209">
        <f t="shared" si="15"/>
        <v>-12.407227757411349</v>
      </c>
      <c r="AM3" s="209">
        <f t="shared" si="16"/>
        <v>6.6224962219812253</v>
      </c>
      <c r="AN3" s="1"/>
      <c r="AO3" s="1">
        <f t="shared" si="17"/>
        <v>0</v>
      </c>
      <c r="AP3" s="207">
        <f>MAX($J$46+$AJ3*($K$46+$AJ3*$L$46), 0)</f>
        <v>5.1529933095557717E-5</v>
      </c>
      <c r="AQ3" s="207">
        <f>AJ3*AP3/5252</f>
        <v>2.9256200114717402E-5</v>
      </c>
      <c r="AR3" s="211">
        <f t="shared" ref="AR3:AR13" si="22">MAX($K$46+$L$46*2*AJ3,1E-32)</f>
        <v>1.0000000000000001E-32</v>
      </c>
      <c r="AS3" s="208"/>
      <c r="AT3" s="1"/>
      <c r="AU3" s="208"/>
      <c r="AX3" s="111"/>
      <c r="AY3" s="87"/>
    </row>
    <row r="4" spans="1:51" ht="15" customHeight="1" x14ac:dyDescent="0.25">
      <c r="A4" t="s">
        <v>210</v>
      </c>
      <c r="B4" t="s">
        <v>220</v>
      </c>
      <c r="C4" s="200">
        <f t="shared" si="1"/>
        <v>1.1111111111111112</v>
      </c>
      <c r="D4" s="72">
        <v>20</v>
      </c>
      <c r="E4" s="98">
        <v>0.37</v>
      </c>
      <c r="F4" s="72">
        <v>12.17</v>
      </c>
      <c r="G4" s="96">
        <v>0.86</v>
      </c>
      <c r="H4" s="72">
        <v>4180</v>
      </c>
      <c r="I4" s="77">
        <v>11300</v>
      </c>
      <c r="J4" s="60"/>
      <c r="K4" s="2">
        <f t="shared" si="2"/>
        <v>10.466200000000001</v>
      </c>
      <c r="L4" s="1">
        <f t="shared" si="3"/>
        <v>20</v>
      </c>
      <c r="M4" s="214">
        <f t="shared" si="4"/>
        <v>2.9957322735539909</v>
      </c>
      <c r="N4" s="3">
        <f t="shared" si="5"/>
        <v>239.23444976076556</v>
      </c>
      <c r="O4" s="3">
        <f t="shared" si="5"/>
        <v>88.495575221238937</v>
      </c>
      <c r="P4" s="3">
        <f t="shared" si="6"/>
        <v>14354.066985645934</v>
      </c>
      <c r="Q4" s="3">
        <f t="shared" si="6"/>
        <v>5309.7345132743358</v>
      </c>
      <c r="R4" s="3">
        <f t="shared" si="7"/>
        <v>31.150318979266348</v>
      </c>
      <c r="S4" s="3">
        <f t="shared" si="7"/>
        <v>11.522861356932152</v>
      </c>
      <c r="T4" s="3">
        <f t="shared" si="8"/>
        <v>20</v>
      </c>
      <c r="U4" s="138">
        <f t="shared" si="0"/>
        <v>10.466200000000001</v>
      </c>
      <c r="V4" s="209">
        <f t="shared" si="18"/>
        <v>9.1904500000000002</v>
      </c>
      <c r="W4" s="214">
        <f t="shared" si="19"/>
        <v>1.2324595639900002E-2</v>
      </c>
      <c r="X4" s="210">
        <f t="shared" ref="X4:X12" si="23">$W4/$P4*5252</f>
        <v>4.5094380822859187E-3</v>
      </c>
      <c r="Y4" s="210">
        <f t="shared" ref="Y4:Y12" si="24">X4-$X$3</f>
        <v>1.5816242020167499E-3</v>
      </c>
      <c r="Z4" s="208">
        <f t="shared" si="20"/>
        <v>0.42937191986854806</v>
      </c>
      <c r="AA4" s="209">
        <f t="shared" si="9"/>
        <v>2.7595939596328032</v>
      </c>
      <c r="AB4" s="2">
        <f t="shared" ref="AB4:AB11" si="25">AA4/U4*100</f>
        <v>26.366722971401302</v>
      </c>
      <c r="AC4" s="138">
        <f t="shared" si="10"/>
        <v>12.85409609681812</v>
      </c>
      <c r="AD4" s="155">
        <f t="shared" si="11"/>
        <v>28.921716217840768</v>
      </c>
      <c r="AE4" s="155">
        <f t="shared" si="12"/>
        <v>15.290937694463592</v>
      </c>
      <c r="AF4" s="138">
        <f>AE4/(AC4-$Q$45)</f>
        <v>8.2471117439408417</v>
      </c>
      <c r="AG4" s="131"/>
      <c r="AH4" s="208">
        <f>D4/$Q$30*$Q$22</f>
        <v>0.55555555555555558</v>
      </c>
      <c r="AI4" s="208">
        <f t="shared" si="13"/>
        <v>20</v>
      </c>
      <c r="AJ4" s="209">
        <f>MAX(($Q$40+$R$40*LN($AI4)),0)</f>
        <v>13244.332048243799</v>
      </c>
      <c r="AK4" s="209">
        <f t="shared" si="14"/>
        <v>28.7420400352513</v>
      </c>
      <c r="AL4" s="209">
        <f t="shared" si="15"/>
        <v>9.4293797002160833</v>
      </c>
      <c r="AM4" s="209">
        <f t="shared" si="16"/>
        <v>28.835359916222956</v>
      </c>
      <c r="AN4" s="2">
        <f t="shared" ref="AN4:AN13" si="26">AO4/$Q$29</f>
        <v>9.4293797002160868</v>
      </c>
      <c r="AO4" s="3">
        <f t="shared" si="17"/>
        <v>4345.0581658595729</v>
      </c>
      <c r="AP4" s="207">
        <f>MAX($J$46+$AJ4*($K$46+$AJ4*$L$46), 0)</f>
        <v>1.3887632875471301E-3</v>
      </c>
      <c r="AQ4" s="207">
        <f t="shared" ref="AQ4:AQ13" si="27">AJ4*AP4/5252</f>
        <v>3.5021405401151704E-3</v>
      </c>
      <c r="AR4" s="211">
        <f t="shared" si="22"/>
        <v>3.0121380334644088E-7</v>
      </c>
      <c r="AS4" s="208">
        <f t="shared" ref="AS4:AS13" si="28">$Q$34/AR4</f>
        <v>0.12425332799821891</v>
      </c>
      <c r="AT4" s="1"/>
      <c r="AU4" s="208"/>
      <c r="AX4" s="110"/>
      <c r="AY4" s="87"/>
    </row>
    <row r="5" spans="1:51" ht="13.9" customHeight="1" x14ac:dyDescent="0.25">
      <c r="A5" t="s">
        <v>211</v>
      </c>
      <c r="B5" s="156">
        <v>16</v>
      </c>
      <c r="C5" s="200">
        <f t="shared" si="1"/>
        <v>1.1444444444444444</v>
      </c>
      <c r="D5" s="72">
        <v>26</v>
      </c>
      <c r="E5" s="72">
        <v>0.56999999999999995</v>
      </c>
      <c r="F5" s="72">
        <v>12.15</v>
      </c>
      <c r="G5" s="72">
        <v>1.29</v>
      </c>
      <c r="H5" s="72">
        <v>3500</v>
      </c>
      <c r="I5" s="77">
        <v>8100</v>
      </c>
      <c r="J5" s="60"/>
      <c r="K5" s="2">
        <f t="shared" si="2"/>
        <v>15.673500000000001</v>
      </c>
      <c r="L5" s="1">
        <f t="shared" si="3"/>
        <v>26</v>
      </c>
      <c r="M5" s="214">
        <f t="shared" si="4"/>
        <v>3.2580965380214821</v>
      </c>
      <c r="N5" s="3">
        <f t="shared" si="5"/>
        <v>285.71428571428572</v>
      </c>
      <c r="O5" s="3">
        <f t="shared" si="5"/>
        <v>123.4567901234568</v>
      </c>
      <c r="P5" s="3">
        <f t="shared" si="6"/>
        <v>17142.857142857145</v>
      </c>
      <c r="Q5" s="3">
        <f t="shared" si="6"/>
        <v>7407.4074074074078</v>
      </c>
      <c r="R5" s="3">
        <f t="shared" si="7"/>
        <v>37.202380952380956</v>
      </c>
      <c r="S5" s="3">
        <f t="shared" si="7"/>
        <v>16.075102880658438</v>
      </c>
      <c r="T5" s="3">
        <f t="shared" si="8"/>
        <v>26</v>
      </c>
      <c r="U5" s="138">
        <f t="shared" si="0"/>
        <v>15.673500000000001</v>
      </c>
      <c r="V5" s="209">
        <f t="shared" si="18"/>
        <v>14.39775</v>
      </c>
      <c r="W5" s="214">
        <f t="shared" si="19"/>
        <v>1.93076995005E-2</v>
      </c>
      <c r="X5" s="210">
        <f t="shared" si="23"/>
        <v>5.9152355369698493E-3</v>
      </c>
      <c r="Y5" s="210">
        <f t="shared" si="24"/>
        <v>2.9874216567006805E-3</v>
      </c>
      <c r="Z5" s="208">
        <f t="shared" si="20"/>
        <v>0.61242105573152794</v>
      </c>
      <c r="AA5" s="209">
        <f t="shared" si="9"/>
        <v>4.7007796923896112</v>
      </c>
      <c r="AB5" s="2">
        <f t="shared" si="25"/>
        <v>29.991895188628011</v>
      </c>
      <c r="AC5" s="138">
        <f t="shared" si="10"/>
        <v>15.35146333848564</v>
      </c>
      <c r="AD5" s="155">
        <f t="shared" si="11"/>
        <v>34.540792511592684</v>
      </c>
      <c r="AE5" s="155">
        <f t="shared" si="12"/>
        <v>21.331801968819587</v>
      </c>
      <c r="AF5" s="138">
        <f t="shared" ref="AF5:AF12" si="29">AE5/(AC5-$Q$45)</f>
        <v>4.9022134186802777</v>
      </c>
      <c r="AG5" s="131"/>
      <c r="AH5" s="208">
        <f>D5/$Q$30*$Q$22</f>
        <v>0.7222222222222221</v>
      </c>
      <c r="AI5" s="208">
        <f t="shared" si="13"/>
        <v>25.999999999999996</v>
      </c>
      <c r="AJ5" s="209">
        <f>MAX(($Q$40+$R$40*LN($AI5)),0)</f>
        <v>16616.263834886224</v>
      </c>
      <c r="AK5" s="209">
        <f t="shared" si="14"/>
        <v>36.059600336124618</v>
      </c>
      <c r="AL5" s="209">
        <f t="shared" si="15"/>
        <v>16.604195273343986</v>
      </c>
      <c r="AM5" s="209">
        <f t="shared" si="16"/>
        <v>36.133801336964098</v>
      </c>
      <c r="AN5" s="2">
        <f t="shared" si="26"/>
        <v>16.604195273343983</v>
      </c>
      <c r="AO5" s="3">
        <f t="shared" si="17"/>
        <v>7651.2131819569076</v>
      </c>
      <c r="AP5" s="207">
        <f>MAX($J$46+$AJ5*($K$46+$AJ5*$L$46), 0)</f>
        <v>2.5937895578369828E-3</v>
      </c>
      <c r="AQ5" s="207">
        <f t="shared" si="27"/>
        <v>8.2062246049490074E-3</v>
      </c>
      <c r="AR5" s="211">
        <f t="shared" si="22"/>
        <v>4.1352560808735247E-7</v>
      </c>
      <c r="AS5" s="208">
        <f t="shared" si="28"/>
        <v>9.0506650066736249E-2</v>
      </c>
      <c r="AT5" s="212">
        <f t="shared" ref="AT5:AT12" si="30">$Q$43*$Q$26*$Q$35^2*$Q$32*PI()/240*($AC5-$Q$45)/$Q$44*$Q$33</f>
        <v>-1.2076958133989244E-7</v>
      </c>
      <c r="AU5" s="145">
        <f t="shared" ref="AU5" si="31">-$Q$34/AT5</f>
        <v>0.30990268484464434</v>
      </c>
      <c r="AX5" s="110"/>
      <c r="AY5" s="87"/>
    </row>
    <row r="6" spans="1:51" ht="13.9" customHeight="1" x14ac:dyDescent="0.25">
      <c r="A6" t="s">
        <v>213</v>
      </c>
      <c r="B6" s="156">
        <v>25</v>
      </c>
      <c r="C6" s="200">
        <f t="shared" si="1"/>
        <v>1.1888888888888889</v>
      </c>
      <c r="D6" s="72">
        <v>34</v>
      </c>
      <c r="E6" s="72">
        <v>0.77</v>
      </c>
      <c r="F6" s="72">
        <v>12.13</v>
      </c>
      <c r="G6" s="72">
        <v>1.77</v>
      </c>
      <c r="H6" s="72">
        <v>3080</v>
      </c>
      <c r="I6" s="77">
        <v>5540</v>
      </c>
      <c r="J6" s="60"/>
      <c r="K6" s="2">
        <f t="shared" si="2"/>
        <v>21.470100000000002</v>
      </c>
      <c r="L6" s="1">
        <f t="shared" si="3"/>
        <v>34</v>
      </c>
      <c r="M6" s="214">
        <f t="shared" si="4"/>
        <v>3.5263605246161616</v>
      </c>
      <c r="N6" s="3">
        <f t="shared" si="5"/>
        <v>324.6753246753247</v>
      </c>
      <c r="O6" s="3">
        <f t="shared" si="5"/>
        <v>180.50541516245488</v>
      </c>
      <c r="P6" s="3">
        <f t="shared" si="6"/>
        <v>19480.519480519481</v>
      </c>
      <c r="Q6" s="3">
        <f t="shared" si="6"/>
        <v>10830.324909747293</v>
      </c>
      <c r="R6" s="3">
        <f t="shared" si="7"/>
        <v>42.275432900432897</v>
      </c>
      <c r="S6" s="3">
        <f t="shared" si="7"/>
        <v>23.503309265944644</v>
      </c>
      <c r="T6" s="3">
        <f t="shared" si="8"/>
        <v>34</v>
      </c>
      <c r="U6" s="138">
        <f t="shared" si="0"/>
        <v>21.470100000000002</v>
      </c>
      <c r="V6" s="209">
        <f t="shared" si="18"/>
        <v>20.194350000000004</v>
      </c>
      <c r="W6" s="214">
        <f t="shared" si="19"/>
        <v>2.7081067625700006E-2</v>
      </c>
      <c r="X6" s="210">
        <f t="shared" si="23"/>
        <v>7.301128048069057E-3</v>
      </c>
      <c r="Y6" s="210">
        <f t="shared" si="24"/>
        <v>4.3733141677998882E-3</v>
      </c>
      <c r="Z6" s="208">
        <f t="shared" si="20"/>
        <v>0.79083297485992743</v>
      </c>
      <c r="AA6" s="209">
        <f t="shared" si="9"/>
        <v>6.8979792161521081</v>
      </c>
      <c r="AB6" s="2">
        <f t="shared" si="25"/>
        <v>32.128305020247261</v>
      </c>
      <c r="AC6" s="138">
        <f t="shared" si="10"/>
        <v>17.444844702824586</v>
      </c>
      <c r="AD6" s="155">
        <f t="shared" si="11"/>
        <v>39.250900581355317</v>
      </c>
      <c r="AE6" s="155">
        <f t="shared" si="12"/>
        <v>31.189096741414918</v>
      </c>
      <c r="AF6" s="138">
        <f t="shared" si="29"/>
        <v>4.8393868556282911</v>
      </c>
      <c r="AG6" s="131"/>
      <c r="AH6" s="208">
        <f>D6/$Q$30*$Q$22</f>
        <v>0.94444444444444442</v>
      </c>
      <c r="AI6" s="208">
        <f t="shared" si="13"/>
        <v>34</v>
      </c>
      <c r="AJ6" s="213">
        <f>MAX(($Q$40+$R$40*LN($AI6)),0)</f>
        <v>20064.019440802986</v>
      </c>
      <c r="AK6" s="213">
        <f t="shared" si="14"/>
        <v>43.541708855909256</v>
      </c>
      <c r="AL6" s="213">
        <f t="shared" si="15"/>
        <v>23.940349199014673</v>
      </c>
      <c r="AM6" s="213">
        <f t="shared" si="16"/>
        <v>43.59636105495634</v>
      </c>
      <c r="AN6" s="9">
        <f t="shared" si="26"/>
        <v>23.940349199014673</v>
      </c>
      <c r="AO6" s="10">
        <f t="shared" si="17"/>
        <v>11031.712910905961</v>
      </c>
      <c r="AP6" s="210">
        <f>MAX($J$46+$AJ6*($K$46+$AJ6*$L$46), 0)</f>
        <v>4.2174903211159211E-3</v>
      </c>
      <c r="AQ6" s="210">
        <f t="shared" si="27"/>
        <v>1.6111920752907134E-2</v>
      </c>
      <c r="AR6" s="212">
        <f t="shared" si="22"/>
        <v>5.2836294137507056E-7</v>
      </c>
      <c r="AS6" s="208">
        <f t="shared" si="28"/>
        <v>7.0835432567228518E-2</v>
      </c>
      <c r="AT6" s="212">
        <f t="shared" si="30"/>
        <v>-1.7886883928835319E-7</v>
      </c>
      <c r="AU6" s="145">
        <f t="shared" ref="AU6:AU12" si="32">-$Q$34/AT6</f>
        <v>0.20924168599574136</v>
      </c>
      <c r="AX6" s="110"/>
      <c r="AY6" s="87"/>
    </row>
    <row r="7" spans="1:51" ht="13.9" customHeight="1" x14ac:dyDescent="0.25">
      <c r="A7" t="s">
        <v>214</v>
      </c>
      <c r="B7" s="156">
        <v>36</v>
      </c>
      <c r="C7" s="200">
        <f t="shared" si="1"/>
        <v>1.2833333333333332</v>
      </c>
      <c r="D7" s="72">
        <v>51</v>
      </c>
      <c r="E7" s="72">
        <v>1.1100000000000001</v>
      </c>
      <c r="F7" s="72">
        <v>12.08</v>
      </c>
      <c r="G7" s="72">
        <v>2.94</v>
      </c>
      <c r="H7" s="72">
        <v>2490</v>
      </c>
      <c r="I7" s="77">
        <v>3830</v>
      </c>
      <c r="J7" s="60"/>
      <c r="K7" s="2">
        <f t="shared" si="2"/>
        <v>35.5152</v>
      </c>
      <c r="L7" s="1">
        <f t="shared" si="3"/>
        <v>51</v>
      </c>
      <c r="M7" s="214">
        <f t="shared" si="4"/>
        <v>3.9318256327243257</v>
      </c>
      <c r="N7" s="3">
        <f t="shared" si="5"/>
        <v>401.60642570281129</v>
      </c>
      <c r="O7" s="3">
        <f t="shared" si="5"/>
        <v>261.09660574412533</v>
      </c>
      <c r="P7" s="3">
        <f t="shared" si="6"/>
        <v>24096.385542168679</v>
      </c>
      <c r="Q7" s="3">
        <f t="shared" si="6"/>
        <v>15665.796344647519</v>
      </c>
      <c r="R7" s="3">
        <f t="shared" si="7"/>
        <v>52.292503346720224</v>
      </c>
      <c r="S7" s="3">
        <f t="shared" si="7"/>
        <v>33.996953872932984</v>
      </c>
      <c r="T7" s="3">
        <f t="shared" si="8"/>
        <v>51</v>
      </c>
      <c r="U7" s="138">
        <f t="shared" si="0"/>
        <v>35.5152</v>
      </c>
      <c r="V7" s="209">
        <f t="shared" si="18"/>
        <v>34.239449999999998</v>
      </c>
      <c r="W7" s="214">
        <f t="shared" si="19"/>
        <v>4.5915855717900002E-2</v>
      </c>
      <c r="X7" s="210">
        <f t="shared" si="23"/>
        <v>1.0007728080562047E-2</v>
      </c>
      <c r="Y7" s="210">
        <f t="shared" si="24"/>
        <v>7.0799142002928783E-3</v>
      </c>
      <c r="Z7" s="208">
        <f t="shared" si="20"/>
        <v>1.210005956792829</v>
      </c>
      <c r="AA7" s="209">
        <f t="shared" si="9"/>
        <v>13.054973352949846</v>
      </c>
      <c r="AB7" s="2">
        <f t="shared" si="25"/>
        <v>36.758833831570279</v>
      </c>
      <c r="AC7" s="138">
        <f t="shared" si="10"/>
        <v>21.578362122369377</v>
      </c>
      <c r="AD7" s="155">
        <f t="shared" si="11"/>
        <v>48.5513147753311</v>
      </c>
      <c r="AE7" s="155">
        <f t="shared" si="12"/>
        <v>45.114254816563609</v>
      </c>
      <c r="AF7" s="138">
        <f t="shared" si="29"/>
        <v>4.264767484293567</v>
      </c>
      <c r="AG7" s="131"/>
      <c r="AH7" s="208">
        <f>D7/$Q$30*$Q$22</f>
        <v>1.4166666666666665</v>
      </c>
      <c r="AI7" s="208">
        <f t="shared" si="13"/>
        <v>51</v>
      </c>
      <c r="AJ7" s="209">
        <f>MAX(($Q$40+$R$40*LN($AI7)),0)</f>
        <v>25275.097592697159</v>
      </c>
      <c r="AK7" s="209">
        <f t="shared" si="14"/>
        <v>54.850472206374043</v>
      </c>
      <c r="AL7" s="209">
        <f t="shared" si="15"/>
        <v>35.02851083535257</v>
      </c>
      <c r="AM7" s="209">
        <f t="shared" si="16"/>
        <v>54.875577550724898</v>
      </c>
      <c r="AN7" s="2">
        <f t="shared" si="26"/>
        <v>35.02851083535257</v>
      </c>
      <c r="AO7" s="3">
        <f t="shared" si="17"/>
        <v>16141.137792930465</v>
      </c>
      <c r="AP7" s="207">
        <f>MAX($J$46+$AJ7*($K$46+$AJ7*$L$46), 0)</f>
        <v>7.4230738485389948E-3</v>
      </c>
      <c r="AQ7" s="207">
        <f t="shared" si="27"/>
        <v>3.5723327486599614E-2</v>
      </c>
      <c r="AR7" s="211">
        <f t="shared" si="22"/>
        <v>7.0193276096740061E-7</v>
      </c>
      <c r="AS7" s="208">
        <f t="shared" si="28"/>
        <v>5.3319661919205556E-2</v>
      </c>
      <c r="AT7" s="212">
        <f t="shared" si="30"/>
        <v>-2.9358959628163288E-7</v>
      </c>
      <c r="AU7" s="145">
        <f t="shared" si="32"/>
        <v>0.12748005371720922</v>
      </c>
      <c r="AX7" s="110"/>
      <c r="AY7" s="87"/>
    </row>
    <row r="8" spans="1:51" ht="13.9" customHeight="1" x14ac:dyDescent="0.25">
      <c r="A8" t="s">
        <v>215</v>
      </c>
      <c r="B8" s="156">
        <v>45</v>
      </c>
      <c r="C8" s="200">
        <f t="shared" si="1"/>
        <v>1.4222222222222223</v>
      </c>
      <c r="D8" s="72">
        <v>76</v>
      </c>
      <c r="E8" s="72">
        <v>1.47</v>
      </c>
      <c r="F8" s="72">
        <v>12</v>
      </c>
      <c r="G8" s="72">
        <v>4.96</v>
      </c>
      <c r="H8" s="72">
        <v>2000</v>
      </c>
      <c r="I8" s="77">
        <v>2900</v>
      </c>
      <c r="J8" s="60"/>
      <c r="K8" s="2">
        <f t="shared" si="2"/>
        <v>59.519999999999996</v>
      </c>
      <c r="L8" s="1">
        <f t="shared" si="3"/>
        <v>76</v>
      </c>
      <c r="M8" s="214">
        <f t="shared" si="4"/>
        <v>4.3307333402863311</v>
      </c>
      <c r="N8" s="3">
        <f t="shared" si="5"/>
        <v>500.00000000000006</v>
      </c>
      <c r="O8" s="3">
        <f t="shared" si="5"/>
        <v>344.82758620689651</v>
      </c>
      <c r="P8" s="3">
        <f t="shared" si="6"/>
        <v>30000.000000000004</v>
      </c>
      <c r="Q8" s="3">
        <f t="shared" si="6"/>
        <v>20689.65517241379</v>
      </c>
      <c r="R8" s="3">
        <f t="shared" si="7"/>
        <v>65.104166666666671</v>
      </c>
      <c r="S8" s="3">
        <f t="shared" si="7"/>
        <v>44.899425287356316</v>
      </c>
      <c r="T8" s="3">
        <f t="shared" si="8"/>
        <v>76</v>
      </c>
      <c r="U8" s="138">
        <f t="shared" si="0"/>
        <v>59.519999999999996</v>
      </c>
      <c r="V8" s="209">
        <f t="shared" si="18"/>
        <v>58.244249999999994</v>
      </c>
      <c r="W8" s="214">
        <f t="shared" si="19"/>
        <v>7.8106820623499995E-2</v>
      </c>
      <c r="X8" s="210">
        <f t="shared" si="23"/>
        <v>1.3673900730487397E-2</v>
      </c>
      <c r="Y8" s="210">
        <f t="shared" si="24"/>
        <v>1.0746086850218228E-2</v>
      </c>
      <c r="Z8" s="208">
        <f t="shared" si="20"/>
        <v>1.8755394831778047</v>
      </c>
      <c r="AA8" s="209">
        <f t="shared" si="9"/>
        <v>25.193241163900581</v>
      </c>
      <c r="AB8" s="2">
        <f t="shared" si="25"/>
        <v>42.327354106015761</v>
      </c>
      <c r="AC8" s="138">
        <f t="shared" si="10"/>
        <v>26.865060842349873</v>
      </c>
      <c r="AD8" s="155">
        <f t="shared" si="11"/>
        <v>60.446386895287219</v>
      </c>
      <c r="AE8" s="155">
        <f t="shared" si="12"/>
        <v>59.5819296370478</v>
      </c>
      <c r="AF8" s="304">
        <f t="shared" si="29"/>
        <v>3.7555437214587291</v>
      </c>
      <c r="AG8" s="139">
        <f>$N$40/($Q$26*$Q$35*$Q$32*($AC8-$Q$45)^2/4/$AF8)/(PI()*$Q$35/60/($AC8-$Q$45))</f>
        <v>-1.3731312472525363</v>
      </c>
      <c r="AH8" s="208">
        <f>D8/$Q$30*$Q$22</f>
        <v>2.1111111111111112</v>
      </c>
      <c r="AI8" s="208">
        <f t="shared" si="13"/>
        <v>76</v>
      </c>
      <c r="AJ8" s="209">
        <f>MAX(($Q$40+$R$40*LN($AI8)),0)</f>
        <v>30401.899376450201</v>
      </c>
      <c r="AK8" s="209">
        <f t="shared" si="14"/>
        <v>65.97634413292144</v>
      </c>
      <c r="AL8" s="209">
        <f t="shared" si="15"/>
        <v>45.937348737746348</v>
      </c>
      <c r="AM8" s="209">
        <f t="shared" si="16"/>
        <v>65.972380470255828</v>
      </c>
      <c r="AN8" s="2">
        <f t="shared" si="26"/>
        <v>45.937348737746348</v>
      </c>
      <c r="AO8" s="3">
        <f t="shared" si="17"/>
        <v>21167.930298353516</v>
      </c>
      <c r="AP8" s="207">
        <f>MAX($J$46+$AJ8*($K$46+$AJ8*$L$46), 0)</f>
        <v>1.145947737749306E-2</v>
      </c>
      <c r="AQ8" s="207">
        <f t="shared" si="27"/>
        <v>6.6334706423696016E-2</v>
      </c>
      <c r="AR8" s="211">
        <f t="shared" si="22"/>
        <v>8.7269551576665403E-7</v>
      </c>
      <c r="AS8" s="208">
        <f t="shared" si="28"/>
        <v>4.2886455617819064E-2</v>
      </c>
      <c r="AT8" s="212">
        <f t="shared" si="30"/>
        <v>-4.4031550005642732E-7</v>
      </c>
      <c r="AU8" s="145">
        <f t="shared" si="32"/>
        <v>8.5000000000000006E-2</v>
      </c>
      <c r="AX8" s="110"/>
      <c r="AY8" s="87"/>
    </row>
    <row r="9" spans="1:51" ht="13.9" customHeight="1" x14ac:dyDescent="0.25">
      <c r="A9" t="s">
        <v>216</v>
      </c>
      <c r="B9" s="156">
        <v>50</v>
      </c>
      <c r="C9" s="200">
        <f t="shared" si="1"/>
        <v>1.5055555555555555</v>
      </c>
      <c r="D9" s="72">
        <v>91</v>
      </c>
      <c r="E9" s="72">
        <v>1.65</v>
      </c>
      <c r="F9" s="72">
        <v>11.95</v>
      </c>
      <c r="G9" s="72">
        <v>6.19</v>
      </c>
      <c r="H9" s="72">
        <v>1860</v>
      </c>
      <c r="I9" s="77">
        <v>2630</v>
      </c>
      <c r="J9" s="60"/>
      <c r="K9" s="2">
        <f t="shared" si="2"/>
        <v>73.970500000000001</v>
      </c>
      <c r="L9" s="1">
        <f t="shared" si="3"/>
        <v>91</v>
      </c>
      <c r="M9" s="214">
        <f t="shared" si="4"/>
        <v>4.5108595065168497</v>
      </c>
      <c r="N9" s="3">
        <f t="shared" si="5"/>
        <v>537.63440860215053</v>
      </c>
      <c r="O9" s="3">
        <f t="shared" si="5"/>
        <v>380.22813688212926</v>
      </c>
      <c r="P9" s="3">
        <f t="shared" si="6"/>
        <v>32258.06451612903</v>
      </c>
      <c r="Q9" s="3">
        <f t="shared" si="6"/>
        <v>22813.688212927755</v>
      </c>
      <c r="R9" s="3">
        <f t="shared" si="7"/>
        <v>70.004480286738342</v>
      </c>
      <c r="S9" s="3">
        <f t="shared" si="7"/>
        <v>49.50887198986058</v>
      </c>
      <c r="T9" s="3">
        <f t="shared" si="8"/>
        <v>91</v>
      </c>
      <c r="U9" s="138">
        <f t="shared" si="0"/>
        <v>73.970500000000001</v>
      </c>
      <c r="V9" s="209">
        <f t="shared" si="18"/>
        <v>72.694749999999999</v>
      </c>
      <c r="W9" s="214">
        <f t="shared" si="19"/>
        <v>9.7485259034500005E-2</v>
      </c>
      <c r="X9" s="210">
        <f t="shared" si="23"/>
        <v>1.5871769993925016E-2</v>
      </c>
      <c r="Y9" s="210">
        <f t="shared" si="24"/>
        <v>1.2943956113655848E-2</v>
      </c>
      <c r="Z9" s="208">
        <f t="shared" si="20"/>
        <v>2.1685044319317885</v>
      </c>
      <c r="AA9" s="209">
        <f t="shared" si="9"/>
        <v>31.320969624060666</v>
      </c>
      <c r="AB9" s="2">
        <f t="shared" si="25"/>
        <v>42.34251441326024</v>
      </c>
      <c r="AC9" s="138">
        <f t="shared" si="10"/>
        <v>28.887162196075124</v>
      </c>
      <c r="AD9" s="155">
        <f t="shared" si="11"/>
        <v>64.996114941169026</v>
      </c>
      <c r="AE9" s="155">
        <f t="shared" si="12"/>
        <v>65.698705683436742</v>
      </c>
      <c r="AF9" s="138">
        <f t="shared" si="29"/>
        <v>3.6729529795314666</v>
      </c>
      <c r="AG9" s="131"/>
      <c r="AH9" s="208">
        <f>D9/$Q$30*$Q$22</f>
        <v>2.5277777777777777</v>
      </c>
      <c r="AI9" s="208">
        <f t="shared" si="13"/>
        <v>91</v>
      </c>
      <c r="AJ9" s="209">
        <f>MAX(($Q$40+$R$40*LN($AI9)),0)</f>
        <v>32716.898893444188</v>
      </c>
      <c r="AK9" s="209">
        <f t="shared" si="14"/>
        <v>71.000214612509083</v>
      </c>
      <c r="AL9" s="209">
        <f t="shared" si="15"/>
        <v>50.863217835131302</v>
      </c>
      <c r="AM9" s="209">
        <f t="shared" si="16"/>
        <v>70.983124884112584</v>
      </c>
      <c r="AN9" s="2">
        <f t="shared" si="26"/>
        <v>50.863217835131309</v>
      </c>
      <c r="AO9" s="3">
        <f t="shared" si="17"/>
        <v>23437.770778428508</v>
      </c>
      <c r="AP9" s="207">
        <f>MAX($J$46+$AJ9*($K$46+$AJ9*$L$46), 0)</f>
        <v>1.3569019174170294E-2</v>
      </c>
      <c r="AQ9" s="207">
        <f t="shared" si="27"/>
        <v>8.4527080808175004E-2</v>
      </c>
      <c r="AR9" s="211">
        <f t="shared" si="22"/>
        <v>9.4980317694708032E-7</v>
      </c>
      <c r="AS9" s="208">
        <f t="shared" si="28"/>
        <v>3.9404813979561595E-2</v>
      </c>
      <c r="AT9" s="212">
        <f t="shared" si="30"/>
        <v>-4.9643646785968948E-7</v>
      </c>
      <c r="AU9" s="145">
        <f t="shared" si="32"/>
        <v>7.5390951164720776E-2</v>
      </c>
      <c r="AX9" s="130"/>
      <c r="AY9" s="132"/>
    </row>
    <row r="10" spans="1:51" ht="13.9" customHeight="1" x14ac:dyDescent="0.25">
      <c r="A10" t="s">
        <v>218</v>
      </c>
      <c r="B10" s="156">
        <v>55</v>
      </c>
      <c r="C10" s="200">
        <f t="shared" si="1"/>
        <v>1.588888888888889</v>
      </c>
      <c r="D10" s="72">
        <v>106</v>
      </c>
      <c r="E10" s="72">
        <v>1.77</v>
      </c>
      <c r="F10" s="72">
        <v>11.91</v>
      </c>
      <c r="G10" s="72">
        <v>7.26</v>
      </c>
      <c r="H10" s="72">
        <v>1770</v>
      </c>
      <c r="I10" s="77">
        <v>2410</v>
      </c>
      <c r="J10" s="60"/>
      <c r="K10" s="2">
        <f t="shared" si="2"/>
        <v>86.4666</v>
      </c>
      <c r="L10" s="1">
        <f t="shared" si="3"/>
        <v>106</v>
      </c>
      <c r="M10" s="214">
        <f t="shared" si="4"/>
        <v>4.6634390941120669</v>
      </c>
      <c r="N10" s="3">
        <f t="shared" si="5"/>
        <v>564.9717514124294</v>
      </c>
      <c r="O10" s="3">
        <f t="shared" si="5"/>
        <v>414.93775933609959</v>
      </c>
      <c r="P10" s="3">
        <f t="shared" si="6"/>
        <v>33898.305084745763</v>
      </c>
      <c r="Q10" s="3">
        <f t="shared" si="6"/>
        <v>24896.265560165975</v>
      </c>
      <c r="R10" s="3">
        <f t="shared" si="7"/>
        <v>73.56403013182674</v>
      </c>
      <c r="S10" s="3">
        <f t="shared" si="7"/>
        <v>54.028354080221298</v>
      </c>
      <c r="T10" s="3">
        <f t="shared" si="8"/>
        <v>106</v>
      </c>
      <c r="U10" s="138">
        <f t="shared" si="0"/>
        <v>86.4666</v>
      </c>
      <c r="V10" s="209">
        <f t="shared" si="18"/>
        <v>85.190849999999998</v>
      </c>
      <c r="W10" s="214">
        <f t="shared" si="19"/>
        <v>0.11424280404870001</v>
      </c>
      <c r="X10" s="210">
        <f t="shared" si="23"/>
        <v>1.7700094602481287E-2</v>
      </c>
      <c r="Y10" s="210">
        <f t="shared" si="24"/>
        <v>1.4772280722212119E-2</v>
      </c>
      <c r="Z10" s="208">
        <f t="shared" si="20"/>
        <v>2.3946368963935067</v>
      </c>
      <c r="AA10" s="209">
        <f t="shared" si="9"/>
        <v>36.345799953077638</v>
      </c>
      <c r="AB10" s="2">
        <f t="shared" si="25"/>
        <v>42.034496502785629</v>
      </c>
      <c r="AC10" s="138">
        <f t="shared" si="10"/>
        <v>30.356000951807761</v>
      </c>
      <c r="AD10" s="155">
        <f t="shared" si="11"/>
        <v>68.301002141567466</v>
      </c>
      <c r="AE10" s="155">
        <f t="shared" si="12"/>
        <v>71.69609790350151</v>
      </c>
      <c r="AF10" s="138">
        <f t="shared" si="29"/>
        <v>3.7040759649686534</v>
      </c>
      <c r="AG10" s="131"/>
      <c r="AH10" s="208">
        <f>D10/$Q$30*$Q$22</f>
        <v>2.9444444444444446</v>
      </c>
      <c r="AI10" s="208">
        <f t="shared" si="13"/>
        <v>106</v>
      </c>
      <c r="AJ10" s="209">
        <f>MAX(($Q$40+$R$40*LN($AI10)),0)</f>
        <v>34677.867024715182</v>
      </c>
      <c r="AK10" s="209">
        <f t="shared" si="14"/>
        <v>75.255787814052042</v>
      </c>
      <c r="AL10" s="209">
        <f t="shared" si="15"/>
        <v>55.035776942757948</v>
      </c>
      <c r="AM10" s="209">
        <f t="shared" si="16"/>
        <v>75.227579380706246</v>
      </c>
      <c r="AN10" s="2">
        <f t="shared" si="26"/>
        <v>55.03577694275797</v>
      </c>
      <c r="AO10" s="3">
        <f t="shared" si="17"/>
        <v>25360.486015222872</v>
      </c>
      <c r="AP10" s="207">
        <f>MAX($J$46+$AJ10*($K$46+$AJ10*$L$46), 0)</f>
        <v>1.5495593875672928E-2</v>
      </c>
      <c r="AQ10" s="207">
        <f t="shared" si="27"/>
        <v>0.10231419342908926</v>
      </c>
      <c r="AR10" s="211">
        <f t="shared" si="22"/>
        <v>1.0151188131455696E-6</v>
      </c>
      <c r="AS10" s="208">
        <f t="shared" si="28"/>
        <v>3.6869395995943639E-2</v>
      </c>
      <c r="AT10" s="212">
        <f t="shared" si="30"/>
        <v>-5.3720230403639352E-7</v>
      </c>
      <c r="AU10" s="145">
        <f t="shared" si="32"/>
        <v>6.9669875247334742E-2</v>
      </c>
      <c r="AX10" s="110"/>
      <c r="AY10" s="87"/>
    </row>
    <row r="11" spans="1:51" ht="13.9" customHeight="1" x14ac:dyDescent="0.25">
      <c r="A11" t="s">
        <v>218</v>
      </c>
      <c r="B11" s="156">
        <v>62</v>
      </c>
      <c r="C11" s="200">
        <f t="shared" si="1"/>
        <v>1.7333333333333334</v>
      </c>
      <c r="D11" s="72">
        <v>132</v>
      </c>
      <c r="E11" s="72">
        <v>2</v>
      </c>
      <c r="F11" s="72">
        <v>11.8</v>
      </c>
      <c r="G11" s="72">
        <v>9.56</v>
      </c>
      <c r="H11" s="72">
        <v>1590</v>
      </c>
      <c r="I11" s="77">
        <v>2140</v>
      </c>
      <c r="J11" s="60"/>
      <c r="K11" s="2">
        <f t="shared" si="2"/>
        <v>112.80800000000001</v>
      </c>
      <c r="L11" s="1">
        <f t="shared" si="3"/>
        <v>132</v>
      </c>
      <c r="M11" s="214">
        <f t="shared" si="4"/>
        <v>4.8828019225863706</v>
      </c>
      <c r="N11" s="3">
        <f t="shared" si="5"/>
        <v>628.93081761006295</v>
      </c>
      <c r="O11" s="3">
        <f t="shared" si="5"/>
        <v>467.28971962616828</v>
      </c>
      <c r="P11" s="3">
        <f t="shared" si="6"/>
        <v>37735.84905660378</v>
      </c>
      <c r="Q11" s="3">
        <f t="shared" si="6"/>
        <v>28037.383177570096</v>
      </c>
      <c r="R11" s="3">
        <f t="shared" si="7"/>
        <v>81.892033542976947</v>
      </c>
      <c r="S11" s="3">
        <f t="shared" si="7"/>
        <v>60.845015576323995</v>
      </c>
      <c r="T11" s="3">
        <f t="shared" si="8"/>
        <v>132</v>
      </c>
      <c r="U11" s="138">
        <f t="shared" si="0"/>
        <v>112.80800000000001</v>
      </c>
      <c r="V11" s="209">
        <f t="shared" si="18"/>
        <v>111.53225</v>
      </c>
      <c r="W11" s="214">
        <f t="shared" si="19"/>
        <v>0.14956720095950002</v>
      </c>
      <c r="X11" s="210">
        <f t="shared" si="23"/>
        <v>2.0816463895141291E-2</v>
      </c>
      <c r="Y11" s="210">
        <f t="shared" si="24"/>
        <v>1.7888650014872123E-2</v>
      </c>
      <c r="Z11" s="208">
        <f t="shared" si="20"/>
        <v>2.9675083789055892</v>
      </c>
      <c r="AA11" s="209">
        <f t="shared" si="9"/>
        <v>50.139807012252639</v>
      </c>
      <c r="AB11" s="2">
        <f t="shared" si="25"/>
        <v>44.447031249780721</v>
      </c>
      <c r="AC11" s="138">
        <f t="shared" si="10"/>
        <v>33.792529361446384</v>
      </c>
      <c r="AD11" s="155">
        <f t="shared" si="11"/>
        <v>76.033191063254364</v>
      </c>
      <c r="AE11" s="155">
        <f t="shared" si="12"/>
        <v>80.741867265158248</v>
      </c>
      <c r="AF11" s="138">
        <f t="shared" si="29"/>
        <v>3.542470692249422</v>
      </c>
      <c r="AG11" s="131"/>
      <c r="AH11" s="208">
        <f>D11/$Q$30*$Q$22</f>
        <v>3.6666666666666665</v>
      </c>
      <c r="AI11" s="208">
        <f t="shared" si="13"/>
        <v>132</v>
      </c>
      <c r="AJ11" s="209">
        <f>MAX(($Q$40+$R$40*LN($AI11)),0)</f>
        <v>37497.140052014016</v>
      </c>
      <c r="AK11" s="209">
        <f t="shared" si="14"/>
        <v>81.374001848988755</v>
      </c>
      <c r="AL11" s="209">
        <f t="shared" si="15"/>
        <v>61.034642074399542</v>
      </c>
      <c r="AM11" s="209">
        <f t="shared" si="16"/>
        <v>81.329808115085498</v>
      </c>
      <c r="AN11" s="2">
        <f t="shared" si="26"/>
        <v>61.034642074399542</v>
      </c>
      <c r="AO11" s="3">
        <f t="shared" si="17"/>
        <v>28124.763067883308</v>
      </c>
      <c r="AP11" s="207">
        <f>MAX($J$46+$AJ11*($K$46+$AJ11*$L$46), 0)</f>
        <v>1.8489861371614368E-2</v>
      </c>
      <c r="AQ11" s="207">
        <f t="shared" si="27"/>
        <v>0.13201007642683699</v>
      </c>
      <c r="AR11" s="211">
        <f t="shared" si="22"/>
        <v>1.1090227417504228E-6</v>
      </c>
      <c r="AS11" s="208">
        <f t="shared" si="28"/>
        <v>3.37475653977337E-2</v>
      </c>
      <c r="AT11" s="212">
        <f t="shared" si="30"/>
        <v>-6.3257897735547459E-7</v>
      </c>
      <c r="AU11" s="145">
        <f t="shared" si="32"/>
        <v>5.9165446283499415E-2</v>
      </c>
      <c r="AX11" s="110"/>
      <c r="AY11" s="87"/>
    </row>
    <row r="12" spans="1:51" ht="13.9" customHeight="1" thickBot="1" x14ac:dyDescent="0.3">
      <c r="A12" t="s">
        <v>219</v>
      </c>
      <c r="B12" t="s">
        <v>220</v>
      </c>
      <c r="C12" s="201">
        <f t="shared" si="1"/>
        <v>2</v>
      </c>
      <c r="D12" s="79">
        <v>180</v>
      </c>
      <c r="E12" s="79">
        <v>2.42</v>
      </c>
      <c r="F12" s="79">
        <v>11.5</v>
      </c>
      <c r="G12" s="79">
        <v>15.36</v>
      </c>
      <c r="H12" s="79">
        <v>1395</v>
      </c>
      <c r="I12" s="80">
        <v>1790</v>
      </c>
      <c r="J12" s="60"/>
      <c r="K12" s="2">
        <f t="shared" si="2"/>
        <v>176.64</v>
      </c>
      <c r="L12" s="1">
        <f t="shared" si="3"/>
        <v>180</v>
      </c>
      <c r="M12" s="214">
        <f t="shared" si="4"/>
        <v>5.1929568508902104</v>
      </c>
      <c r="N12" s="3">
        <f t="shared" si="5"/>
        <v>716.84587813620078</v>
      </c>
      <c r="O12" s="3">
        <f t="shared" si="5"/>
        <v>558.65921787709499</v>
      </c>
      <c r="P12" s="3">
        <f t="shared" si="6"/>
        <v>43010.752688172048</v>
      </c>
      <c r="Q12" s="3">
        <f t="shared" si="6"/>
        <v>33519.553072625698</v>
      </c>
      <c r="R12" s="3">
        <f t="shared" si="7"/>
        <v>93.33930704898448</v>
      </c>
      <c r="S12" s="3">
        <f t="shared" si="7"/>
        <v>72.742085661080068</v>
      </c>
      <c r="T12" s="3">
        <f t="shared" si="8"/>
        <v>180</v>
      </c>
      <c r="U12" s="138">
        <f t="shared" si="0"/>
        <v>176.64</v>
      </c>
      <c r="V12" s="209">
        <f t="shared" si="18"/>
        <v>175.36425</v>
      </c>
      <c r="W12" s="214">
        <f t="shared" si="19"/>
        <v>0.23516731726350001</v>
      </c>
      <c r="X12" s="210">
        <f t="shared" si="23"/>
        <v>2.8716045943728719E-2</v>
      </c>
      <c r="Y12" s="210">
        <f t="shared" si="24"/>
        <v>2.5788232063459551E-2</v>
      </c>
      <c r="Z12" s="143">
        <f>C32/0.224</f>
        <v>4.4249528005034611</v>
      </c>
      <c r="AA12" s="209">
        <f t="shared" si="9"/>
        <v>91.297248929319878</v>
      </c>
      <c r="AB12" s="2">
        <f>AA12/U12*100</f>
        <v>51.685489656544313</v>
      </c>
      <c r="AC12" s="138">
        <f t="shared" si="10"/>
        <v>41.264733453849395</v>
      </c>
      <c r="AD12" s="155">
        <f>AC12*1/1.6/1000*3600</f>
        <v>92.845650271161119</v>
      </c>
      <c r="AE12" s="155">
        <f t="shared" si="12"/>
        <v>96.529383210859564</v>
      </c>
      <c r="AF12" s="138">
        <f t="shared" si="29"/>
        <v>3.1895005240359029</v>
      </c>
      <c r="AG12" s="131"/>
      <c r="AH12" s="208">
        <f>D12/$Q$30*$Q$22</f>
        <v>5</v>
      </c>
      <c r="AI12" s="208">
        <f t="shared" si="13"/>
        <v>180</v>
      </c>
      <c r="AJ12" s="209">
        <f>MAX(($Q$40+$R$40*LN($AI12)),0)</f>
        <v>41483.282233588077</v>
      </c>
      <c r="AK12" s="209">
        <f t="shared" si="14"/>
        <v>90.024484013863017</v>
      </c>
      <c r="AL12" s="209">
        <f t="shared" si="15"/>
        <v>69.516378008191268</v>
      </c>
      <c r="AM12" s="209">
        <f t="shared" si="16"/>
        <v>89.957688821988029</v>
      </c>
      <c r="AN12" s="2">
        <f t="shared" si="26"/>
        <v>69.516378008191268</v>
      </c>
      <c r="AO12" s="3">
        <f t="shared" si="17"/>
        <v>32033.146986174535</v>
      </c>
      <c r="AP12" s="207">
        <f>MAX($J$46+$AJ12*($K$46+$AJ12*$L$46), 0)</f>
        <v>2.3175203419992164E-2</v>
      </c>
      <c r="AQ12" s="207">
        <f t="shared" si="27"/>
        <v>0.18305093379519241</v>
      </c>
      <c r="AR12" s="211">
        <f t="shared" si="22"/>
        <v>1.2417925753929479E-6</v>
      </c>
      <c r="AS12" s="208">
        <f t="shared" si="28"/>
        <v>3.0139347139318443E-2</v>
      </c>
      <c r="AT12" s="212">
        <f t="shared" si="30"/>
        <v>-8.3996092906457329E-7</v>
      </c>
      <c r="AU12" s="145">
        <f t="shared" si="32"/>
        <v>4.4557807642882731E-2</v>
      </c>
      <c r="AX12" s="110"/>
      <c r="AY12" s="87"/>
    </row>
    <row r="13" spans="1:51" ht="13.9" customHeight="1" x14ac:dyDescent="0.25">
      <c r="C13" s="246"/>
      <c r="AE13" s="45"/>
      <c r="AF13" s="30"/>
      <c r="AH13" s="208">
        <f>D13/$Q$30*$Q$22</f>
        <v>0</v>
      </c>
      <c r="AI13" s="208">
        <f t="shared" si="13"/>
        <v>0</v>
      </c>
      <c r="AJ13" s="209" t="e">
        <f>MAX(($Q$40+$R$40*LN($AI13)),0)</f>
        <v>#NUM!</v>
      </c>
      <c r="AK13" s="209" t="e">
        <f t="shared" si="14"/>
        <v>#NUM!</v>
      </c>
      <c r="AL13" s="209" t="e">
        <f t="shared" si="15"/>
        <v>#NUM!</v>
      </c>
      <c r="AM13" s="209" t="e">
        <f t="shared" si="16"/>
        <v>#NUM!</v>
      </c>
      <c r="AN13" s="2" t="e">
        <f t="shared" si="26"/>
        <v>#NUM!</v>
      </c>
      <c r="AO13" s="3" t="e">
        <f t="shared" si="17"/>
        <v>#NUM!</v>
      </c>
      <c r="AP13" s="207" t="e">
        <f>MAX($J$46+$AJ13*($K$46+$AJ13*$L$46), 0)</f>
        <v>#NUM!</v>
      </c>
      <c r="AQ13" s="207" t="e">
        <f t="shared" si="27"/>
        <v>#NUM!</v>
      </c>
      <c r="AR13" s="211" t="e">
        <f t="shared" si="22"/>
        <v>#NUM!</v>
      </c>
      <c r="AS13" s="208" t="e">
        <f t="shared" si="28"/>
        <v>#NUM!</v>
      </c>
      <c r="AV13" s="126"/>
      <c r="AW13" s="86"/>
      <c r="AX13" s="111"/>
      <c r="AY13" s="87"/>
    </row>
    <row r="14" spans="1:51" x14ac:dyDescent="0.25">
      <c r="A14" t="s">
        <v>221</v>
      </c>
      <c r="AE14" s="174"/>
      <c r="AF14" s="30"/>
    </row>
    <row r="15" spans="1:51" ht="13.9" customHeight="1" x14ac:dyDescent="0.25">
      <c r="A15">
        <v>1</v>
      </c>
      <c r="C15" t="s">
        <v>222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25">
      <c r="A16">
        <v>2</v>
      </c>
      <c r="C16" t="s">
        <v>223</v>
      </c>
      <c r="I16" s="3"/>
      <c r="J16" s="13" t="s">
        <v>262</v>
      </c>
      <c r="K16" s="14"/>
      <c r="L16" s="14"/>
      <c r="AE16" s="129"/>
      <c r="AF16" s="30"/>
    </row>
    <row r="17" spans="1:48" ht="13.9" customHeight="1" x14ac:dyDescent="0.25">
      <c r="A17">
        <v>3</v>
      </c>
      <c r="C17" t="s">
        <v>225</v>
      </c>
      <c r="I17" s="3"/>
      <c r="J17" s="15" t="s">
        <v>260</v>
      </c>
      <c r="K17" s="16"/>
      <c r="L17" s="16"/>
      <c r="AE17" s="129"/>
      <c r="AF17" s="30"/>
    </row>
    <row r="18" spans="1:48" ht="13.9" customHeight="1" x14ac:dyDescent="0.25">
      <c r="A18">
        <v>4</v>
      </c>
      <c r="C18" t="s">
        <v>224</v>
      </c>
      <c r="J18" s="267" t="s">
        <v>283</v>
      </c>
      <c r="K18" s="266"/>
      <c r="L18" s="266"/>
      <c r="M18" s="266"/>
      <c r="N18" s="266"/>
      <c r="O18" s="268"/>
      <c r="AE18" s="129"/>
      <c r="AF18" s="30"/>
      <c r="AN18" s="45"/>
    </row>
    <row r="19" spans="1:48" ht="13.9" customHeight="1" x14ac:dyDescent="0.25">
      <c r="A19">
        <v>5</v>
      </c>
      <c r="C19" t="s">
        <v>226</v>
      </c>
      <c r="O19" s="168"/>
      <c r="AE19" s="129"/>
      <c r="AF19" s="30"/>
      <c r="AN19" s="45"/>
      <c r="AO19" s="5"/>
      <c r="AU19" s="5"/>
      <c r="AV19" s="5"/>
    </row>
    <row r="20" spans="1:48" ht="13.9" customHeight="1" thickBot="1" x14ac:dyDescent="0.3">
      <c r="A20">
        <v>6</v>
      </c>
      <c r="C20" t="s">
        <v>227</v>
      </c>
      <c r="O20" s="168"/>
      <c r="AN20" s="45"/>
      <c r="AO20" s="5"/>
      <c r="AV20" s="5"/>
    </row>
    <row r="21" spans="1:48" ht="13.9" customHeight="1" x14ac:dyDescent="0.25">
      <c r="A21">
        <v>7</v>
      </c>
      <c r="C21" t="s">
        <v>229</v>
      </c>
      <c r="O21" s="168"/>
      <c r="P21" s="194" t="s">
        <v>256</v>
      </c>
      <c r="Q21" s="63"/>
      <c r="R21" s="63"/>
      <c r="S21" s="63"/>
      <c r="T21" s="29"/>
      <c r="AN21" s="45"/>
      <c r="AO21" s="5"/>
      <c r="AV21" s="5"/>
    </row>
    <row r="22" spans="1:48" ht="13.9" customHeight="1" x14ac:dyDescent="0.25">
      <c r="A22" s="45">
        <v>8</v>
      </c>
      <c r="B22" s="45"/>
      <c r="C22" s="45" t="s">
        <v>261</v>
      </c>
      <c r="D22" s="60"/>
      <c r="E22" s="60"/>
      <c r="F22" s="60"/>
      <c r="G22" s="60"/>
      <c r="O22" s="168"/>
      <c r="P22" s="247" t="s">
        <v>15</v>
      </c>
      <c r="Q22" s="248">
        <f>C44</f>
        <v>5</v>
      </c>
      <c r="R22" s="45"/>
      <c r="S22" s="30"/>
      <c r="T22" s="31" t="s">
        <v>251</v>
      </c>
      <c r="AN22" s="45"/>
      <c r="AO22" s="5"/>
      <c r="AV22" s="5"/>
    </row>
    <row r="23" spans="1:48" ht="13.9" customHeight="1" thickBot="1" x14ac:dyDescent="0.3">
      <c r="H23" s="60"/>
      <c r="I23" s="60"/>
      <c r="J23" s="60"/>
      <c r="K23" s="167"/>
      <c r="L23" s="60"/>
      <c r="M23" s="60"/>
      <c r="N23" s="168"/>
      <c r="O23" s="168"/>
      <c r="P23" s="247" t="s">
        <v>17</v>
      </c>
      <c r="Q23" s="248">
        <f>C36</f>
        <v>5</v>
      </c>
      <c r="R23" s="30"/>
      <c r="S23" s="30"/>
      <c r="T23" s="31" t="s">
        <v>251</v>
      </c>
      <c r="AN23" s="45"/>
      <c r="AO23" s="5"/>
      <c r="AV23" s="5"/>
    </row>
    <row r="24" spans="1:48" ht="13.9" customHeight="1" x14ac:dyDescent="0.25">
      <c r="A24" t="s">
        <v>32</v>
      </c>
      <c r="B24" s="17" t="s">
        <v>3</v>
      </c>
      <c r="C24" s="18">
        <v>1</v>
      </c>
      <c r="D24"/>
      <c r="F24"/>
      <c r="G24" s="60"/>
      <c r="I24" s="17" t="s">
        <v>120</v>
      </c>
      <c r="J24" s="28"/>
      <c r="K24" s="28"/>
      <c r="L24" s="29"/>
      <c r="M24" s="60"/>
      <c r="N24" s="168"/>
      <c r="O24" s="168"/>
      <c r="P24" s="247" t="s">
        <v>16</v>
      </c>
      <c r="Q24" s="248">
        <f>C35</f>
        <v>0</v>
      </c>
      <c r="R24" s="30"/>
      <c r="S24" s="30"/>
      <c r="T24" s="31" t="s">
        <v>251</v>
      </c>
      <c r="AN24" s="45"/>
      <c r="AO24" s="5"/>
      <c r="AV24" s="5"/>
    </row>
    <row r="25" spans="1:48" ht="13.9" customHeight="1" x14ac:dyDescent="0.25">
      <c r="A25" s="169"/>
      <c r="B25" s="19" t="s">
        <v>4</v>
      </c>
      <c r="C25" s="20">
        <v>4800</v>
      </c>
      <c r="D25" t="s">
        <v>71</v>
      </c>
      <c r="F25"/>
      <c r="G25" s="60"/>
      <c r="I25" s="19" t="s">
        <v>114</v>
      </c>
      <c r="J25" s="188">
        <v>25</v>
      </c>
      <c r="K25" s="30" t="s">
        <v>83</v>
      </c>
      <c r="L25" s="31"/>
      <c r="M25" s="60"/>
      <c r="N25" s="168"/>
      <c r="O25" s="168"/>
      <c r="P25" s="247" t="s">
        <v>14</v>
      </c>
      <c r="Q25" s="248">
        <f>C43</f>
        <v>0</v>
      </c>
      <c r="R25" s="45"/>
      <c r="S25" s="30"/>
      <c r="T25" s="31" t="s">
        <v>251</v>
      </c>
      <c r="AN25" s="45"/>
      <c r="AO25" s="5"/>
      <c r="AP25" s="5"/>
    </row>
    <row r="26" spans="1:48" ht="13.9" customHeight="1" x14ac:dyDescent="0.25">
      <c r="A26" s="169"/>
      <c r="B26" s="19" t="s">
        <v>5</v>
      </c>
      <c r="C26" s="20">
        <v>12</v>
      </c>
      <c r="D26"/>
      <c r="F26"/>
      <c r="G26" s="60"/>
      <c r="I26" s="19" t="s">
        <v>130</v>
      </c>
      <c r="J26" s="188">
        <v>2.1797</v>
      </c>
      <c r="K26" s="30" t="s">
        <v>84</v>
      </c>
      <c r="L26" s="31"/>
      <c r="M26" s="60"/>
      <c r="N26" s="168"/>
      <c r="O26" s="168"/>
      <c r="P26" s="247" t="s">
        <v>163</v>
      </c>
      <c r="Q26" s="249">
        <f>$C$41</f>
        <v>1.2250000000000001</v>
      </c>
      <c r="R26" s="30"/>
      <c r="S26" s="30"/>
      <c r="T26" s="31" t="s">
        <v>147</v>
      </c>
      <c r="AN26" s="45"/>
      <c r="AO26" s="5"/>
      <c r="AP26" s="5"/>
    </row>
    <row r="27" spans="1:48" ht="13.9" customHeight="1" x14ac:dyDescent="0.25">
      <c r="A27" s="169"/>
      <c r="B27" s="56" t="s">
        <v>63</v>
      </c>
      <c r="C27" s="20">
        <v>3.9899999999999998E-2</v>
      </c>
      <c r="D27" t="s">
        <v>70</v>
      </c>
      <c r="F27"/>
      <c r="G27" s="6"/>
      <c r="I27" s="19" t="s">
        <v>115</v>
      </c>
      <c r="J27" s="44">
        <f>($J$25/25.4)^2*$J$26/1000*2.2/3</f>
        <v>1.5484983053299442E-3</v>
      </c>
      <c r="K27" s="30" t="s">
        <v>86</v>
      </c>
      <c r="L27" s="157" t="s">
        <v>132</v>
      </c>
      <c r="N27" s="3"/>
      <c r="O27" s="3"/>
      <c r="P27" s="195"/>
      <c r="Q27" s="193"/>
      <c r="R27" s="193"/>
      <c r="S27" s="193"/>
      <c r="T27" s="196"/>
      <c r="AN27" s="45"/>
      <c r="AO27" s="5"/>
      <c r="AP27" s="5"/>
      <c r="AQ27" s="5"/>
      <c r="AR27" s="5"/>
      <c r="AS27" s="131"/>
      <c r="AT27" s="133"/>
      <c r="AU27" s="5"/>
    </row>
    <row r="28" spans="1:48" ht="13.9" customHeight="1" x14ac:dyDescent="0.25">
      <c r="A28" s="169"/>
      <c r="B28" s="56" t="s">
        <v>64</v>
      </c>
      <c r="C28" s="112">
        <v>4.1999999999999996E-6</v>
      </c>
      <c r="D28" t="s">
        <v>69</v>
      </c>
      <c r="F28"/>
      <c r="G28" s="6"/>
      <c r="I28" s="19" t="s">
        <v>127</v>
      </c>
      <c r="J28" s="190">
        <f>3/8/2*25.4</f>
        <v>4.7624999999999993</v>
      </c>
      <c r="K28" s="30" t="s">
        <v>83</v>
      </c>
      <c r="L28" s="31" t="s">
        <v>128</v>
      </c>
      <c r="N28" s="3"/>
      <c r="O28" s="3"/>
      <c r="P28" s="197" t="s">
        <v>257</v>
      </c>
      <c r="Q28" s="193"/>
      <c r="R28" s="193"/>
      <c r="S28" s="193"/>
      <c r="T28" s="196"/>
      <c r="AN28" s="45"/>
      <c r="AO28" s="5"/>
      <c r="AP28" s="5"/>
      <c r="AQ28" s="5"/>
      <c r="AR28" s="5"/>
      <c r="AS28" s="131"/>
      <c r="AT28" s="133"/>
      <c r="AU28" s="5"/>
    </row>
    <row r="29" spans="1:48" ht="13.9" customHeight="1" x14ac:dyDescent="0.25">
      <c r="A29" s="169"/>
      <c r="B29" s="19" t="s">
        <v>241</v>
      </c>
      <c r="C29" s="20">
        <v>240</v>
      </c>
      <c r="D29" t="s">
        <v>242</v>
      </c>
      <c r="F29"/>
      <c r="G29" s="6"/>
      <c r="I29" s="19" t="s">
        <v>129</v>
      </c>
      <c r="J29" s="190">
        <f>3/4*25.4</f>
        <v>19.049999999999997</v>
      </c>
      <c r="K29" s="30" t="s">
        <v>83</v>
      </c>
      <c r="L29" s="31" t="s">
        <v>128</v>
      </c>
      <c r="N29" s="3"/>
      <c r="O29" s="3"/>
      <c r="P29" s="247" t="s">
        <v>27</v>
      </c>
      <c r="Q29" s="248">
        <f>$C$25*$C$26/$B$48/100</f>
        <v>460.8</v>
      </c>
      <c r="R29" s="30"/>
      <c r="S29" s="30"/>
      <c r="T29" s="31" t="s">
        <v>252</v>
      </c>
      <c r="AN29" s="45"/>
      <c r="AO29" s="5"/>
    </row>
    <row r="30" spans="1:48" x14ac:dyDescent="0.25">
      <c r="A30" s="169"/>
      <c r="B30" s="56" t="s">
        <v>65</v>
      </c>
      <c r="C30" s="113">
        <f>C25*2*PI()/60</f>
        <v>502.6548245743669</v>
      </c>
      <c r="D30" t="s">
        <v>67</v>
      </c>
      <c r="F30"/>
      <c r="G30" s="6"/>
      <c r="I30" s="19" t="s">
        <v>131</v>
      </c>
      <c r="J30" s="44">
        <f>PI()*($J$28/25.4)^2/4*3/4*0.3</f>
        <v>6.2126221909368446E-3</v>
      </c>
      <c r="K30" s="30" t="s">
        <v>134</v>
      </c>
      <c r="L30" s="31" t="s">
        <v>128</v>
      </c>
      <c r="N30" s="3"/>
      <c r="O30" s="3"/>
      <c r="P30" s="247" t="s">
        <v>18</v>
      </c>
      <c r="Q30" s="248">
        <f>C46</f>
        <v>180</v>
      </c>
      <c r="R30" s="30"/>
      <c r="S30" s="30"/>
      <c r="T30" s="31" t="s">
        <v>161</v>
      </c>
    </row>
    <row r="31" spans="1:48" ht="13.9" customHeight="1" x14ac:dyDescent="0.25">
      <c r="A31" s="169"/>
      <c r="B31" s="56" t="s">
        <v>66</v>
      </c>
      <c r="C31" s="115">
        <f>7/C30</f>
        <v>1.3926057520540842E-2</v>
      </c>
      <c r="D31" t="s">
        <v>68</v>
      </c>
      <c r="F31"/>
      <c r="G31" s="6"/>
      <c r="I31" s="19" t="s">
        <v>121</v>
      </c>
      <c r="J31" s="44">
        <f>($J$28/25.4)^2*$J$30/2</f>
        <v>1.0920624945006168E-4</v>
      </c>
      <c r="K31" s="30" t="s">
        <v>86</v>
      </c>
      <c r="L31" s="31" t="s">
        <v>133</v>
      </c>
      <c r="N31" s="3"/>
      <c r="O31" s="3"/>
      <c r="P31" s="247" t="s">
        <v>13</v>
      </c>
      <c r="Q31" s="248">
        <f>C45</f>
        <v>0</v>
      </c>
      <c r="R31" s="30"/>
      <c r="S31" s="30"/>
      <c r="T31" s="31" t="s">
        <v>161</v>
      </c>
    </row>
    <row r="32" spans="1:48" ht="13.9" customHeight="1" thickBot="1" x14ac:dyDescent="0.3">
      <c r="B32" s="114" t="s">
        <v>243</v>
      </c>
      <c r="C32" s="184">
        <f>450/454</f>
        <v>0.99118942731277537</v>
      </c>
      <c r="D32" s="6" t="s">
        <v>141</v>
      </c>
      <c r="F32" s="6"/>
      <c r="G32" s="6"/>
      <c r="I32" s="19" t="s">
        <v>85</v>
      </c>
      <c r="J32" s="44">
        <f>$J$27+$J$31</f>
        <v>1.6577045547800059E-3</v>
      </c>
      <c r="K32" s="30" t="s">
        <v>86</v>
      </c>
      <c r="L32" s="31"/>
      <c r="N32" s="3"/>
      <c r="O32" s="3"/>
      <c r="P32" s="247" t="s">
        <v>164</v>
      </c>
      <c r="Q32" s="249">
        <f>(C38^2-C39^2)*PI()/4/1000^2</f>
        <v>2.1213604393365078E-3</v>
      </c>
      <c r="R32" s="30"/>
      <c r="S32" s="30"/>
      <c r="T32" s="31" t="s">
        <v>250</v>
      </c>
    </row>
    <row r="33" spans="1:50" ht="15" customHeight="1" thickBot="1" x14ac:dyDescent="0.3">
      <c r="D33"/>
      <c r="F33" s="6"/>
      <c r="G33" s="6"/>
      <c r="I33" s="19" t="s">
        <v>85</v>
      </c>
      <c r="J33" s="44">
        <f>$J$32/144</f>
        <v>1.1511837185972264E-5</v>
      </c>
      <c r="K33" s="30" t="s">
        <v>87</v>
      </c>
      <c r="L33" s="31"/>
      <c r="N33" s="3"/>
      <c r="O33" s="3"/>
      <c r="P33" s="247" t="s">
        <v>169</v>
      </c>
      <c r="Q33" s="250">
        <f>1/1.3556</f>
        <v>0.73768073177928595</v>
      </c>
      <c r="R33" s="30"/>
      <c r="S33" s="30"/>
      <c r="T33" s="31" t="s">
        <v>255</v>
      </c>
    </row>
    <row r="34" spans="1:50" ht="15" customHeight="1" thickBot="1" x14ac:dyDescent="0.3">
      <c r="A34" t="s">
        <v>33</v>
      </c>
      <c r="B34" s="17"/>
      <c r="C34" s="202" t="s">
        <v>22</v>
      </c>
      <c r="D34"/>
      <c r="F34" s="6"/>
      <c r="G34" s="6"/>
      <c r="I34" s="21" t="s">
        <v>85</v>
      </c>
      <c r="J34" s="97">
        <f>$J$33/2048.5*6.66</f>
        <v>3.7426817504796325E-8</v>
      </c>
      <c r="K34" s="32" t="s">
        <v>88</v>
      </c>
      <c r="L34" s="33"/>
      <c r="N34" s="3"/>
      <c r="O34" s="3"/>
      <c r="P34" s="247" t="s">
        <v>170</v>
      </c>
      <c r="Q34" s="251">
        <f>$J$33/2048.5*6.66</f>
        <v>3.7426817504796325E-8</v>
      </c>
      <c r="R34" s="30"/>
      <c r="S34" s="30"/>
      <c r="T34" s="31" t="s">
        <v>73</v>
      </c>
    </row>
    <row r="35" spans="1:50" ht="15" customHeight="1" x14ac:dyDescent="0.25">
      <c r="B35" s="24" t="s">
        <v>16</v>
      </c>
      <c r="C35" s="183">
        <v>0</v>
      </c>
      <c r="D35"/>
      <c r="F35" s="6"/>
      <c r="G35" s="6"/>
      <c r="I35" s="30"/>
      <c r="J35" s="45"/>
      <c r="K35" s="30"/>
      <c r="L35" s="30"/>
      <c r="N35" s="3"/>
      <c r="O35" s="3"/>
      <c r="P35" s="247" t="s">
        <v>185</v>
      </c>
      <c r="Q35" s="249">
        <f>C38/1000</f>
        <v>5.5E-2</v>
      </c>
      <c r="R35" s="30"/>
      <c r="S35" s="30"/>
      <c r="T35" s="31" t="s">
        <v>248</v>
      </c>
    </row>
    <row r="36" spans="1:50" ht="15.75" thickBot="1" x14ac:dyDescent="0.3">
      <c r="B36" s="26" t="s">
        <v>17</v>
      </c>
      <c r="C36" s="180">
        <v>5</v>
      </c>
      <c r="I36" s="188" t="s">
        <v>331</v>
      </c>
      <c r="J36" s="188"/>
      <c r="K36" s="188"/>
      <c r="L36" s="188"/>
      <c r="N36" s="3"/>
      <c r="O36" s="3"/>
      <c r="P36" s="247" t="s">
        <v>204</v>
      </c>
      <c r="Q36" s="250">
        <f>$Z$12</f>
        <v>4.4249528005034611</v>
      </c>
      <c r="R36" s="30"/>
      <c r="S36" s="30"/>
      <c r="T36" s="31" t="s">
        <v>144</v>
      </c>
      <c r="AI36" s="5"/>
    </row>
    <row r="37" spans="1:50" ht="75.75" thickBot="1" x14ac:dyDescent="0.3">
      <c r="I37" s="173" t="s">
        <v>89</v>
      </c>
      <c r="J37" s="216" t="s">
        <v>280</v>
      </c>
      <c r="K37" s="216" t="s">
        <v>332</v>
      </c>
      <c r="L37" s="271" t="s">
        <v>333</v>
      </c>
      <c r="M37" s="243" t="s">
        <v>258</v>
      </c>
      <c r="N37" s="244" t="s">
        <v>259</v>
      </c>
      <c r="P37" s="195"/>
      <c r="Q37" s="193"/>
      <c r="R37" s="193"/>
      <c r="S37" s="193"/>
      <c r="T37" s="196"/>
      <c r="AI37" s="5"/>
    </row>
    <row r="38" spans="1:50" ht="18.75" x14ac:dyDescent="0.3">
      <c r="A38" s="3" t="s">
        <v>232</v>
      </c>
      <c r="B38" s="17" t="s">
        <v>233</v>
      </c>
      <c r="C38" s="179">
        <v>55</v>
      </c>
      <c r="D38" t="s">
        <v>83</v>
      </c>
      <c r="E38"/>
      <c r="I38" s="228">
        <f>(L38-L40)/(L39-L40)*(I39-I40)+I40</f>
        <v>76.333333333333329</v>
      </c>
      <c r="J38" s="233">
        <f t="shared" ref="J38:J43" si="33">(I38*$Q$29*$R$42+$Q$42)/$Q$29</f>
        <v>96.892103874369454</v>
      </c>
      <c r="K38" s="276">
        <f>LOG10(J38)</f>
        <v>1.9862883860959937</v>
      </c>
      <c r="L38" s="222">
        <v>0</v>
      </c>
      <c r="M38" s="193"/>
      <c r="N38" s="196"/>
      <c r="P38" s="206" t="s">
        <v>330</v>
      </c>
      <c r="Q38" s="57"/>
      <c r="R38" s="57"/>
      <c r="S38" s="57"/>
      <c r="T38" s="25"/>
      <c r="AI38" s="5"/>
    </row>
    <row r="39" spans="1:50" ht="15.75" thickBot="1" x14ac:dyDescent="0.3">
      <c r="B39" s="21" t="s">
        <v>234</v>
      </c>
      <c r="C39" s="180">
        <v>18</v>
      </c>
      <c r="D39" t="s">
        <v>83</v>
      </c>
      <c r="E39"/>
      <c r="I39" s="221">
        <v>62</v>
      </c>
      <c r="J39" s="233">
        <f t="shared" si="33"/>
        <v>82.311799665701983</v>
      </c>
      <c r="K39" s="276">
        <f t="shared" ref="K39:K43" si="34">LOG10(J39)</f>
        <v>1.9154620972095491</v>
      </c>
      <c r="L39" s="223">
        <v>4.2999999999999997E-2</v>
      </c>
      <c r="M39" s="229"/>
      <c r="N39" s="230"/>
      <c r="P39" s="64" t="s">
        <v>108</v>
      </c>
      <c r="Q39" s="185">
        <f>INDEX(LINEST($Q$5:$Q$12,$E$5:$E$12^{1,2},FALSE,FALSE),3)</f>
        <v>0</v>
      </c>
      <c r="R39" s="185">
        <f>INDEX(LINEST($Q$5:$Q$12,$E$5:$E$12^{1,2},FALSE,FALSE),2)</f>
        <v>14024.385281523566</v>
      </c>
      <c r="S39" s="185">
        <f>INDEX(LINEST($Q$5:$Q$12,$E$5:$E$12^{1,2},FALSE,FALSE),1)</f>
        <v>-41.159701121464188</v>
      </c>
      <c r="T39" s="31" t="s">
        <v>253</v>
      </c>
      <c r="AI39" s="5"/>
    </row>
    <row r="40" spans="1:50" ht="15.75" thickBot="1" x14ac:dyDescent="0.3">
      <c r="B40" s="30"/>
      <c r="C40" s="181"/>
      <c r="D40"/>
      <c r="E40"/>
      <c r="H40" s="10"/>
      <c r="I40" s="221">
        <v>48</v>
      </c>
      <c r="J40" s="233">
        <f t="shared" si="33"/>
        <v>68.07057229909654</v>
      </c>
      <c r="K40" s="276">
        <f t="shared" si="34"/>
        <v>1.8329594019237523</v>
      </c>
      <c r="L40" s="223">
        <v>8.5000000000000006E-2</v>
      </c>
      <c r="M40" s="231">
        <f>$Q$34/L40</f>
        <v>4.4031550005642732E-7</v>
      </c>
      <c r="N40" s="232">
        <f>-M40/$Q$33</f>
        <v>-5.9689169187649285E-7</v>
      </c>
      <c r="P40" s="64" t="s">
        <v>21</v>
      </c>
      <c r="Q40" s="185">
        <f>INDEX(LINEST($P$4:$P$12,$M$4:$M$12),2)</f>
        <v>-25257.118970513111</v>
      </c>
      <c r="R40" s="66">
        <f>INDEX(LINEST($P$4:$P$12,$M$4:$M$12),1)</f>
        <v>12852.100088730782</v>
      </c>
      <c r="S40" s="30"/>
      <c r="T40" s="31" t="s">
        <v>253</v>
      </c>
      <c r="AI40" s="5"/>
      <c r="AW40" s="131"/>
      <c r="AX40" s="144"/>
    </row>
    <row r="41" spans="1:50" ht="15.75" thickBot="1" x14ac:dyDescent="0.3">
      <c r="A41" s="10" t="s">
        <v>235</v>
      </c>
      <c r="B41" s="177" t="s">
        <v>236</v>
      </c>
      <c r="C41" s="182">
        <v>1.2250000000000001</v>
      </c>
      <c r="D41" t="s">
        <v>147</v>
      </c>
      <c r="E41" t="s">
        <v>155</v>
      </c>
      <c r="G41" s="6"/>
      <c r="I41" s="221">
        <v>25</v>
      </c>
      <c r="J41" s="233">
        <f t="shared" si="33"/>
        <v>44.674270196816167</v>
      </c>
      <c r="K41" s="276">
        <f t="shared" si="34"/>
        <v>1.6500574665591152</v>
      </c>
      <c r="L41" s="223">
        <v>0.22800000000000001</v>
      </c>
      <c r="M41" s="60"/>
      <c r="N41" s="230"/>
      <c r="P41" s="64" t="s">
        <v>109</v>
      </c>
      <c r="Q41" s="185">
        <f>INDEX(LINEST($Q$5:$Q$12,$P$5:$P$12),2)</f>
        <v>-8640.9147442749236</v>
      </c>
      <c r="R41" s="68">
        <f>INDEX(LINEST($Q$5:$Q$12,$P$5:$P$12),1)</f>
        <v>0.98049285255245755</v>
      </c>
      <c r="S41" s="30"/>
      <c r="T41" s="31" t="s">
        <v>253</v>
      </c>
      <c r="AI41" s="5"/>
    </row>
    <row r="42" spans="1:50" ht="15.75" thickBot="1" x14ac:dyDescent="0.3">
      <c r="C42" s="178"/>
      <c r="D42"/>
      <c r="E42"/>
      <c r="G42" s="6"/>
      <c r="I42" s="221">
        <v>16</v>
      </c>
      <c r="J42" s="233">
        <f t="shared" si="33"/>
        <v>35.519195461141237</v>
      </c>
      <c r="K42" s="276">
        <f t="shared" si="34"/>
        <v>1.5504631200923746</v>
      </c>
      <c r="L42" s="223">
        <v>0.32300000000000001</v>
      </c>
      <c r="M42" s="60"/>
      <c r="N42" s="230"/>
      <c r="P42" s="64" t="s">
        <v>110</v>
      </c>
      <c r="Q42" s="185">
        <f>INDEX(LINEST($P$5:$P$12,$Q$5:$Q$12),2)</f>
        <v>8867.4080450289839</v>
      </c>
      <c r="R42" s="68">
        <f>INDEX(LINEST($P$5:$P$12,$Q$5:$Q$12),1)</f>
        <v>1.017230526186103</v>
      </c>
      <c r="S42" s="30"/>
      <c r="T42" s="31" t="s">
        <v>253</v>
      </c>
      <c r="AI42" s="5"/>
    </row>
    <row r="43" spans="1:50" ht="15.75" thickBot="1" x14ac:dyDescent="0.3">
      <c r="A43" s="168" t="s">
        <v>237</v>
      </c>
      <c r="B43" s="173" t="s">
        <v>238</v>
      </c>
      <c r="C43" s="179">
        <v>0</v>
      </c>
      <c r="D43" s="30" t="s">
        <v>244</v>
      </c>
      <c r="E43"/>
      <c r="F43" s="6"/>
      <c r="I43" s="234">
        <f>(L43-L41)/(L42-L41)*(I42-I41)+I41</f>
        <v>-0.76842105263158089</v>
      </c>
      <c r="J43" s="237">
        <f t="shared" si="33"/>
        <v>18.461845690462692</v>
      </c>
      <c r="K43" s="277">
        <f t="shared" si="34"/>
        <v>1.2662751166852335</v>
      </c>
      <c r="L43" s="226">
        <v>0.5</v>
      </c>
      <c r="M43" s="235"/>
      <c r="N43" s="236"/>
      <c r="P43" s="64" t="s">
        <v>166</v>
      </c>
      <c r="Q43" s="186">
        <f>AG8</f>
        <v>-1.3731312472525363</v>
      </c>
      <c r="R43" s="30"/>
      <c r="S43" s="30"/>
      <c r="T43" s="31" t="s">
        <v>247</v>
      </c>
      <c r="U43" s="5"/>
      <c r="AI43" s="5"/>
      <c r="AJ43" s="5"/>
      <c r="AK43" s="131"/>
    </row>
    <row r="44" spans="1:50" x14ac:dyDescent="0.25">
      <c r="A44" s="30"/>
      <c r="B44" s="56" t="s">
        <v>239</v>
      </c>
      <c r="C44" s="183">
        <v>5</v>
      </c>
      <c r="D44" s="45" t="s">
        <v>244</v>
      </c>
      <c r="E44"/>
      <c r="F44" s="6"/>
      <c r="P44" s="64" t="s">
        <v>168</v>
      </c>
      <c r="Q44" s="187">
        <f>AF8</f>
        <v>3.7555437214587291</v>
      </c>
      <c r="R44" s="30"/>
      <c r="S44" s="30"/>
      <c r="T44" s="31" t="s">
        <v>247</v>
      </c>
      <c r="AI44" s="5"/>
      <c r="AJ44" s="5"/>
      <c r="AK44" s="131"/>
      <c r="AX44" s="144"/>
    </row>
    <row r="45" spans="1:50" ht="15.75" thickBot="1" x14ac:dyDescent="0.3">
      <c r="A45" s="168"/>
      <c r="B45" s="56" t="s">
        <v>238</v>
      </c>
      <c r="C45" s="183">
        <v>0</v>
      </c>
      <c r="D45" s="45" t="s">
        <v>240</v>
      </c>
      <c r="E45"/>
      <c r="H45" s="6"/>
      <c r="I45" s="6"/>
      <c r="J45" s="6"/>
      <c r="K45" s="9"/>
      <c r="L45" s="6"/>
      <c r="M45" s="6"/>
      <c r="N45" s="10"/>
      <c r="O45" s="10"/>
      <c r="P45" s="198" t="s">
        <v>197</v>
      </c>
      <c r="Q45" s="199">
        <v>11</v>
      </c>
      <c r="R45" s="32"/>
      <c r="S45" s="32"/>
      <c r="T45" s="33" t="s">
        <v>249</v>
      </c>
      <c r="W45" s="45"/>
      <c r="X45" s="175"/>
      <c r="Y45" s="45"/>
      <c r="AI45" s="5"/>
      <c r="AJ45" s="5"/>
      <c r="AK45" s="131"/>
    </row>
    <row r="46" spans="1:50" ht="15.75" thickBot="1" x14ac:dyDescent="0.3">
      <c r="A46" s="168"/>
      <c r="B46" s="114" t="s">
        <v>239</v>
      </c>
      <c r="C46" s="180">
        <v>180</v>
      </c>
      <c r="D46" s="45" t="s">
        <v>240</v>
      </c>
      <c r="E46"/>
      <c r="H46" s="6"/>
      <c r="I46" s="192" t="s">
        <v>82</v>
      </c>
      <c r="J46" s="191">
        <f>INDEX(LINEST($Y$3:$Y$12,$P$3:$P$12^{1,2}),3)</f>
        <v>3.2069164097329496E-4</v>
      </c>
      <c r="K46" s="160">
        <f>INDEX(LINEST($Y$3:$Y$12,$P$3:$P$12^{1,2}),2)</f>
        <v>-1.3992644771638302E-7</v>
      </c>
      <c r="L46" s="160">
        <f>INDEX(LINEST($Y$3:$Y$12,$P$3:$P$12^{1,2}),1)</f>
        <v>1.6653925975878835E-11</v>
      </c>
      <c r="M46" s="44" t="s">
        <v>254</v>
      </c>
      <c r="N46" s="10"/>
      <c r="O46" s="10"/>
      <c r="U46" s="10"/>
      <c r="V46" s="3"/>
      <c r="W46" s="45"/>
      <c r="X46" s="60"/>
      <c r="Y46" s="45"/>
      <c r="AX46" s="144"/>
    </row>
    <row r="47" spans="1:50" ht="15.75" thickBot="1" x14ac:dyDescent="0.3">
      <c r="Q47" s="60"/>
      <c r="R47" s="193"/>
      <c r="T47" s="193"/>
      <c r="U47" s="168"/>
      <c r="V47" s="30"/>
    </row>
    <row r="48" spans="1:50" ht="15.75" thickBot="1" x14ac:dyDescent="0.3">
      <c r="A48" s="3" t="s">
        <v>230</v>
      </c>
      <c r="B48" s="189">
        <v>1.25</v>
      </c>
      <c r="C48" s="45" t="s">
        <v>231</v>
      </c>
      <c r="D48" s="5"/>
      <c r="E48" s="172">
        <f>C29</f>
        <v>240</v>
      </c>
      <c r="F48" s="172" t="s">
        <v>142</v>
      </c>
      <c r="I48" s="156" t="s">
        <v>269</v>
      </c>
      <c r="M48" s="217" t="s">
        <v>268</v>
      </c>
      <c r="N48" s="122"/>
      <c r="Q48" s="60"/>
      <c r="R48" s="193"/>
      <c r="T48" s="193"/>
      <c r="U48" s="168"/>
      <c r="V48" s="30"/>
      <c r="W48" s="174"/>
      <c r="X48" s="45"/>
      <c r="Y48" s="45"/>
    </row>
    <row r="49" spans="8:45" x14ac:dyDescent="0.25">
      <c r="I49" s="218" t="s">
        <v>263</v>
      </c>
      <c r="J49" s="216" t="s">
        <v>89</v>
      </c>
      <c r="K49" s="219" t="s">
        <v>264</v>
      </c>
      <c r="L49" s="219" t="s">
        <v>265</v>
      </c>
      <c r="M49" s="219" t="s">
        <v>266</v>
      </c>
      <c r="N49" s="220" t="s">
        <v>267</v>
      </c>
      <c r="P49" s="215" t="s">
        <v>272</v>
      </c>
      <c r="Q49" s="240">
        <v>0</v>
      </c>
      <c r="R49" s="238">
        <f ca="1">J54</f>
        <v>14.010526315789477</v>
      </c>
      <c r="S49" s="238">
        <f ca="1">J53</f>
        <v>31.916083916083913</v>
      </c>
      <c r="T49" s="238">
        <f ca="1">J52</f>
        <v>47.999999999999993</v>
      </c>
      <c r="U49" s="239">
        <f ca="1">J51</f>
        <v>69.666666666666657</v>
      </c>
      <c r="V49" s="241">
        <v>80</v>
      </c>
      <c r="W49" s="45"/>
      <c r="X49" s="45"/>
      <c r="Y49" s="45"/>
    </row>
    <row r="50" spans="8:45" x14ac:dyDescent="0.25">
      <c r="I50" s="221">
        <v>0</v>
      </c>
      <c r="J50" s="233">
        <f t="shared" ref="J50:J55" ca="1" si="35">FORECAST(I50,OFFSET(MeasNt,MATCH(I50,MeasTauT,1)-1,0,2),OFFSET(MeasTauT,MATCH(I50,MeasTauT,1)-1,0,2))</f>
        <v>76.333333333333329</v>
      </c>
      <c r="K50" s="57">
        <v>0.2</v>
      </c>
      <c r="L50" s="57">
        <v>4.4000000000000004</v>
      </c>
      <c r="M50" s="57">
        <v>0.09</v>
      </c>
      <c r="N50" s="25">
        <v>5</v>
      </c>
      <c r="P50" s="252" t="s">
        <v>264</v>
      </c>
      <c r="Q50" s="253">
        <f>K55</f>
        <v>0.47499999999999998</v>
      </c>
      <c r="R50" s="253">
        <f>K54</f>
        <v>0.47499999999999998</v>
      </c>
      <c r="S50" s="253">
        <f>K53</f>
        <v>0.32500000000000001</v>
      </c>
      <c r="T50" s="253">
        <f>K52</f>
        <v>0.22500000000000001</v>
      </c>
      <c r="U50" s="254">
        <f>K51</f>
        <v>0.2</v>
      </c>
      <c r="V50" s="255">
        <f>K50</f>
        <v>0.2</v>
      </c>
      <c r="W50" s="45" t="s">
        <v>273</v>
      </c>
      <c r="X50" s="45"/>
      <c r="Y50" s="45"/>
      <c r="AJ50" s="94"/>
      <c r="AR50" s="3"/>
    </row>
    <row r="51" spans="8:45" x14ac:dyDescent="0.25">
      <c r="I51" s="221">
        <v>0.02</v>
      </c>
      <c r="J51" s="233">
        <f t="shared" ca="1" si="35"/>
        <v>69.666666666666657</v>
      </c>
      <c r="K51" s="57">
        <v>0.2</v>
      </c>
      <c r="L51" s="57">
        <v>3.75</v>
      </c>
      <c r="M51" s="57">
        <v>0.09</v>
      </c>
      <c r="N51" s="25">
        <v>5</v>
      </c>
      <c r="P51" s="252" t="s">
        <v>265</v>
      </c>
      <c r="Q51" s="256">
        <f>L55</f>
        <v>2.4</v>
      </c>
      <c r="R51" s="256">
        <f>L54</f>
        <v>2.4</v>
      </c>
      <c r="S51" s="256">
        <f>L53</f>
        <v>2.7</v>
      </c>
      <c r="T51" s="256">
        <f>L52</f>
        <v>3.2</v>
      </c>
      <c r="U51" s="257">
        <f>L51</f>
        <v>3.75</v>
      </c>
      <c r="V51" s="258">
        <f>L50</f>
        <v>4.4000000000000004</v>
      </c>
      <c r="W51" s="45"/>
      <c r="X51" s="45"/>
      <c r="Y51" s="45"/>
      <c r="AS51" s="3"/>
    </row>
    <row r="52" spans="8:45" x14ac:dyDescent="0.25">
      <c r="I52" s="221">
        <v>8.5000000000000006E-2</v>
      </c>
      <c r="J52" s="233">
        <f t="shared" ca="1" si="35"/>
        <v>47.999999999999993</v>
      </c>
      <c r="K52" s="57">
        <v>0.22500000000000001</v>
      </c>
      <c r="L52" s="57">
        <v>3.2</v>
      </c>
      <c r="M52" s="223">
        <v>0.125</v>
      </c>
      <c r="N52" s="224">
        <v>4.05</v>
      </c>
      <c r="P52" s="252" t="s">
        <v>270</v>
      </c>
      <c r="Q52" s="259">
        <v>0.15</v>
      </c>
      <c r="R52" s="259"/>
      <c r="S52" s="259"/>
      <c r="T52" s="259"/>
      <c r="U52" s="260"/>
      <c r="V52" s="261"/>
      <c r="W52" s="45"/>
      <c r="X52" s="45"/>
      <c r="Y52" s="45"/>
    </row>
    <row r="53" spans="8:45" x14ac:dyDescent="0.25">
      <c r="I53" s="221">
        <v>0.185</v>
      </c>
      <c r="J53" s="233">
        <f t="shared" ca="1" si="35"/>
        <v>31.916083916083913</v>
      </c>
      <c r="K53" s="57">
        <v>0.32500000000000001</v>
      </c>
      <c r="L53" s="57">
        <v>2.7</v>
      </c>
      <c r="M53" s="57">
        <v>0.24</v>
      </c>
      <c r="N53" s="25">
        <v>3.75</v>
      </c>
      <c r="P53" s="252" t="s">
        <v>271</v>
      </c>
      <c r="Q53" s="259">
        <v>0.03</v>
      </c>
      <c r="R53" s="259"/>
      <c r="S53" s="259"/>
      <c r="T53" s="259"/>
      <c r="U53" s="260"/>
      <c r="V53" s="261"/>
      <c r="W53" s="45"/>
      <c r="X53" s="176"/>
      <c r="Y53" s="45"/>
    </row>
    <row r="54" spans="8:45" x14ac:dyDescent="0.25">
      <c r="I54" s="221">
        <v>0.34399999999999997</v>
      </c>
      <c r="J54" s="233">
        <f t="shared" ca="1" si="35"/>
        <v>14.010526315789477</v>
      </c>
      <c r="K54" s="57">
        <v>0.47499999999999998</v>
      </c>
      <c r="L54" s="57">
        <v>2.4</v>
      </c>
      <c r="M54" s="57">
        <v>0.42</v>
      </c>
      <c r="N54" s="25">
        <v>3.6</v>
      </c>
      <c r="P54" s="252" t="s">
        <v>266</v>
      </c>
      <c r="Q54" s="253">
        <f>M55</f>
        <v>0.42</v>
      </c>
      <c r="R54" s="253">
        <f>M54</f>
        <v>0.42</v>
      </c>
      <c r="S54" s="253">
        <f>M53</f>
        <v>0.24</v>
      </c>
      <c r="T54" s="253">
        <f>M52</f>
        <v>0.125</v>
      </c>
      <c r="U54" s="254">
        <f>M51</f>
        <v>0.09</v>
      </c>
      <c r="V54" s="255">
        <f>M50</f>
        <v>0.09</v>
      </c>
      <c r="W54" s="45" t="s">
        <v>274</v>
      </c>
      <c r="X54" s="176"/>
      <c r="Y54" s="45"/>
    </row>
    <row r="55" spans="8:45" ht="15.75" thickBot="1" x14ac:dyDescent="0.3">
      <c r="I55" s="225">
        <v>0.5</v>
      </c>
      <c r="J55" s="237">
        <f t="shared" ca="1" si="35"/>
        <v>-0.76842105263158089</v>
      </c>
      <c r="K55" s="227">
        <v>0.47499999999999998</v>
      </c>
      <c r="L55" s="227">
        <v>2.4</v>
      </c>
      <c r="M55" s="227">
        <v>0.42</v>
      </c>
      <c r="N55" s="27">
        <v>3.6</v>
      </c>
      <c r="P55" s="262" t="s">
        <v>267</v>
      </c>
      <c r="Q55" s="263">
        <f>N55</f>
        <v>3.6</v>
      </c>
      <c r="R55" s="263">
        <f>N54</f>
        <v>3.6</v>
      </c>
      <c r="S55" s="263">
        <f>N53</f>
        <v>3.75</v>
      </c>
      <c r="T55" s="263">
        <f>N52</f>
        <v>4.05</v>
      </c>
      <c r="U55" s="264">
        <f>N51</f>
        <v>5</v>
      </c>
      <c r="V55" s="265">
        <f>N50</f>
        <v>5</v>
      </c>
      <c r="W55" s="45"/>
      <c r="X55" s="176"/>
      <c r="Y55" s="45"/>
    </row>
    <row r="56" spans="8:45" x14ac:dyDescent="0.25">
      <c r="V56" s="45"/>
      <c r="W56" s="45"/>
      <c r="X56" s="176"/>
      <c r="Y56" s="45"/>
    </row>
    <row r="57" spans="8:45" x14ac:dyDescent="0.25">
      <c r="W57" s="45"/>
      <c r="X57" s="176"/>
      <c r="Y57" s="45"/>
    </row>
    <row r="58" spans="8:45" x14ac:dyDescent="0.25">
      <c r="W58" s="45"/>
      <c r="X58" s="129"/>
      <c r="Y58" s="45"/>
    </row>
    <row r="59" spans="8:45" x14ac:dyDescent="0.25">
      <c r="W59" s="45"/>
      <c r="X59" s="129"/>
      <c r="Y59" s="45"/>
    </row>
    <row r="60" spans="8:45" x14ac:dyDescent="0.25">
      <c r="W60" s="45"/>
      <c r="X60" s="129"/>
      <c r="Y60" s="45"/>
    </row>
    <row r="61" spans="8:45" x14ac:dyDescent="0.25">
      <c r="H61" s="15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2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2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2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0"/>
      <c r="E69" s="60"/>
      <c r="F69" s="60"/>
      <c r="G69" s="60"/>
      <c r="H69" s="60"/>
      <c r="I69" s="170"/>
      <c r="J69" s="60"/>
      <c r="K69" s="167"/>
      <c r="L69" s="60"/>
      <c r="M69" s="60"/>
      <c r="N69" s="168"/>
      <c r="O69" s="168"/>
      <c r="P69" s="168"/>
      <c r="Q69" s="168"/>
      <c r="R69" s="168"/>
      <c r="S69" s="168"/>
      <c r="T69" s="168"/>
      <c r="U69" s="169"/>
      <c r="V69" s="16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0"/>
      <c r="E70" s="60"/>
      <c r="F70" s="60"/>
      <c r="G70" s="60"/>
      <c r="H70" s="60"/>
      <c r="I70" s="170"/>
      <c r="J70" s="60"/>
      <c r="K70" s="167"/>
      <c r="L70" s="60"/>
      <c r="M70" s="60"/>
      <c r="N70" s="168"/>
      <c r="O70" s="168"/>
      <c r="P70" s="168"/>
      <c r="Q70" s="168"/>
      <c r="R70" s="168"/>
      <c r="S70" s="168"/>
      <c r="T70" s="168"/>
      <c r="U70" s="169"/>
      <c r="V70" s="169"/>
      <c r="W70" s="9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0"/>
      <c r="E71" s="60"/>
      <c r="F71" s="60"/>
      <c r="G71" s="60"/>
      <c r="H71" s="60"/>
      <c r="I71" s="170"/>
      <c r="J71" s="60"/>
      <c r="K71" s="167"/>
      <c r="L71" s="60"/>
      <c r="M71" s="60"/>
      <c r="N71" s="168"/>
      <c r="O71" s="168"/>
      <c r="P71" s="168"/>
      <c r="Q71" s="168"/>
      <c r="R71" s="168"/>
      <c r="S71" s="168"/>
      <c r="T71" s="168"/>
      <c r="U71" s="169"/>
      <c r="V71" s="16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0"/>
      <c r="E72" s="60"/>
      <c r="F72" s="60"/>
      <c r="G72" s="60"/>
      <c r="H72" s="60"/>
      <c r="I72" s="170"/>
      <c r="J72" s="60"/>
      <c r="K72" s="167"/>
      <c r="L72" s="60"/>
      <c r="M72" s="60"/>
      <c r="N72" s="168"/>
      <c r="O72" s="168"/>
      <c r="P72" s="168"/>
      <c r="Q72" s="168"/>
      <c r="R72" s="168"/>
      <c r="S72" s="168"/>
      <c r="T72" s="168"/>
      <c r="U72" s="169"/>
      <c r="V72" s="169"/>
      <c r="W72" s="45"/>
      <c r="X72" s="45"/>
      <c r="Y72" s="45"/>
      <c r="Z72" s="45"/>
      <c r="AA72" s="12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0"/>
      <c r="E73" s="60"/>
      <c r="F73" s="60"/>
      <c r="G73" s="60"/>
      <c r="H73" s="60"/>
      <c r="I73" s="170"/>
      <c r="J73" s="60"/>
      <c r="K73" s="167"/>
      <c r="L73" s="60"/>
      <c r="M73" s="60"/>
      <c r="N73" s="168"/>
      <c r="O73" s="168"/>
      <c r="P73" s="168"/>
      <c r="Q73" s="168"/>
      <c r="R73" s="168"/>
      <c r="S73" s="168"/>
      <c r="T73" s="168"/>
      <c r="U73" s="169"/>
      <c r="V73" s="169"/>
      <c r="W73" s="45"/>
      <c r="X73" s="45"/>
      <c r="Y73" s="45"/>
      <c r="Z73" s="45"/>
      <c r="AA73" s="12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0"/>
      <c r="E74" s="60"/>
      <c r="F74" s="60"/>
      <c r="G74" s="60"/>
      <c r="H74" s="60"/>
      <c r="I74" s="170"/>
      <c r="J74" s="60"/>
      <c r="K74" s="167"/>
      <c r="L74" s="60"/>
      <c r="M74" s="60"/>
      <c r="N74" s="168"/>
      <c r="O74" s="168"/>
      <c r="P74" s="168"/>
      <c r="Q74" s="168"/>
      <c r="R74" s="168"/>
      <c r="S74" s="168"/>
      <c r="T74" s="168"/>
      <c r="U74" s="169"/>
      <c r="V74" s="169"/>
      <c r="W74" s="45"/>
      <c r="X74" s="45"/>
      <c r="Y74" s="45"/>
      <c r="Z74" s="45"/>
      <c r="AA74" s="12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0"/>
      <c r="E75" s="60"/>
      <c r="F75" s="60"/>
      <c r="G75" s="60"/>
      <c r="H75" s="60"/>
      <c r="I75" s="60"/>
      <c r="J75" s="60"/>
      <c r="K75" s="167"/>
      <c r="L75" s="60"/>
      <c r="M75" s="60"/>
      <c r="N75" s="168"/>
      <c r="O75" s="168"/>
      <c r="P75" s="168"/>
      <c r="Q75" s="168"/>
      <c r="R75" s="168"/>
      <c r="S75" s="168"/>
      <c r="T75" s="168"/>
      <c r="U75" s="169"/>
      <c r="V75" s="169"/>
      <c r="W75" s="45"/>
      <c r="X75" s="166"/>
      <c r="Y75" s="16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0"/>
      <c r="E91" s="60"/>
      <c r="F91" s="60"/>
      <c r="G91" s="60"/>
      <c r="H91" s="60"/>
      <c r="I91" s="60"/>
      <c r="J91" s="60"/>
      <c r="K91" s="167"/>
      <c r="L91" s="60"/>
      <c r="M91" s="60"/>
      <c r="N91" s="168"/>
      <c r="O91" s="168"/>
      <c r="P91" s="168"/>
      <c r="Q91" s="168"/>
      <c r="R91" s="168"/>
      <c r="S91" s="168"/>
      <c r="T91" s="168"/>
      <c r="U91" s="169"/>
      <c r="V91" s="169"/>
      <c r="W91" s="45"/>
      <c r="X91" s="166"/>
      <c r="Y91" s="16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0"/>
      <c r="E92" s="60"/>
      <c r="F92" s="60"/>
      <c r="G92" s="60"/>
      <c r="H92" s="60"/>
      <c r="I92" s="60"/>
      <c r="J92" s="60"/>
      <c r="K92" s="167"/>
      <c r="L92" s="60"/>
      <c r="M92" s="60"/>
      <c r="N92" s="168"/>
      <c r="O92" s="168"/>
      <c r="P92" s="168"/>
      <c r="Q92" s="168"/>
      <c r="R92" s="168"/>
      <c r="S92" s="168"/>
      <c r="T92" s="168"/>
      <c r="U92" s="169"/>
      <c r="V92" s="169"/>
      <c r="W92" s="45"/>
      <c r="X92" s="166"/>
      <c r="Y92" s="16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0"/>
      <c r="E93" s="60"/>
      <c r="F93" s="60"/>
      <c r="G93" s="60"/>
      <c r="H93" s="60"/>
      <c r="I93" s="60"/>
      <c r="J93" s="60"/>
      <c r="K93" s="167"/>
      <c r="L93" s="60"/>
      <c r="M93" s="60"/>
      <c r="N93" s="168"/>
      <c r="O93" s="168"/>
      <c r="P93" s="168"/>
      <c r="Q93" s="168"/>
      <c r="R93" s="168"/>
      <c r="S93" s="168"/>
      <c r="T93" s="168"/>
      <c r="U93" s="169"/>
      <c r="V93" s="169"/>
      <c r="W93" s="45"/>
      <c r="X93" s="166"/>
      <c r="Y93" s="16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0"/>
      <c r="E94" s="60"/>
      <c r="F94" s="60"/>
      <c r="G94" s="60"/>
      <c r="H94" s="60"/>
      <c r="I94" s="60"/>
      <c r="J94" s="60"/>
      <c r="K94" s="167"/>
      <c r="L94" s="60"/>
      <c r="M94" s="60"/>
      <c r="N94" s="168"/>
      <c r="O94" s="168"/>
      <c r="P94" s="168"/>
      <c r="Q94" s="168"/>
      <c r="R94" s="168"/>
      <c r="S94" s="168"/>
      <c r="T94" s="168"/>
      <c r="U94" s="169"/>
      <c r="V94" s="169"/>
      <c r="W94" s="45"/>
      <c r="X94" s="166"/>
      <c r="Y94" s="16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0"/>
      <c r="E95" s="60"/>
      <c r="F95" s="60"/>
      <c r="G95" s="60"/>
      <c r="H95" s="60"/>
      <c r="I95" s="60"/>
      <c r="J95" s="60"/>
      <c r="K95" s="167"/>
      <c r="L95" s="60"/>
      <c r="M95" s="60"/>
      <c r="N95" s="168"/>
      <c r="O95" s="168"/>
      <c r="P95" s="168"/>
      <c r="Q95" s="168"/>
      <c r="R95" s="168"/>
      <c r="S95" s="168"/>
      <c r="T95" s="168"/>
      <c r="U95" s="169"/>
      <c r="V95" s="169"/>
      <c r="W95" s="45"/>
      <c r="X95" s="166"/>
      <c r="Y95" s="16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0"/>
      <c r="E96" s="60"/>
      <c r="F96" s="60"/>
      <c r="G96" s="60"/>
      <c r="H96" s="60"/>
      <c r="I96" s="60"/>
      <c r="J96" s="60"/>
      <c r="K96" s="167"/>
      <c r="L96" s="60"/>
      <c r="M96" s="60"/>
      <c r="N96" s="168"/>
      <c r="O96" s="168"/>
      <c r="P96" s="168"/>
      <c r="Q96" s="168"/>
      <c r="R96" s="168"/>
      <c r="S96" s="168"/>
      <c r="T96" s="168"/>
      <c r="U96" s="169"/>
      <c r="V96" s="169"/>
      <c r="W96" s="45"/>
      <c r="X96" s="166"/>
      <c r="Y96" s="16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0"/>
      <c r="E97" s="60"/>
      <c r="F97" s="60"/>
      <c r="G97" s="60"/>
      <c r="H97" s="60"/>
      <c r="I97" s="60"/>
      <c r="J97" s="60"/>
      <c r="K97" s="167"/>
      <c r="L97" s="60"/>
      <c r="M97" s="60"/>
      <c r="N97" s="168"/>
      <c r="O97" s="168"/>
      <c r="P97" s="168"/>
      <c r="Q97" s="168"/>
      <c r="R97" s="168"/>
      <c r="S97" s="168"/>
      <c r="T97" s="168"/>
      <c r="U97" s="169"/>
      <c r="V97" s="169"/>
      <c r="W97" s="45"/>
      <c r="X97" s="166"/>
      <c r="Y97" s="16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0"/>
      <c r="E98" s="60"/>
      <c r="F98" s="60"/>
      <c r="G98" s="60"/>
      <c r="H98" s="60"/>
      <c r="I98" s="60"/>
      <c r="J98" s="60"/>
      <c r="K98" s="167"/>
      <c r="L98" s="60"/>
      <c r="M98" s="60"/>
      <c r="N98" s="168"/>
      <c r="O98" s="168"/>
      <c r="P98" s="168"/>
      <c r="Q98" s="168"/>
      <c r="R98" s="168"/>
      <c r="S98" s="168"/>
      <c r="T98" s="168"/>
      <c r="U98" s="169"/>
      <c r="V98" s="169"/>
      <c r="W98" s="45"/>
      <c r="X98" s="166"/>
      <c r="Y98" s="16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0"/>
      <c r="E99" s="60"/>
      <c r="F99" s="60"/>
      <c r="G99" s="60"/>
      <c r="H99" s="60"/>
      <c r="I99" s="60"/>
      <c r="J99" s="60"/>
      <c r="K99" s="167"/>
      <c r="L99" s="60"/>
      <c r="M99" s="60"/>
      <c r="N99" s="168"/>
      <c r="O99" s="168"/>
      <c r="P99" s="168"/>
      <c r="Q99" s="168"/>
      <c r="R99" s="168"/>
      <c r="S99" s="168"/>
      <c r="T99" s="168"/>
      <c r="U99" s="169"/>
      <c r="V99" s="169"/>
      <c r="W99" s="45"/>
      <c r="X99" s="166"/>
      <c r="Y99" s="16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169"/>
      <c r="V100" s="169"/>
      <c r="W100" s="45"/>
      <c r="X100" s="166"/>
      <c r="Y100" s="16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169"/>
      <c r="V101" s="169"/>
      <c r="W101" s="45"/>
      <c r="X101" s="166"/>
      <c r="Y101" s="16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0"/>
      <c r="E105" s="60"/>
      <c r="F105" s="60"/>
      <c r="G105" s="60"/>
      <c r="H105" s="60"/>
      <c r="I105" s="170"/>
      <c r="J105" s="60"/>
      <c r="K105" s="167"/>
      <c r="L105" s="60"/>
      <c r="M105" s="60"/>
      <c r="N105" s="168"/>
      <c r="O105" s="168"/>
      <c r="P105" s="168"/>
      <c r="Q105" s="168"/>
      <c r="R105" s="168"/>
      <c r="S105" s="168"/>
      <c r="T105" s="168"/>
      <c r="U105" s="169"/>
      <c r="V105" s="169"/>
      <c r="W105" s="45"/>
      <c r="X105" s="166"/>
      <c r="Y105" s="16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0"/>
      <c r="E106" s="60"/>
      <c r="F106" s="60"/>
      <c r="G106" s="60"/>
      <c r="H106" s="60"/>
      <c r="I106" s="170"/>
      <c r="J106" s="60"/>
      <c r="K106" s="167"/>
      <c r="L106" s="60"/>
      <c r="M106" s="60"/>
      <c r="N106" s="168"/>
      <c r="O106" s="168"/>
      <c r="P106" s="168"/>
      <c r="Q106" s="168"/>
      <c r="R106" s="168"/>
      <c r="S106" s="168"/>
      <c r="T106" s="168"/>
      <c r="U106" s="169"/>
      <c r="V106" s="169"/>
      <c r="W106" s="45"/>
      <c r="X106" s="166"/>
      <c r="Y106" s="16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0"/>
      <c r="E107" s="60"/>
      <c r="F107" s="60"/>
      <c r="G107" s="60"/>
      <c r="H107" s="60"/>
      <c r="I107" s="170"/>
      <c r="J107" s="60"/>
      <c r="K107" s="167"/>
      <c r="L107" s="60"/>
      <c r="M107" s="60"/>
      <c r="N107" s="168"/>
      <c r="O107" s="168"/>
      <c r="P107" s="168"/>
      <c r="Q107" s="168"/>
      <c r="R107" s="168"/>
      <c r="S107" s="168"/>
      <c r="T107" s="168"/>
      <c r="U107" s="169"/>
      <c r="V107" s="169"/>
      <c r="W107" s="45"/>
      <c r="X107" s="166"/>
      <c r="Y107" s="16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0"/>
      <c r="E108" s="60"/>
      <c r="F108" s="60"/>
      <c r="G108" s="60"/>
      <c r="H108" s="60"/>
      <c r="I108" s="60"/>
      <c r="J108" s="60"/>
      <c r="K108" s="167"/>
      <c r="L108" s="60"/>
      <c r="M108" s="60"/>
      <c r="N108" s="168"/>
      <c r="O108" s="168"/>
      <c r="P108" s="168"/>
      <c r="Q108" s="168"/>
      <c r="R108" s="168"/>
      <c r="S108" s="168"/>
      <c r="T108" s="168"/>
      <c r="U108" s="169"/>
      <c r="V108" s="169"/>
      <c r="W108" s="45"/>
      <c r="X108" s="166"/>
      <c r="Y108" s="16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0"/>
      <c r="E109" s="60"/>
      <c r="F109" s="60"/>
      <c r="G109" s="60"/>
      <c r="H109" s="60"/>
      <c r="I109" s="60"/>
      <c r="J109" s="60"/>
      <c r="K109" s="167"/>
      <c r="L109" s="60"/>
      <c r="M109" s="60"/>
      <c r="N109" s="168"/>
      <c r="O109" s="168"/>
      <c r="P109" s="168"/>
      <c r="Q109" s="168"/>
      <c r="R109" s="168"/>
      <c r="S109" s="168"/>
      <c r="T109" s="168"/>
      <c r="U109" s="169"/>
      <c r="V109" s="169"/>
      <c r="W109" s="45"/>
      <c r="X109" s="166"/>
      <c r="Y109" s="16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0"/>
      <c r="E110" s="60"/>
      <c r="F110" s="60"/>
      <c r="G110" s="60"/>
      <c r="H110" s="60"/>
      <c r="I110" s="60"/>
      <c r="J110" s="60"/>
      <c r="K110" s="167"/>
      <c r="L110" s="60"/>
      <c r="M110" s="60"/>
      <c r="N110" s="168"/>
      <c r="O110" s="168"/>
      <c r="P110" s="168"/>
      <c r="Q110" s="168"/>
      <c r="R110" s="168"/>
      <c r="S110" s="168"/>
      <c r="T110" s="168"/>
      <c r="U110" s="169"/>
      <c r="V110" s="169"/>
      <c r="W110" s="45"/>
      <c r="X110" s="166"/>
      <c r="Y110" s="16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0"/>
      <c r="E111" s="60"/>
      <c r="F111" s="60"/>
      <c r="G111" s="60"/>
      <c r="H111" s="60"/>
      <c r="I111" s="60"/>
      <c r="J111" s="60"/>
      <c r="K111" s="167"/>
      <c r="L111" s="60"/>
      <c r="M111" s="60"/>
      <c r="N111" s="168"/>
      <c r="O111" s="168"/>
      <c r="P111" s="168"/>
      <c r="Q111" s="168"/>
      <c r="R111" s="168"/>
      <c r="S111" s="168"/>
      <c r="T111" s="168"/>
      <c r="U111" s="169"/>
      <c r="V111" s="169"/>
      <c r="W111" s="45"/>
      <c r="X111" s="166"/>
      <c r="Y111" s="16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0"/>
      <c r="E112" s="60"/>
      <c r="F112" s="60"/>
      <c r="G112" s="60"/>
      <c r="H112" s="60"/>
      <c r="I112" s="60"/>
      <c r="J112" s="60"/>
      <c r="K112" s="167"/>
      <c r="L112" s="60"/>
      <c r="M112" s="60"/>
      <c r="N112" s="168"/>
      <c r="O112" s="168"/>
      <c r="P112" s="168"/>
      <c r="Q112" s="168"/>
      <c r="R112" s="168"/>
      <c r="S112" s="168"/>
      <c r="T112" s="168"/>
      <c r="U112" s="169"/>
      <c r="V112" s="169"/>
      <c r="W112" s="45"/>
      <c r="X112" s="166"/>
      <c r="Y112" s="16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0"/>
      <c r="E113" s="60"/>
      <c r="F113" s="60"/>
      <c r="G113" s="60"/>
      <c r="H113" s="60"/>
      <c r="I113" s="60"/>
      <c r="J113" s="60"/>
      <c r="K113" s="167"/>
      <c r="L113" s="60"/>
      <c r="M113" s="60"/>
      <c r="N113" s="168"/>
      <c r="O113" s="168"/>
      <c r="P113" s="168"/>
      <c r="Q113" s="168"/>
      <c r="R113" s="168"/>
      <c r="S113" s="168"/>
      <c r="T113" s="168"/>
      <c r="U113" s="169"/>
      <c r="V113" s="169"/>
      <c r="W113" s="45"/>
      <c r="X113" s="166"/>
      <c r="Y113" s="16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0"/>
      <c r="E114" s="60"/>
      <c r="F114" s="60"/>
      <c r="G114" s="60"/>
      <c r="H114" s="60"/>
      <c r="I114" s="60"/>
      <c r="J114" s="60"/>
      <c r="K114" s="167"/>
      <c r="L114" s="60"/>
      <c r="M114" s="60"/>
      <c r="N114" s="168"/>
      <c r="O114" s="168"/>
      <c r="P114" s="168"/>
      <c r="Q114" s="168"/>
      <c r="R114" s="168"/>
      <c r="S114" s="168"/>
      <c r="T114" s="168"/>
      <c r="U114" s="169"/>
      <c r="V114" s="169"/>
      <c r="W114" s="45"/>
      <c r="X114" s="166"/>
      <c r="Y114" s="16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0"/>
      <c r="E115" s="60"/>
      <c r="F115" s="60"/>
      <c r="G115" s="60"/>
      <c r="H115" s="60"/>
      <c r="I115" s="60"/>
      <c r="J115" s="60"/>
      <c r="K115" s="167"/>
      <c r="L115" s="60"/>
      <c r="M115" s="60"/>
      <c r="N115" s="168"/>
      <c r="O115" s="168"/>
      <c r="P115" s="168"/>
      <c r="Q115" s="168"/>
      <c r="R115" s="168"/>
      <c r="S115" s="168"/>
      <c r="T115" s="168"/>
      <c r="U115" s="169"/>
      <c r="V115" s="169"/>
      <c r="W115" s="45"/>
      <c r="X115" s="166"/>
      <c r="Y115" s="16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0"/>
      <c r="E116" s="60"/>
      <c r="F116" s="60"/>
      <c r="G116" s="60"/>
      <c r="H116" s="60"/>
      <c r="I116" s="60"/>
      <c r="J116" s="60"/>
      <c r="K116" s="167"/>
      <c r="L116" s="60"/>
      <c r="M116" s="60"/>
      <c r="N116" s="168"/>
      <c r="O116" s="168"/>
      <c r="P116" s="168"/>
      <c r="Q116" s="168"/>
      <c r="R116" s="168"/>
      <c r="S116" s="168"/>
      <c r="T116" s="168"/>
      <c r="U116" s="169"/>
      <c r="V116" s="169"/>
      <c r="W116" s="45"/>
      <c r="X116" s="166"/>
      <c r="Y116" s="16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0"/>
      <c r="E117" s="60"/>
      <c r="F117" s="60"/>
      <c r="G117" s="60"/>
      <c r="H117" s="60"/>
      <c r="I117" s="60"/>
      <c r="J117" s="60"/>
      <c r="K117" s="167"/>
      <c r="L117" s="60"/>
      <c r="M117" s="60"/>
      <c r="N117" s="168"/>
      <c r="O117" s="168"/>
      <c r="P117" s="168"/>
      <c r="Q117" s="168"/>
      <c r="R117" s="168"/>
      <c r="S117" s="168"/>
      <c r="T117" s="168"/>
      <c r="U117" s="169"/>
      <c r="V117" s="169"/>
      <c r="W117" s="45"/>
      <c r="X117" s="166"/>
      <c r="Y117" s="16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169"/>
      <c r="V118" s="169"/>
      <c r="W118" s="45"/>
      <c r="X118" s="166"/>
      <c r="Y118" s="16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169"/>
      <c r="V119" s="169"/>
      <c r="W119" s="45"/>
      <c r="X119" s="166"/>
      <c r="Y119" s="16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45"/>
      <c r="V120" s="45"/>
      <c r="W120" s="45"/>
      <c r="X120" s="16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45"/>
      <c r="V121" s="45"/>
      <c r="W121" s="45"/>
      <c r="X121" s="16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E14" zoomScale="70" zoomScaleNormal="70" workbookViewId="0">
      <selection activeCell="Q48" sqref="Q4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2.285156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  <col min="52" max="52" width="9.42578125" bestFit="1" customWidth="1"/>
    <col min="53" max="53" width="7.28515625" customWidth="1"/>
    <col min="54" max="54" width="16.85546875" bestFit="1" customWidth="1"/>
    <col min="55" max="57" width="13.42578125" bestFit="1" customWidth="1"/>
    <col min="58" max="58" width="14.28515625" bestFit="1" customWidth="1"/>
    <col min="59" max="59" width="13.85546875" bestFit="1" customWidth="1"/>
    <col min="60" max="60" width="14.28515625" bestFit="1" customWidth="1"/>
    <col min="61" max="61" width="13.85546875" bestFit="1" customWidth="1"/>
    <col min="62" max="62" width="13.42578125" bestFit="1" customWidth="1"/>
    <col min="63" max="64" width="13.85546875" bestFit="1" customWidth="1"/>
    <col min="65" max="65" width="13.42578125" bestFit="1" customWidth="1"/>
  </cols>
  <sheetData>
    <row r="1" spans="1:51" ht="90" x14ac:dyDescent="0.25">
      <c r="A1" t="s">
        <v>207</v>
      </c>
      <c r="B1" t="s">
        <v>206</v>
      </c>
      <c r="C1" s="203" t="s">
        <v>46</v>
      </c>
      <c r="D1" s="204" t="s">
        <v>0</v>
      </c>
      <c r="E1" s="204" t="s">
        <v>1</v>
      </c>
      <c r="F1" s="204" t="s">
        <v>10</v>
      </c>
      <c r="G1" s="204" t="s">
        <v>11</v>
      </c>
      <c r="H1" s="204" t="s">
        <v>23</v>
      </c>
      <c r="I1" s="205" t="s">
        <v>97</v>
      </c>
      <c r="J1" s="169"/>
      <c r="K1" s="4" t="s">
        <v>12</v>
      </c>
      <c r="L1" s="4" t="s">
        <v>7</v>
      </c>
      <c r="M1" s="4" t="s">
        <v>56</v>
      </c>
      <c r="N1" s="4" t="s">
        <v>24</v>
      </c>
      <c r="O1" s="4" t="s">
        <v>102</v>
      </c>
      <c r="P1" s="4" t="s">
        <v>25</v>
      </c>
      <c r="Q1" s="4" t="s">
        <v>122</v>
      </c>
      <c r="R1" s="4" t="s">
        <v>26</v>
      </c>
      <c r="S1" s="4" t="s">
        <v>89</v>
      </c>
      <c r="T1" s="4" t="s">
        <v>7</v>
      </c>
      <c r="U1" s="4" t="str">
        <f t="shared" ref="U1:U14" si="0">K1</f>
        <v>Charger Pwr, W</v>
      </c>
      <c r="V1" s="4" t="s">
        <v>156</v>
      </c>
      <c r="W1" s="4" t="s">
        <v>123</v>
      </c>
      <c r="X1" s="4" t="s">
        <v>135</v>
      </c>
      <c r="Y1" s="4" t="s">
        <v>42</v>
      </c>
      <c r="Z1" s="4" t="s">
        <v>143</v>
      </c>
      <c r="AA1" s="4" t="s">
        <v>245</v>
      </c>
      <c r="AB1" s="4" t="s">
        <v>246</v>
      </c>
      <c r="AC1" s="4" t="s">
        <v>151</v>
      </c>
      <c r="AD1" s="4" t="s">
        <v>152</v>
      </c>
      <c r="AE1" s="4" t="s">
        <v>153</v>
      </c>
      <c r="AF1" s="4" t="s">
        <v>199</v>
      </c>
      <c r="AG1" s="4" t="s">
        <v>158</v>
      </c>
      <c r="AH1" s="4" t="s">
        <v>61</v>
      </c>
      <c r="AI1" s="4" t="s">
        <v>58</v>
      </c>
      <c r="AJ1" s="4" t="s">
        <v>62</v>
      </c>
      <c r="AK1" s="4" t="s">
        <v>59</v>
      </c>
      <c r="AL1" s="4" t="s">
        <v>94</v>
      </c>
      <c r="AM1" s="4" t="s">
        <v>95</v>
      </c>
      <c r="AN1" s="4" t="s">
        <v>90</v>
      </c>
      <c r="AO1" s="4" t="s">
        <v>91</v>
      </c>
      <c r="AP1" s="4" t="s">
        <v>78</v>
      </c>
      <c r="AQ1" s="4" t="s">
        <v>124</v>
      </c>
      <c r="AR1" s="4" t="s">
        <v>77</v>
      </c>
      <c r="AS1" s="4" t="s">
        <v>74</v>
      </c>
      <c r="AT1" s="4" t="s">
        <v>92</v>
      </c>
      <c r="AU1" s="4" t="s">
        <v>171</v>
      </c>
      <c r="AX1" s="4"/>
      <c r="AY1" s="4"/>
    </row>
    <row r="2" spans="1:51" x14ac:dyDescent="0.25">
      <c r="A2" t="s">
        <v>208</v>
      </c>
      <c r="B2" t="s">
        <v>187</v>
      </c>
      <c r="C2" s="200">
        <f t="shared" ref="C2:C14" si="1">D2/180+1</f>
        <v>1.0484842824146261</v>
      </c>
      <c r="D2" s="242">
        <f>EXP((0-$Q$42)/$R$42)</f>
        <v>8.7271708346327035</v>
      </c>
      <c r="E2" s="98">
        <v>3.3E-3</v>
      </c>
      <c r="F2" s="98">
        <v>12.19</v>
      </c>
      <c r="G2" s="98">
        <v>0.14199999999999999</v>
      </c>
      <c r="H2" s="128">
        <v>1.0000000000000001E+32</v>
      </c>
      <c r="I2" s="171">
        <v>1.0000000000000001E+32</v>
      </c>
      <c r="J2" s="169"/>
      <c r="K2" s="2">
        <f t="shared" ref="K2:K14" si="2">F2*G2</f>
        <v>1.7309799999999997</v>
      </c>
      <c r="L2" s="209">
        <f t="shared" ref="L2:L14" si="3">D2</f>
        <v>8.7271708346327035</v>
      </c>
      <c r="M2" s="21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38">
        <f t="shared" si="0"/>
        <v>1.7309799999999997</v>
      </c>
      <c r="V2" s="1">
        <f>($U2-$U$2)</f>
        <v>0</v>
      </c>
      <c r="W2" s="214">
        <f>($U2-$U$2)*0.001341022</f>
        <v>0</v>
      </c>
      <c r="X2" s="207">
        <v>0</v>
      </c>
      <c r="Y2" s="207">
        <v>0</v>
      </c>
      <c r="Z2" s="208">
        <f>$Q$38*(P2/$Q$31/100)^2</f>
        <v>7.5021579327112167E-58</v>
      </c>
      <c r="AA2" s="209">
        <f t="shared" ref="AA2:AA14" si="9">SQRT(Z2^3/4/$Q$28/$Q$34)</f>
        <v>2.0154592931120451E-85</v>
      </c>
      <c r="AB2" s="1"/>
      <c r="AC2" s="138">
        <f t="shared" ref="AC2:AC14" si="10">SQRT(Z2/$Q$34/$Q$28)</f>
        <v>5.3730121684699729E-28</v>
      </c>
      <c r="AD2" s="155">
        <f t="shared" ref="AD2:AD13" si="11">AC2*1/1.6/1000*3600</f>
        <v>1.2089277379057438E-27</v>
      </c>
      <c r="AE2" s="4">
        <f t="shared" ref="AE2:AE14" si="12">Q2/60*PI()*$C$40/1000</f>
        <v>0</v>
      </c>
      <c r="AF2" s="138">
        <f>AE2/AC2</f>
        <v>0</v>
      </c>
      <c r="AH2" s="208">
        <f t="shared" ref="AH2:AH14" si="13">D2/$Q$32*$Q$24</f>
        <v>0.24242141207313064</v>
      </c>
      <c r="AI2" s="208">
        <f t="shared" ref="AI2:AI14" si="14">AH2/$Q$24*$Q$32</f>
        <v>8.7271708346327035</v>
      </c>
      <c r="AJ2" s="209">
        <f t="shared" ref="AJ2:AJ14" si="15">MAX(($Q$42+$R$42*LN($AI2)),0)</f>
        <v>3.637978807091713E-12</v>
      </c>
      <c r="AK2" s="209">
        <f t="shared" ref="AK2:AK14" si="16">MAX(($Q$42+$R$42*LN(AI2))/$Q$31,0)</f>
        <v>7.8949192862233357E-15</v>
      </c>
      <c r="AL2" s="209">
        <f t="shared" ref="AL2:AL14" si="17">($Q$43+$R$43*AK2*$Q$31)/$Q$31</f>
        <v>-15.642895125478793</v>
      </c>
      <c r="AM2" s="209">
        <f t="shared" ref="AM2:AM14" si="18">($Q$44+$R$44*AL2*$Q$31)/$Q$31</f>
        <v>7.8112427403221024E-2</v>
      </c>
      <c r="AN2" s="1"/>
      <c r="AO2" s="1">
        <f t="shared" ref="AO2:AO14" si="19">MAX($Q$43+$R$43*AJ2, 0)</f>
        <v>0</v>
      </c>
      <c r="AP2" s="207"/>
      <c r="AQ2" s="207"/>
      <c r="AR2" s="207"/>
      <c r="AS2" s="1"/>
      <c r="AT2" s="207"/>
      <c r="AU2" s="1"/>
    </row>
    <row r="3" spans="1:51" ht="15" customHeight="1" x14ac:dyDescent="0.25">
      <c r="A3" t="s">
        <v>209</v>
      </c>
      <c r="B3" t="s">
        <v>187</v>
      </c>
      <c r="C3" s="200">
        <f t="shared" si="1"/>
        <v>1.0777777777777777</v>
      </c>
      <c r="D3" s="72">
        <v>14</v>
      </c>
      <c r="E3" s="98">
        <v>4.4000000000000003E-3</v>
      </c>
      <c r="F3" s="72">
        <v>12.17</v>
      </c>
      <c r="G3" s="96">
        <v>0.47</v>
      </c>
      <c r="H3" s="72">
        <v>6440</v>
      </c>
      <c r="I3" s="171">
        <v>1.0000000000000001E+32</v>
      </c>
      <c r="J3" s="60"/>
      <c r="K3" s="2">
        <f t="shared" si="2"/>
        <v>5.7199</v>
      </c>
      <c r="L3" s="1">
        <f t="shared" si="3"/>
        <v>14</v>
      </c>
      <c r="M3" s="21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38">
        <f>K3</f>
        <v>5.7199</v>
      </c>
      <c r="V3" s="1">
        <f t="shared" ref="V3:V14" si="20">($U3-$U$2)</f>
        <v>3.9889200000000002</v>
      </c>
      <c r="W3" s="214">
        <f t="shared" ref="W3:W14" si="21">($U3-$U$2)*0.001341022</f>
        <v>5.349229476240001E-3</v>
      </c>
      <c r="X3" s="210">
        <f>$W3/$P3*5252</f>
        <v>3.0154391111221401E-3</v>
      </c>
      <c r="Y3" s="210">
        <f>X3-$X$3</f>
        <v>0</v>
      </c>
      <c r="Z3" s="208">
        <f t="shared" ref="Z3:Z13" si="22">$Q$38*(P3/$Q$31/100)^2</f>
        <v>0.18088996211351843</v>
      </c>
      <c r="AA3" s="209">
        <f t="shared" si="9"/>
        <v>0.75459935371894959</v>
      </c>
      <c r="AB3" s="2">
        <f>AA3/U3*100</f>
        <v>13.192527032272411</v>
      </c>
      <c r="AC3" s="138">
        <f t="shared" si="10"/>
        <v>8.343186597003065</v>
      </c>
      <c r="AD3" s="155">
        <f t="shared" si="11"/>
        <v>18.772169843256897</v>
      </c>
      <c r="AE3" s="4">
        <f t="shared" si="12"/>
        <v>1.7278759594743859E-27</v>
      </c>
      <c r="AF3" s="138">
        <f t="shared" ref="AF3:AF14" si="23">AE3/AC3</f>
        <v>2.0710024154260815E-28</v>
      </c>
      <c r="AH3" s="208">
        <f t="shared" si="13"/>
        <v>0.3888888888888889</v>
      </c>
      <c r="AI3" s="208">
        <f t="shared" si="14"/>
        <v>14</v>
      </c>
      <c r="AJ3" s="209">
        <f t="shared" si="15"/>
        <v>6785.5755148519966</v>
      </c>
      <c r="AK3" s="209">
        <f t="shared" si="16"/>
        <v>14.725641308272561</v>
      </c>
      <c r="AL3" s="209">
        <f t="shared" si="17"/>
        <v>-1.2545891894708265</v>
      </c>
      <c r="AM3" s="209">
        <f t="shared" si="18"/>
        <v>14.784671930275822</v>
      </c>
      <c r="AN3" s="1"/>
      <c r="AO3" s="1">
        <f t="shared" si="19"/>
        <v>0</v>
      </c>
      <c r="AP3" s="207">
        <f t="shared" ref="AP3:AP14" si="24">MAX($J$48+$AJ3*($K$48+$AJ3*$L$48), 0)</f>
        <v>0</v>
      </c>
      <c r="AQ3" s="207">
        <f>AJ3*AP3/5252</f>
        <v>0</v>
      </c>
      <c r="AR3" s="211">
        <f t="shared" ref="AR3:AR14" si="25">MAX($K$48+$L$48*2*AJ3,1E-32)</f>
        <v>2.4735257773477766E-7</v>
      </c>
      <c r="AS3" s="208"/>
      <c r="AT3" s="1"/>
      <c r="AU3" s="208"/>
      <c r="AX3" s="111"/>
      <c r="AY3" s="87"/>
    </row>
    <row r="4" spans="1:51" ht="15" customHeight="1" x14ac:dyDescent="0.25">
      <c r="A4" t="s">
        <v>210</v>
      </c>
      <c r="B4" t="s">
        <v>220</v>
      </c>
      <c r="C4" s="200">
        <f t="shared" si="1"/>
        <v>1.1000000000000001</v>
      </c>
      <c r="D4" s="72">
        <v>18</v>
      </c>
      <c r="E4" s="98">
        <v>0.34300000000000003</v>
      </c>
      <c r="F4" s="72">
        <v>12.16</v>
      </c>
      <c r="G4" s="96">
        <v>0.64500000000000002</v>
      </c>
      <c r="H4" s="72">
        <v>5000</v>
      </c>
      <c r="I4" s="77">
        <v>13700</v>
      </c>
      <c r="J4" s="60"/>
      <c r="K4" s="2">
        <f t="shared" si="2"/>
        <v>7.8432000000000004</v>
      </c>
      <c r="L4" s="1">
        <f t="shared" si="3"/>
        <v>18</v>
      </c>
      <c r="M4" s="21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38">
        <f t="shared" si="0"/>
        <v>7.8432000000000004</v>
      </c>
      <c r="V4" s="209">
        <f t="shared" si="20"/>
        <v>6.1122200000000007</v>
      </c>
      <c r="W4" s="214">
        <f t="shared" si="21"/>
        <v>8.1966214888400009E-3</v>
      </c>
      <c r="X4" s="210">
        <f t="shared" ref="X4:X14" si="26">$W4/$P4*5252</f>
        <v>3.5873880049489735E-3</v>
      </c>
      <c r="Y4" s="210">
        <f t="shared" ref="Y4:Y14" si="27">X4-$X$3</f>
        <v>5.7194889382683337E-4</v>
      </c>
      <c r="Z4" s="208">
        <f t="shared" si="22"/>
        <v>0.30008631730844887</v>
      </c>
      <c r="AA4" s="209">
        <f t="shared" si="9"/>
        <v>1.6123674344896379</v>
      </c>
      <c r="AB4" s="2">
        <f t="shared" ref="AB4:AB13" si="28">AA4/U4*100</f>
        <v>20.557520329580246</v>
      </c>
      <c r="AC4" s="138">
        <f t="shared" si="10"/>
        <v>10.74602433693995</v>
      </c>
      <c r="AD4" s="155">
        <f t="shared" si="11"/>
        <v>24.178554758114885</v>
      </c>
      <c r="AE4" s="155">
        <f t="shared" si="12"/>
        <v>12.612233280834939</v>
      </c>
      <c r="AF4" s="138">
        <f t="shared" si="23"/>
        <v>1.1736650583862731</v>
      </c>
      <c r="AG4" s="131"/>
      <c r="AH4" s="208">
        <f t="shared" si="13"/>
        <v>0.5</v>
      </c>
      <c r="AI4" s="208">
        <f t="shared" si="14"/>
        <v>18</v>
      </c>
      <c r="AJ4" s="209">
        <f t="shared" si="15"/>
        <v>10393.817131718955</v>
      </c>
      <c r="AK4" s="209">
        <f t="shared" si="16"/>
        <v>22.556026761542871</v>
      </c>
      <c r="AL4" s="209">
        <f t="shared" si="17"/>
        <v>6.3964175911456653</v>
      </c>
      <c r="AM4" s="209">
        <f t="shared" si="18"/>
        <v>22.604910600238163</v>
      </c>
      <c r="AN4" s="2">
        <f t="shared" ref="AN4:AN14" si="29">AO4/$Q$31</f>
        <v>6.3964175911456653</v>
      </c>
      <c r="AO4" s="3">
        <f t="shared" si="19"/>
        <v>2947.4692259999229</v>
      </c>
      <c r="AP4" s="207">
        <f t="shared" si="24"/>
        <v>2.6622033396538156E-4</v>
      </c>
      <c r="AQ4" s="207">
        <f t="shared" ref="AQ4:AQ14" si="30">AJ4*AP4/5252</f>
        <v>5.268555727306407E-4</v>
      </c>
      <c r="AR4" s="211">
        <f t="shared" si="25"/>
        <v>3.2120770419494546E-7</v>
      </c>
      <c r="AS4" s="208">
        <f t="shared" ref="AS4:AS14" si="31">$Q$36/AR4</f>
        <v>0.11651905298660416</v>
      </c>
      <c r="AT4" s="212">
        <f t="shared" ref="AT4:AT14" si="32">$Q$45*$Q$28*$Q$37^2*$Q$34*PI()/240*($AC4-$Q$47)/$Q$46*$Q$35</f>
        <v>-1.8876207583522572E-8</v>
      </c>
      <c r="AU4" s="145">
        <f t="shared" ref="AU4:AU5" si="33">-$Q$36/AT4</f>
        <v>1.9827508962905749</v>
      </c>
      <c r="AX4" s="110"/>
      <c r="AY4" s="87"/>
    </row>
    <row r="5" spans="1:51" ht="13.9" customHeight="1" x14ac:dyDescent="0.25">
      <c r="A5" t="s">
        <v>211</v>
      </c>
      <c r="B5" s="156">
        <v>16</v>
      </c>
      <c r="C5" s="200">
        <f t="shared" si="1"/>
        <v>1.1333333333333333</v>
      </c>
      <c r="D5" s="72">
        <v>24</v>
      </c>
      <c r="E5" s="72">
        <v>0.58099999999999996</v>
      </c>
      <c r="F5" s="72">
        <v>12.15</v>
      </c>
      <c r="G5" s="72">
        <v>1.0349999999999999</v>
      </c>
      <c r="H5" s="72">
        <v>4040</v>
      </c>
      <c r="I5" s="77">
        <v>8000</v>
      </c>
      <c r="J5" s="60"/>
      <c r="K5" s="2">
        <f t="shared" si="2"/>
        <v>12.575249999999999</v>
      </c>
      <c r="L5" s="1">
        <f t="shared" si="3"/>
        <v>24</v>
      </c>
      <c r="M5" s="21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38">
        <f t="shared" si="0"/>
        <v>12.575249999999999</v>
      </c>
      <c r="V5" s="209">
        <f t="shared" si="20"/>
        <v>10.844269999999998</v>
      </c>
      <c r="W5" s="214">
        <f t="shared" si="21"/>
        <v>1.4542404643939999E-2</v>
      </c>
      <c r="X5" s="210">
        <f t="shared" si="26"/>
        <v>5.1426984187915069E-3</v>
      </c>
      <c r="Y5" s="210">
        <f t="shared" si="27"/>
        <v>2.1272593076693668E-3</v>
      </c>
      <c r="Z5" s="208">
        <f t="shared" si="22"/>
        <v>0.45964598646647487</v>
      </c>
      <c r="AA5" s="209">
        <f t="shared" si="9"/>
        <v>3.0565389585058838</v>
      </c>
      <c r="AB5" s="2">
        <f t="shared" si="28"/>
        <v>24.305989610591315</v>
      </c>
      <c r="AC5" s="138">
        <f t="shared" si="10"/>
        <v>13.299535070470231</v>
      </c>
      <c r="AD5" s="155">
        <f t="shared" si="11"/>
        <v>29.923953908558019</v>
      </c>
      <c r="AE5" s="155">
        <f t="shared" si="12"/>
        <v>21.598449493429833</v>
      </c>
      <c r="AF5" s="138">
        <f t="shared" si="23"/>
        <v>1.6240003412890867</v>
      </c>
      <c r="AG5" s="131"/>
      <c r="AH5" s="208">
        <f t="shared" si="13"/>
        <v>0.66666666666666663</v>
      </c>
      <c r="AI5" s="208">
        <f t="shared" si="14"/>
        <v>24</v>
      </c>
      <c r="AJ5" s="209">
        <f t="shared" si="15"/>
        <v>14524.206434663385</v>
      </c>
      <c r="AK5" s="209">
        <f t="shared" si="16"/>
        <v>31.519545214113247</v>
      </c>
      <c r="AL5" s="209">
        <f t="shared" si="17"/>
        <v>15.154599530983003</v>
      </c>
      <c r="AM5" s="209">
        <f t="shared" si="18"/>
        <v>31.556813931182923</v>
      </c>
      <c r="AN5" s="2">
        <f t="shared" si="29"/>
        <v>15.154599530983003</v>
      </c>
      <c r="AO5" s="3">
        <f t="shared" si="19"/>
        <v>6983.2394638769674</v>
      </c>
      <c r="AP5" s="207">
        <f t="shared" si="24"/>
        <v>1.7675302944863986E-3</v>
      </c>
      <c r="AQ5" s="207">
        <f t="shared" si="30"/>
        <v>4.8880378668396457E-3</v>
      </c>
      <c r="AR5" s="211">
        <f t="shared" si="25"/>
        <v>4.0575038639025837E-7</v>
      </c>
      <c r="AS5" s="208">
        <f t="shared" si="31"/>
        <v>9.2240990422122499E-2</v>
      </c>
      <c r="AT5" s="212">
        <f t="shared" si="32"/>
        <v>-8.3486162361379105E-8</v>
      </c>
      <c r="AU5" s="145">
        <f t="shared" si="33"/>
        <v>0.44829965165712371</v>
      </c>
      <c r="AX5" s="110"/>
      <c r="AY5" s="87"/>
    </row>
    <row r="6" spans="1:51" ht="13.9" customHeight="1" x14ac:dyDescent="0.25">
      <c r="A6" t="s">
        <v>212</v>
      </c>
      <c r="B6" s="156">
        <v>20</v>
      </c>
      <c r="C6" s="200">
        <f t="shared" si="1"/>
        <v>1.1555555555555554</v>
      </c>
      <c r="D6" s="72">
        <v>28</v>
      </c>
      <c r="E6" s="72">
        <v>0.68400000000000005</v>
      </c>
      <c r="F6" s="72">
        <v>12.15</v>
      </c>
      <c r="G6" s="72">
        <v>1.232</v>
      </c>
      <c r="H6" s="72">
        <v>3620</v>
      </c>
      <c r="I6" s="77">
        <v>6800</v>
      </c>
      <c r="J6" s="60"/>
      <c r="K6" s="2">
        <f t="shared" si="2"/>
        <v>14.9688</v>
      </c>
      <c r="L6" s="1">
        <f t="shared" si="3"/>
        <v>28</v>
      </c>
      <c r="M6" s="21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38">
        <f t="shared" si="0"/>
        <v>14.9688</v>
      </c>
      <c r="V6" s="209">
        <f t="shared" si="20"/>
        <v>13.237819999999999</v>
      </c>
      <c r="W6" s="214">
        <f t="shared" si="21"/>
        <v>1.775220785204E-2</v>
      </c>
      <c r="X6" s="210">
        <f t="shared" si="26"/>
        <v>5.6251539368811498E-3</v>
      </c>
      <c r="Y6" s="210">
        <f t="shared" si="27"/>
        <v>2.6097148257590097E-3</v>
      </c>
      <c r="Z6" s="208">
        <f t="shared" si="22"/>
        <v>0.57249152442776585</v>
      </c>
      <c r="AA6" s="209">
        <f t="shared" si="9"/>
        <v>4.2486242086965618</v>
      </c>
      <c r="AB6" s="2">
        <f t="shared" si="28"/>
        <v>28.383198444074086</v>
      </c>
      <c r="AC6" s="138">
        <f t="shared" si="10"/>
        <v>14.842575051022024</v>
      </c>
      <c r="AD6" s="155">
        <f t="shared" si="11"/>
        <v>33.395793864799558</v>
      </c>
      <c r="AE6" s="155">
        <f t="shared" si="12"/>
        <v>25.409940580505676</v>
      </c>
      <c r="AF6" s="138">
        <f t="shared" si="23"/>
        <v>1.7119630854590835</v>
      </c>
      <c r="AG6" s="131"/>
      <c r="AH6" s="208">
        <f t="shared" si="13"/>
        <v>0.77777777777777779</v>
      </c>
      <c r="AI6" s="208">
        <f t="shared" si="14"/>
        <v>28</v>
      </c>
      <c r="AJ6" s="209">
        <f t="shared" si="15"/>
        <v>16737.421577247005</v>
      </c>
      <c r="AK6" s="209">
        <f t="shared" si="16"/>
        <v>36.322529464511732</v>
      </c>
      <c r="AL6" s="209">
        <f t="shared" si="17"/>
        <v>19.847556893847639</v>
      </c>
      <c r="AM6" s="209">
        <f t="shared" si="18"/>
        <v>36.353574370415124</v>
      </c>
      <c r="AN6" s="2">
        <f t="shared" si="29"/>
        <v>19.847556893847635</v>
      </c>
      <c r="AO6" s="3">
        <f t="shared" si="19"/>
        <v>9145.7542166849908</v>
      </c>
      <c r="AP6" s="207">
        <f t="shared" si="24"/>
        <v>2.7156737247799462E-3</v>
      </c>
      <c r="AQ6" s="207">
        <f t="shared" si="30"/>
        <v>8.6544889561870949E-3</v>
      </c>
      <c r="AR6" s="211">
        <f t="shared" si="25"/>
        <v>4.5105147805634301E-7</v>
      </c>
      <c r="AS6" s="208">
        <f t="shared" si="31"/>
        <v>8.297682044203647E-2</v>
      </c>
      <c r="AT6" s="212">
        <f t="shared" si="32"/>
        <v>-1.2252878006208664E-7</v>
      </c>
      <c r="AU6" s="145">
        <f t="shared" ref="AU6:AU14" si="34">-$Q$36/AT6</f>
        <v>0.30545327788158633</v>
      </c>
      <c r="AX6" s="110"/>
      <c r="AY6" s="87"/>
    </row>
    <row r="7" spans="1:51" ht="13.9" customHeight="1" x14ac:dyDescent="0.25">
      <c r="A7" t="s">
        <v>213</v>
      </c>
      <c r="B7" s="156">
        <v>25</v>
      </c>
      <c r="C7" s="200">
        <f t="shared" si="1"/>
        <v>1.2</v>
      </c>
      <c r="D7" s="72">
        <v>36</v>
      </c>
      <c r="E7" s="72">
        <v>0.95099999999999996</v>
      </c>
      <c r="F7" s="72">
        <v>12.12</v>
      </c>
      <c r="G7" s="72">
        <v>1.7829999999999999</v>
      </c>
      <c r="H7" s="72">
        <v>2980</v>
      </c>
      <c r="I7" s="77">
        <v>4960</v>
      </c>
      <c r="J7" s="60"/>
      <c r="K7" s="2">
        <f t="shared" si="2"/>
        <v>21.609959999999997</v>
      </c>
      <c r="L7" s="1">
        <f t="shared" si="3"/>
        <v>36</v>
      </c>
      <c r="M7" s="21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38">
        <f t="shared" si="0"/>
        <v>21.609959999999997</v>
      </c>
      <c r="V7" s="209">
        <f t="shared" si="20"/>
        <v>19.878979999999999</v>
      </c>
      <c r="W7" s="214">
        <f t="shared" si="21"/>
        <v>2.6658149517560001E-2</v>
      </c>
      <c r="X7" s="210">
        <f t="shared" si="26"/>
        <v>6.9537605295558478E-3</v>
      </c>
      <c r="Y7" s="210">
        <f t="shared" si="27"/>
        <v>3.9383214184337077E-3</v>
      </c>
      <c r="Z7" s="208">
        <f t="shared" si="22"/>
        <v>0.84479955100121806</v>
      </c>
      <c r="AA7" s="209">
        <f t="shared" si="9"/>
        <v>7.6159702473951594</v>
      </c>
      <c r="AB7" s="2">
        <f t="shared" si="28"/>
        <v>35.242870636480397</v>
      </c>
      <c r="AC7" s="138">
        <f t="shared" si="10"/>
        <v>18.030242176073738</v>
      </c>
      <c r="AD7" s="155">
        <f t="shared" si="11"/>
        <v>40.568044896165901</v>
      </c>
      <c r="AE7" s="155">
        <f t="shared" si="12"/>
        <v>34.836208860370697</v>
      </c>
      <c r="AF7" s="138">
        <f t="shared" si="23"/>
        <v>1.9320987771644353</v>
      </c>
      <c r="AG7" s="131"/>
      <c r="AH7" s="208">
        <f t="shared" si="13"/>
        <v>1</v>
      </c>
      <c r="AI7" s="208">
        <f t="shared" si="14"/>
        <v>36</v>
      </c>
      <c r="AJ7" s="213">
        <f t="shared" si="15"/>
        <v>20345.663194113957</v>
      </c>
      <c r="AK7" s="213">
        <f t="shared" si="16"/>
        <v>44.15291491778202</v>
      </c>
      <c r="AL7" s="213">
        <f t="shared" si="17"/>
        <v>27.498563674464105</v>
      </c>
      <c r="AM7" s="213">
        <f t="shared" si="18"/>
        <v>44.173813040377432</v>
      </c>
      <c r="AN7" s="9">
        <f t="shared" si="29"/>
        <v>27.498563674464116</v>
      </c>
      <c r="AO7" s="10">
        <f t="shared" si="19"/>
        <v>12671.338141193064</v>
      </c>
      <c r="AP7" s="210">
        <f t="shared" si="24"/>
        <v>4.4764200097084676E-3</v>
      </c>
      <c r="AQ7" s="210">
        <f t="shared" si="30"/>
        <v>1.7341152671919421E-2</v>
      </c>
      <c r="AR7" s="212">
        <f t="shared" si="25"/>
        <v>5.2490660451651071E-7</v>
      </c>
      <c r="AS7" s="208">
        <f t="shared" si="31"/>
        <v>7.1301860526731251E-2</v>
      </c>
      <c r="AT7" s="212">
        <f t="shared" si="32"/>
        <v>-2.0318441471129533E-7</v>
      </c>
      <c r="AU7" s="145">
        <f t="shared" si="34"/>
        <v>0.18420122211625375</v>
      </c>
      <c r="AX7" s="110"/>
      <c r="AY7" s="87"/>
    </row>
    <row r="8" spans="1:51" ht="13.9" customHeight="1" x14ac:dyDescent="0.25">
      <c r="A8" t="s">
        <v>214</v>
      </c>
      <c r="B8" s="156">
        <v>36</v>
      </c>
      <c r="C8" s="200">
        <f t="shared" si="1"/>
        <v>1.2888888888888888</v>
      </c>
      <c r="D8" s="72">
        <v>52</v>
      </c>
      <c r="E8" s="72">
        <v>1.3580000000000001</v>
      </c>
      <c r="F8" s="72">
        <v>12.07</v>
      </c>
      <c r="G8" s="72">
        <v>3.07</v>
      </c>
      <c r="H8" s="72">
        <v>2480</v>
      </c>
      <c r="I8" s="77">
        <v>3520</v>
      </c>
      <c r="J8" s="60"/>
      <c r="K8" s="2">
        <f t="shared" si="2"/>
        <v>37.054899999999996</v>
      </c>
      <c r="L8" s="1">
        <f t="shared" si="3"/>
        <v>52</v>
      </c>
      <c r="M8" s="21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38">
        <f t="shared" si="0"/>
        <v>37.054899999999996</v>
      </c>
      <c r="V8" s="209">
        <f t="shared" si="20"/>
        <v>35.323919999999994</v>
      </c>
      <c r="W8" s="214">
        <f t="shared" si="21"/>
        <v>4.7370153846239993E-2</v>
      </c>
      <c r="X8" s="210">
        <f t="shared" si="26"/>
        <v>1.0283239317352035E-2</v>
      </c>
      <c r="Y8" s="210">
        <f t="shared" si="27"/>
        <v>7.2678002062298947E-3</v>
      </c>
      <c r="Z8" s="208">
        <f t="shared" si="22"/>
        <v>1.2197837429616314</v>
      </c>
      <c r="AA8" s="209">
        <f t="shared" si="9"/>
        <v>13.213534060150598</v>
      </c>
      <c r="AB8" s="2">
        <f t="shared" si="28"/>
        <v>35.659343461055357</v>
      </c>
      <c r="AC8" s="138">
        <f t="shared" si="10"/>
        <v>21.665371647056347</v>
      </c>
      <c r="AD8" s="155">
        <f t="shared" si="11"/>
        <v>48.747086205876784</v>
      </c>
      <c r="AE8" s="155">
        <f t="shared" si="12"/>
        <v>49.087385212340514</v>
      </c>
      <c r="AF8" s="138">
        <f t="shared" si="23"/>
        <v>2.2657070468029552</v>
      </c>
      <c r="AG8" s="131"/>
      <c r="AH8" s="208">
        <f t="shared" si="13"/>
        <v>1.4444444444444442</v>
      </c>
      <c r="AI8" s="208">
        <f t="shared" si="14"/>
        <v>51.999999999999993</v>
      </c>
      <c r="AJ8" s="209">
        <f t="shared" si="15"/>
        <v>25625.263988535306</v>
      </c>
      <c r="AK8" s="209">
        <f t="shared" si="16"/>
        <v>55.61038191956446</v>
      </c>
      <c r="AL8" s="209">
        <f t="shared" si="17"/>
        <v>38.693562725592052</v>
      </c>
      <c r="AM8" s="209">
        <f t="shared" si="18"/>
        <v>55.616433207911548</v>
      </c>
      <c r="AN8" s="2">
        <f t="shared" si="29"/>
        <v>38.693562725592052</v>
      </c>
      <c r="AO8" s="3">
        <f t="shared" si="19"/>
        <v>17829.993703952819</v>
      </c>
      <c r="AP8" s="207">
        <f t="shared" si="24"/>
        <v>7.5329880637879515E-3</v>
      </c>
      <c r="AQ8" s="207">
        <f t="shared" si="30"/>
        <v>3.6754533083977851E-2</v>
      </c>
      <c r="AR8" s="211">
        <f t="shared" si="25"/>
        <v>6.3297186891245887E-7</v>
      </c>
      <c r="AS8" s="208">
        <f t="shared" si="31"/>
        <v>5.9128721737825796E-2</v>
      </c>
      <c r="AT8" s="212">
        <f t="shared" si="32"/>
        <v>-2.9516192146221993E-7</v>
      </c>
      <c r="AU8" s="145">
        <f t="shared" si="34"/>
        <v>0.12680096849683531</v>
      </c>
      <c r="AX8" s="110"/>
      <c r="AY8" s="87"/>
    </row>
    <row r="9" spans="1:51" ht="13.9" customHeight="1" x14ac:dyDescent="0.25">
      <c r="A9" t="s">
        <v>215</v>
      </c>
      <c r="B9" s="156">
        <v>45</v>
      </c>
      <c r="C9" s="200">
        <f t="shared" si="1"/>
        <v>1.4055555555555554</v>
      </c>
      <c r="D9" s="72">
        <v>73</v>
      </c>
      <c r="E9" s="72">
        <v>1.639</v>
      </c>
      <c r="F9" s="72">
        <v>11.97</v>
      </c>
      <c r="G9" s="72">
        <v>4.45</v>
      </c>
      <c r="H9" s="72">
        <v>2100</v>
      </c>
      <c r="I9" s="77">
        <v>2820</v>
      </c>
      <c r="J9" s="60"/>
      <c r="K9" s="2">
        <f t="shared" si="2"/>
        <v>53.266500000000008</v>
      </c>
      <c r="L9" s="1">
        <f t="shared" si="3"/>
        <v>73</v>
      </c>
      <c r="M9" s="21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38">
        <f t="shared" si="0"/>
        <v>53.266500000000008</v>
      </c>
      <c r="V9" s="209">
        <f t="shared" si="20"/>
        <v>51.535520000000005</v>
      </c>
      <c r="W9" s="214">
        <f t="shared" si="21"/>
        <v>6.9110266101440013E-2</v>
      </c>
      <c r="X9" s="210">
        <f t="shared" si="26"/>
        <v>1.2703849114766703E-2</v>
      </c>
      <c r="Y9" s="210">
        <f t="shared" si="27"/>
        <v>9.6884100036445618E-3</v>
      </c>
      <c r="Z9" s="208">
        <f t="shared" si="22"/>
        <v>1.7011695992542446</v>
      </c>
      <c r="AA9" s="209">
        <f t="shared" si="9"/>
        <v>21.762868946248204</v>
      </c>
      <c r="AB9" s="2">
        <f t="shared" si="28"/>
        <v>40.856577673111993</v>
      </c>
      <c r="AC9" s="138">
        <f t="shared" si="10"/>
        <v>25.5857722308094</v>
      </c>
      <c r="AD9" s="155">
        <f t="shared" si="11"/>
        <v>57.56798751932115</v>
      </c>
      <c r="AE9" s="155">
        <f t="shared" si="12"/>
        <v>61.27219714448178</v>
      </c>
      <c r="AF9" s="145">
        <f t="shared" si="23"/>
        <v>2.3947761510477359</v>
      </c>
      <c r="AG9" s="131">
        <f>$M$42/($Q$28*$Q$37*$Q$34*($AC9-$Q$47)^2/4/$AF9)/(PI()*$Q$37/60/($AC9-$Q$47))</f>
        <v>-0.8912869937072404</v>
      </c>
      <c r="AH9" s="208">
        <f t="shared" si="13"/>
        <v>2.0277777777777777</v>
      </c>
      <c r="AI9" s="208">
        <f t="shared" si="14"/>
        <v>73</v>
      </c>
      <c r="AJ9" s="209">
        <f t="shared" si="15"/>
        <v>30495.546588838792</v>
      </c>
      <c r="AK9" s="209">
        <f t="shared" si="16"/>
        <v>66.179571590361959</v>
      </c>
      <c r="AL9" s="209">
        <f t="shared" si="17"/>
        <v>49.020633125826407</v>
      </c>
      <c r="AM9" s="209">
        <f t="shared" si="18"/>
        <v>66.171927093492542</v>
      </c>
      <c r="AN9" s="2">
        <f t="shared" si="29"/>
        <v>49.020633125826407</v>
      </c>
      <c r="AO9" s="3">
        <f t="shared" si="19"/>
        <v>22588.707744380808</v>
      </c>
      <c r="AP9" s="207">
        <f t="shared" si="24"/>
        <v>1.0858492248972243E-2</v>
      </c>
      <c r="AQ9" s="207">
        <f t="shared" si="30"/>
        <v>6.3049439501728463E-2</v>
      </c>
      <c r="AR9" s="211">
        <f t="shared" si="25"/>
        <v>7.3265902280502244E-7</v>
      </c>
      <c r="AS9" s="208">
        <f t="shared" si="31"/>
        <v>5.1083541374411588E-2</v>
      </c>
      <c r="AT9" s="212">
        <f t="shared" si="32"/>
        <v>-3.943574725524552E-7</v>
      </c>
      <c r="AU9" s="145">
        <f t="shared" si="34"/>
        <v>9.4905815433275503E-2</v>
      </c>
      <c r="AX9" s="110"/>
      <c r="AY9" s="87"/>
    </row>
    <row r="10" spans="1:51" ht="13.9" customHeight="1" x14ac:dyDescent="0.25">
      <c r="A10" t="s">
        <v>216</v>
      </c>
      <c r="B10" s="156">
        <v>50</v>
      </c>
      <c r="C10" s="200">
        <f t="shared" si="1"/>
        <v>1.5222222222222221</v>
      </c>
      <c r="D10" s="72">
        <v>94</v>
      </c>
      <c r="E10" s="72">
        <v>1.93</v>
      </c>
      <c r="F10" s="72">
        <v>11.92</v>
      </c>
      <c r="G10" s="72">
        <v>6.4</v>
      </c>
      <c r="H10" s="72">
        <v>1800</v>
      </c>
      <c r="I10" s="77">
        <v>2400</v>
      </c>
      <c r="J10" s="60"/>
      <c r="K10" s="2">
        <f t="shared" si="2"/>
        <v>76.287999999999997</v>
      </c>
      <c r="L10" s="1">
        <f t="shared" si="3"/>
        <v>94</v>
      </c>
      <c r="M10" s="21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38">
        <f t="shared" si="0"/>
        <v>76.287999999999997</v>
      </c>
      <c r="V10" s="209">
        <f t="shared" si="20"/>
        <v>74.557019999999994</v>
      </c>
      <c r="W10" s="214">
        <f t="shared" si="21"/>
        <v>9.9982604074439999E-2</v>
      </c>
      <c r="X10" s="210">
        <f t="shared" si="26"/>
        <v>1.5753259097968767E-2</v>
      </c>
      <c r="Y10" s="210">
        <f t="shared" si="27"/>
        <v>1.2737819986846626E-2</v>
      </c>
      <c r="Z10" s="208">
        <f t="shared" si="22"/>
        <v>2.3154808434293885</v>
      </c>
      <c r="AA10" s="209">
        <f t="shared" si="9"/>
        <v>34.558629854458957</v>
      </c>
      <c r="AB10" s="2">
        <f t="shared" si="28"/>
        <v>45.300217405698092</v>
      </c>
      <c r="AC10" s="138">
        <f t="shared" si="10"/>
        <v>29.85006760261097</v>
      </c>
      <c r="AD10" s="155">
        <f t="shared" si="11"/>
        <v>67.16265210587467</v>
      </c>
      <c r="AE10" s="155">
        <f t="shared" si="12"/>
        <v>71.994831644766094</v>
      </c>
      <c r="AF10" s="145">
        <f t="shared" si="23"/>
        <v>2.4118816949837911</v>
      </c>
      <c r="AG10" s="131"/>
      <c r="AH10" s="208">
        <f t="shared" si="13"/>
        <v>2.6111111111111112</v>
      </c>
      <c r="AI10" s="208">
        <f t="shared" si="14"/>
        <v>94</v>
      </c>
      <c r="AJ10" s="209">
        <f t="shared" si="15"/>
        <v>34125.624679819084</v>
      </c>
      <c r="AK10" s="209">
        <f t="shared" si="16"/>
        <v>74.05734522530183</v>
      </c>
      <c r="AL10" s="209">
        <f t="shared" si="17"/>
        <v>56.717942518420131</v>
      </c>
      <c r="AM10" s="209">
        <f t="shared" si="18"/>
        <v>74.039492538490805</v>
      </c>
      <c r="AN10" s="2">
        <f t="shared" si="29"/>
        <v>56.717942518420131</v>
      </c>
      <c r="AO10" s="3">
        <f t="shared" si="19"/>
        <v>26135.627912487998</v>
      </c>
      <c r="AP10" s="207">
        <f t="shared" si="24"/>
        <v>1.3652962901831924E-2</v>
      </c>
      <c r="AQ10" s="207">
        <f t="shared" si="30"/>
        <v>8.8712088300725425E-2</v>
      </c>
      <c r="AR10" s="211">
        <f t="shared" si="25"/>
        <v>8.0696110812447108E-7</v>
      </c>
      <c r="AS10" s="208">
        <f t="shared" si="31"/>
        <v>4.6379952054669979E-2</v>
      </c>
      <c r="AT10" s="212">
        <f t="shared" si="32"/>
        <v>-5.0225438777341294E-7</v>
      </c>
      <c r="AU10" s="145">
        <f t="shared" si="34"/>
        <v>7.4517651644053051E-2</v>
      </c>
      <c r="AX10" s="130"/>
      <c r="AY10" s="132"/>
    </row>
    <row r="11" spans="1:51" ht="13.9" customHeight="1" x14ac:dyDescent="0.25">
      <c r="A11" t="s">
        <v>217</v>
      </c>
      <c r="B11" s="156">
        <v>52</v>
      </c>
      <c r="C11" s="200">
        <f t="shared" si="1"/>
        <v>1.55</v>
      </c>
      <c r="D11" s="72">
        <v>99</v>
      </c>
      <c r="E11" s="72">
        <v>1.96</v>
      </c>
      <c r="F11" s="72">
        <v>11.87</v>
      </c>
      <c r="G11" s="72">
        <v>6.96</v>
      </c>
      <c r="H11" s="72">
        <v>1760</v>
      </c>
      <c r="I11" s="77">
        <v>2320</v>
      </c>
      <c r="J11" s="60"/>
      <c r="K11" s="2">
        <f t="shared" si="2"/>
        <v>82.615199999999987</v>
      </c>
      <c r="L11" s="1">
        <f t="shared" si="3"/>
        <v>99</v>
      </c>
      <c r="M11" s="21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38">
        <f t="shared" si="0"/>
        <v>82.615199999999987</v>
      </c>
      <c r="V11" s="209">
        <f t="shared" si="20"/>
        <v>80.884219999999985</v>
      </c>
      <c r="W11" s="214">
        <f t="shared" si="21"/>
        <v>0.10846751847283999</v>
      </c>
      <c r="X11" s="210">
        <f t="shared" si="26"/>
        <v>1.6710361272567767E-2</v>
      </c>
      <c r="Y11" s="210">
        <f t="shared" si="27"/>
        <v>1.3694922161445626E-2</v>
      </c>
      <c r="Z11" s="208">
        <f t="shared" si="22"/>
        <v>2.4219259855085276</v>
      </c>
      <c r="AA11" s="209">
        <f t="shared" si="9"/>
        <v>36.968857361565192</v>
      </c>
      <c r="AB11" s="2">
        <f t="shared" si="28"/>
        <v>44.748251364839881</v>
      </c>
      <c r="AC11" s="138">
        <f t="shared" si="10"/>
        <v>30.52847822994303</v>
      </c>
      <c r="AD11" s="155">
        <f t="shared" si="11"/>
        <v>68.689076017371818</v>
      </c>
      <c r="AE11" s="155">
        <f t="shared" si="12"/>
        <v>74.477412046309752</v>
      </c>
      <c r="AF11" s="143">
        <f t="shared" si="23"/>
        <v>2.4396044730870536</v>
      </c>
      <c r="AG11" s="139">
        <f>$M$42/($Q$28*$Q$37*$Q$34*($AC11-$Q$47)^2/4/$AF11)/(PI()*$Q$37/60/($AC11-$Q$47))</f>
        <v>-0.6893561180402269</v>
      </c>
      <c r="AH11" s="208">
        <f t="shared" si="13"/>
        <v>2.75</v>
      </c>
      <c r="AI11" s="208">
        <f t="shared" si="14"/>
        <v>99.000000000000014</v>
      </c>
      <c r="AJ11" s="209">
        <f t="shared" si="15"/>
        <v>34869.702001384307</v>
      </c>
      <c r="AK11" s="209">
        <f t="shared" si="16"/>
        <v>75.672096357170801</v>
      </c>
      <c r="AL11" s="209">
        <f t="shared" si="17"/>
        <v>58.29570288956225</v>
      </c>
      <c r="AM11" s="209">
        <f t="shared" si="18"/>
        <v>75.652151240819862</v>
      </c>
      <c r="AN11" s="2">
        <f t="shared" si="29"/>
        <v>58.29570288956225</v>
      </c>
      <c r="AO11" s="3">
        <f t="shared" si="19"/>
        <v>26862.659891510284</v>
      </c>
      <c r="AP11" s="207">
        <f t="shared" si="24"/>
        <v>1.4259070552320049E-2</v>
      </c>
      <c r="AQ11" s="207">
        <f t="shared" si="30"/>
        <v>9.4670514275726286E-2</v>
      </c>
      <c r="AR11" s="211">
        <f t="shared" si="25"/>
        <v>8.2219122032745008E-7</v>
      </c>
      <c r="AS11" s="208">
        <f t="shared" si="31"/>
        <v>4.5520818733494298E-2</v>
      </c>
      <c r="AT11" s="212">
        <f t="shared" si="32"/>
        <v>-5.1941980610401968E-7</v>
      </c>
      <c r="AU11" s="145">
        <f t="shared" si="34"/>
        <v>7.2055045004004295E-2</v>
      </c>
      <c r="AX11" s="110"/>
      <c r="AY11" s="87"/>
    </row>
    <row r="12" spans="1:51" ht="13.9" customHeight="1" x14ac:dyDescent="0.25">
      <c r="A12" t="s">
        <v>218</v>
      </c>
      <c r="B12" s="156">
        <v>55</v>
      </c>
      <c r="C12" s="200">
        <f t="shared" si="1"/>
        <v>1.6111111111111112</v>
      </c>
      <c r="D12" s="72">
        <v>110</v>
      </c>
      <c r="E12" s="72">
        <v>2.17</v>
      </c>
      <c r="F12" s="72">
        <v>11.8</v>
      </c>
      <c r="G12" s="72">
        <v>8.1300000000000008</v>
      </c>
      <c r="H12" s="72">
        <v>1640</v>
      </c>
      <c r="I12" s="77">
        <v>2120</v>
      </c>
      <c r="J12" s="60"/>
      <c r="K12" s="2">
        <f t="shared" si="2"/>
        <v>95.934000000000012</v>
      </c>
      <c r="L12" s="1">
        <f t="shared" si="3"/>
        <v>110</v>
      </c>
      <c r="M12" s="21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38">
        <f t="shared" si="0"/>
        <v>95.934000000000012</v>
      </c>
      <c r="V12" s="209">
        <f t="shared" si="20"/>
        <v>94.203020000000009</v>
      </c>
      <c r="W12" s="214">
        <f t="shared" si="21"/>
        <v>0.12632832228644003</v>
      </c>
      <c r="X12" s="210">
        <f t="shared" si="26"/>
        <v>1.8135020196389139E-2</v>
      </c>
      <c r="Y12" s="210">
        <f t="shared" si="27"/>
        <v>1.5119581085266998E-2</v>
      </c>
      <c r="Z12" s="208">
        <f t="shared" si="22"/>
        <v>2.7893210636195782</v>
      </c>
      <c r="AA12" s="209">
        <f t="shared" si="9"/>
        <v>45.692243953041476</v>
      </c>
      <c r="AB12" s="2">
        <f t="shared" si="28"/>
        <v>47.628832273272742</v>
      </c>
      <c r="AC12" s="138">
        <f t="shared" si="10"/>
        <v>32.762269319938866</v>
      </c>
      <c r="AD12" s="155">
        <f t="shared" si="11"/>
        <v>73.715105969862449</v>
      </c>
      <c r="AE12" s="155">
        <f t="shared" si="12"/>
        <v>81.503582994074819</v>
      </c>
      <c r="AF12" s="145">
        <f t="shared" si="23"/>
        <v>2.4877270313040363</v>
      </c>
      <c r="AG12" s="131"/>
      <c r="AH12" s="208">
        <f t="shared" si="13"/>
        <v>3.0555555555555558</v>
      </c>
      <c r="AI12" s="208">
        <f t="shared" si="14"/>
        <v>110.00000000000001</v>
      </c>
      <c r="AJ12" s="209">
        <f t="shared" si="15"/>
        <v>36382.413388357301</v>
      </c>
      <c r="AK12" s="209">
        <f t="shared" si="16"/>
        <v>78.954890165705947</v>
      </c>
      <c r="AL12" s="209">
        <f t="shared" si="17"/>
        <v>61.503294372556027</v>
      </c>
      <c r="AM12" s="209">
        <f t="shared" si="18"/>
        <v>78.930691133935539</v>
      </c>
      <c r="AN12" s="2">
        <f t="shared" si="29"/>
        <v>61.503294372556027</v>
      </c>
      <c r="AO12" s="3">
        <f t="shared" si="19"/>
        <v>28340.718046873819</v>
      </c>
      <c r="AP12" s="207">
        <f t="shared" si="24"/>
        <v>1.5526227511280348E-2</v>
      </c>
      <c r="AQ12" s="207">
        <f t="shared" si="30"/>
        <v>0.10755552697583542</v>
      </c>
      <c r="AR12" s="211">
        <f t="shared" si="25"/>
        <v>8.5315408330768326E-7</v>
      </c>
      <c r="AS12" s="208">
        <f t="shared" si="31"/>
        <v>4.3868766776210391E-2</v>
      </c>
      <c r="AT12" s="212">
        <f t="shared" si="32"/>
        <v>-5.7594008597309125E-7</v>
      </c>
      <c r="AU12" s="145">
        <f t="shared" si="34"/>
        <v>6.4983873177643273E-2</v>
      </c>
      <c r="AX12" s="110"/>
      <c r="AY12" s="87"/>
    </row>
    <row r="13" spans="1:51" ht="13.9" customHeight="1" x14ac:dyDescent="0.25">
      <c r="A13" t="s">
        <v>218</v>
      </c>
      <c r="B13" s="156">
        <v>62</v>
      </c>
      <c r="C13" s="200">
        <f t="shared" si="1"/>
        <v>1.7333333333333334</v>
      </c>
      <c r="D13" s="72">
        <v>132</v>
      </c>
      <c r="E13" s="72">
        <v>2.62</v>
      </c>
      <c r="F13" s="72">
        <v>11.68</v>
      </c>
      <c r="G13" s="72">
        <v>11.7</v>
      </c>
      <c r="H13" s="72">
        <v>1460</v>
      </c>
      <c r="I13" s="77">
        <v>1840</v>
      </c>
      <c r="J13" s="60"/>
      <c r="K13" s="2">
        <f t="shared" si="2"/>
        <v>136.65599999999998</v>
      </c>
      <c r="L13" s="1">
        <f t="shared" si="3"/>
        <v>132</v>
      </c>
      <c r="M13" s="21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38">
        <f t="shared" si="0"/>
        <v>136.65599999999998</v>
      </c>
      <c r="V13" s="209">
        <f t="shared" si="20"/>
        <v>134.92501999999999</v>
      </c>
      <c r="W13" s="214">
        <f t="shared" si="21"/>
        <v>0.18093742017044001</v>
      </c>
      <c r="X13" s="210">
        <f t="shared" si="26"/>
        <v>2.3123561047888673E-2</v>
      </c>
      <c r="Y13" s="210">
        <f t="shared" si="27"/>
        <v>2.0108121936766532E-2</v>
      </c>
      <c r="Z13" s="208">
        <f t="shared" si="22"/>
        <v>3.5194961215571485</v>
      </c>
      <c r="AA13" s="209">
        <f t="shared" si="9"/>
        <v>64.761285917840539</v>
      </c>
      <c r="AB13" s="2">
        <f t="shared" si="28"/>
        <v>47.390005501288307</v>
      </c>
      <c r="AC13" s="138">
        <f t="shared" si="10"/>
        <v>36.801453208698454</v>
      </c>
      <c r="AD13" s="155">
        <f t="shared" si="11"/>
        <v>82.803269719571503</v>
      </c>
      <c r="AE13" s="155">
        <f t="shared" si="12"/>
        <v>93.906302145347084</v>
      </c>
      <c r="AF13" s="145">
        <f t="shared" si="23"/>
        <v>2.5517009236785038</v>
      </c>
      <c r="AG13" s="131"/>
      <c r="AH13" s="208">
        <f t="shared" si="13"/>
        <v>3.6666666666666665</v>
      </c>
      <c r="AI13" s="208">
        <f t="shared" si="14"/>
        <v>132</v>
      </c>
      <c r="AJ13" s="209">
        <f t="shared" si="15"/>
        <v>39000.091304328736</v>
      </c>
      <c r="AK13" s="209">
        <f t="shared" si="16"/>
        <v>84.635614809741185</v>
      </c>
      <c r="AL13" s="209">
        <f t="shared" si="17"/>
        <v>67.053884829399593</v>
      </c>
      <c r="AM13" s="209">
        <f t="shared" si="18"/>
        <v>84.604054571764621</v>
      </c>
      <c r="AN13" s="2">
        <f t="shared" si="29"/>
        <v>67.053884829399593</v>
      </c>
      <c r="AO13" s="3">
        <f t="shared" si="19"/>
        <v>30898.430129387332</v>
      </c>
      <c r="AP13" s="207">
        <f t="shared" si="24"/>
        <v>1.7829637468826251E-2</v>
      </c>
      <c r="AQ13" s="207">
        <f t="shared" si="30"/>
        <v>0.13239860799834435</v>
      </c>
      <c r="AR13" s="211">
        <f t="shared" si="25"/>
        <v>9.0673390252276299E-7</v>
      </c>
      <c r="AS13" s="208">
        <f t="shared" si="31"/>
        <v>4.127651717958869E-2</v>
      </c>
      <c r="AT13" s="212">
        <f t="shared" si="32"/>
        <v>-6.7814113998291923E-7</v>
      </c>
      <c r="AU13" s="145">
        <f t="shared" si="34"/>
        <v>5.5190306704794551E-2</v>
      </c>
      <c r="AX13" s="110"/>
      <c r="AY13" s="87"/>
    </row>
    <row r="14" spans="1:51" ht="13.9" customHeight="1" thickBot="1" x14ac:dyDescent="0.3">
      <c r="A14" t="s">
        <v>219</v>
      </c>
      <c r="B14" t="s">
        <v>220</v>
      </c>
      <c r="C14" s="201">
        <f t="shared" si="1"/>
        <v>1.9722222222222223</v>
      </c>
      <c r="D14" s="79">
        <v>175</v>
      </c>
      <c r="E14" s="79">
        <v>3.68</v>
      </c>
      <c r="F14" s="79">
        <v>11.46</v>
      </c>
      <c r="G14" s="79">
        <v>14.25</v>
      </c>
      <c r="H14" s="79">
        <v>1360</v>
      </c>
      <c r="I14" s="80">
        <v>1650</v>
      </c>
      <c r="J14" s="60"/>
      <c r="K14" s="2">
        <f t="shared" si="2"/>
        <v>163.30500000000001</v>
      </c>
      <c r="L14" s="1">
        <f t="shared" si="3"/>
        <v>175</v>
      </c>
      <c r="M14" s="21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38">
        <f t="shared" si="0"/>
        <v>163.30500000000001</v>
      </c>
      <c r="V14" s="209">
        <f t="shared" si="20"/>
        <v>161.57402000000002</v>
      </c>
      <c r="W14" s="214">
        <f t="shared" si="21"/>
        <v>0.21667431544844004</v>
      </c>
      <c r="X14" s="210">
        <f t="shared" si="26"/>
        <v>2.5794066107331357E-2</v>
      </c>
      <c r="Y14" s="210">
        <f t="shared" si="27"/>
        <v>2.2778626996209216E-2</v>
      </c>
      <c r="Z14" s="143">
        <f>C34/0.224</f>
        <v>4.4249528005034611</v>
      </c>
      <c r="AA14" s="209">
        <f t="shared" si="9"/>
        <v>91.297248929319878</v>
      </c>
      <c r="AB14" s="2">
        <f>AA14/U14*100</f>
        <v>55.905972829564234</v>
      </c>
      <c r="AC14" s="138">
        <f t="shared" si="10"/>
        <v>41.264733453849395</v>
      </c>
      <c r="AD14" s="155">
        <f>AC14*1/1.6/1000*3600</f>
        <v>92.845650271161119</v>
      </c>
      <c r="AE14" s="155">
        <f t="shared" si="12"/>
        <v>104.71975511965978</v>
      </c>
      <c r="AF14" s="145">
        <f t="shared" si="23"/>
        <v>2.5377543086950669</v>
      </c>
      <c r="AG14" s="131"/>
      <c r="AH14" s="208">
        <f t="shared" si="13"/>
        <v>4.8611111111111107</v>
      </c>
      <c r="AI14" s="208">
        <f t="shared" si="14"/>
        <v>174.99999999999997</v>
      </c>
      <c r="AJ14" s="209">
        <f t="shared" si="15"/>
        <v>43048.671388995259</v>
      </c>
      <c r="AK14" s="209">
        <f t="shared" si="16"/>
        <v>93.421595896257074</v>
      </c>
      <c r="AL14" s="209">
        <f t="shared" si="17"/>
        <v>75.638596433759602</v>
      </c>
      <c r="AM14" s="209">
        <f t="shared" si="18"/>
        <v>93.378650593424581</v>
      </c>
      <c r="AN14" s="2">
        <f t="shared" si="29"/>
        <v>75.638596433759602</v>
      </c>
      <c r="AO14" s="3">
        <f t="shared" si="19"/>
        <v>34854.265236676423</v>
      </c>
      <c r="AP14" s="207">
        <f t="shared" si="24"/>
        <v>2.1668371508124493E-2</v>
      </c>
      <c r="AQ14" s="207">
        <f t="shared" si="30"/>
        <v>0.1776075027775931</v>
      </c>
      <c r="AR14" s="211">
        <f t="shared" si="25"/>
        <v>9.8960207652181796E-7</v>
      </c>
      <c r="AS14" s="208">
        <f t="shared" si="31"/>
        <v>3.7820067674414551E-2</v>
      </c>
      <c r="AT14" s="212">
        <f t="shared" si="32"/>
        <v>-7.9107285043687219E-7</v>
      </c>
      <c r="AU14" s="145">
        <f t="shared" si="34"/>
        <v>4.731146756474737E-2</v>
      </c>
      <c r="AX14" s="110"/>
      <c r="AY14" s="87"/>
    </row>
    <row r="15" spans="1:51" ht="13.9" customHeight="1" x14ac:dyDescent="0.25">
      <c r="AE15" s="45"/>
      <c r="AF15" s="30"/>
      <c r="AV15" s="126"/>
      <c r="AW15" s="86"/>
      <c r="AX15" s="111"/>
      <c r="AY15" s="87"/>
    </row>
    <row r="16" spans="1:51" x14ac:dyDescent="0.25">
      <c r="A16" t="s">
        <v>221</v>
      </c>
      <c r="AE16" s="174"/>
      <c r="AF16" s="30"/>
    </row>
    <row r="17" spans="1:65" ht="13.9" customHeight="1" x14ac:dyDescent="0.25">
      <c r="A17">
        <v>1</v>
      </c>
      <c r="C17" t="s">
        <v>222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" customHeight="1" x14ac:dyDescent="0.25">
      <c r="A18">
        <v>2</v>
      </c>
      <c r="C18" t="s">
        <v>223</v>
      </c>
      <c r="I18" s="3"/>
      <c r="J18" s="13" t="s">
        <v>262</v>
      </c>
      <c r="K18" s="14"/>
      <c r="L18" s="14"/>
      <c r="AE18" s="129"/>
      <c r="AF18" s="30"/>
    </row>
    <row r="19" spans="1:65" ht="13.9" customHeight="1" x14ac:dyDescent="0.25">
      <c r="A19">
        <v>3</v>
      </c>
      <c r="C19" t="s">
        <v>225</v>
      </c>
      <c r="I19" s="3"/>
      <c r="J19" s="15" t="s">
        <v>260</v>
      </c>
      <c r="K19" s="16"/>
      <c r="L19" s="16"/>
      <c r="AE19" s="129"/>
      <c r="AF19" s="30"/>
    </row>
    <row r="20" spans="1:65" ht="13.9" customHeight="1" x14ac:dyDescent="0.25">
      <c r="A20">
        <v>4</v>
      </c>
      <c r="C20" t="s">
        <v>224</v>
      </c>
      <c r="J20" s="267" t="s">
        <v>283</v>
      </c>
      <c r="K20" s="266"/>
      <c r="L20" s="266"/>
      <c r="M20" s="266"/>
      <c r="N20" s="266"/>
      <c r="O20" s="268"/>
      <c r="AE20" s="129"/>
      <c r="AF20" s="30"/>
      <c r="AN20" s="45"/>
    </row>
    <row r="21" spans="1:65" ht="13.9" customHeight="1" x14ac:dyDescent="0.25">
      <c r="A21">
        <v>5</v>
      </c>
      <c r="C21" t="s">
        <v>226</v>
      </c>
      <c r="O21" s="168"/>
      <c r="AE21" s="129"/>
      <c r="AF21" s="30"/>
      <c r="AN21" s="45"/>
      <c r="AO21" s="5"/>
      <c r="AU21" s="5"/>
      <c r="AV21" s="5"/>
    </row>
    <row r="22" spans="1:65" ht="13.9" customHeight="1" thickBot="1" x14ac:dyDescent="0.3">
      <c r="A22">
        <v>6</v>
      </c>
      <c r="C22" t="s">
        <v>227</v>
      </c>
      <c r="O22" s="168"/>
      <c r="AN22" s="45"/>
      <c r="AO22" s="5"/>
      <c r="AV22" s="5"/>
    </row>
    <row r="23" spans="1:65" ht="13.9" customHeight="1" x14ac:dyDescent="0.25">
      <c r="A23">
        <v>7</v>
      </c>
      <c r="C23" t="s">
        <v>229</v>
      </c>
      <c r="O23" s="168"/>
      <c r="P23" s="194" t="s">
        <v>256</v>
      </c>
      <c r="Q23" s="63"/>
      <c r="R23" s="63"/>
      <c r="S23" s="63"/>
      <c r="T23" s="29"/>
      <c r="AN23" s="45"/>
      <c r="AO23" s="5"/>
      <c r="AV23" s="5"/>
    </row>
    <row r="24" spans="1:65" ht="13.9" customHeight="1" x14ac:dyDescent="0.25">
      <c r="A24" s="45">
        <v>8</v>
      </c>
      <c r="B24" s="45"/>
      <c r="C24" s="45" t="s">
        <v>261</v>
      </c>
      <c r="D24" s="60"/>
      <c r="E24" s="60"/>
      <c r="F24" s="60"/>
      <c r="G24" s="60"/>
      <c r="O24" s="168"/>
      <c r="P24" s="247" t="s">
        <v>15</v>
      </c>
      <c r="Q24" s="248">
        <f>C46</f>
        <v>5</v>
      </c>
      <c r="R24" s="45"/>
      <c r="S24" s="30"/>
      <c r="T24" s="31" t="s">
        <v>251</v>
      </c>
      <c r="AN24" s="45"/>
      <c r="AO24" s="5"/>
      <c r="AV24" s="5"/>
    </row>
    <row r="25" spans="1:65" ht="13.9" customHeight="1" thickBot="1" x14ac:dyDescent="0.3">
      <c r="H25" s="60"/>
      <c r="I25" s="60"/>
      <c r="J25" s="60"/>
      <c r="K25" s="167"/>
      <c r="L25" s="60"/>
      <c r="M25" s="60"/>
      <c r="N25" s="168"/>
      <c r="O25" s="168"/>
      <c r="P25" s="247" t="s">
        <v>17</v>
      </c>
      <c r="Q25" s="248">
        <f>C38</f>
        <v>5</v>
      </c>
      <c r="R25" s="30"/>
      <c r="S25" s="30"/>
      <c r="T25" s="31" t="s">
        <v>251</v>
      </c>
      <c r="AN25" s="45"/>
      <c r="AO25" s="5"/>
      <c r="AV25" s="5"/>
    </row>
    <row r="26" spans="1:65" ht="13.9" customHeight="1" x14ac:dyDescent="0.25">
      <c r="A26" t="s">
        <v>32</v>
      </c>
      <c r="B26" s="17" t="s">
        <v>3</v>
      </c>
      <c r="C26" s="18">
        <v>1</v>
      </c>
      <c r="D26"/>
      <c r="F26"/>
      <c r="G26" s="60"/>
      <c r="I26" s="17" t="s">
        <v>120</v>
      </c>
      <c r="J26" s="28"/>
      <c r="K26" s="28"/>
      <c r="L26" s="29"/>
      <c r="M26" s="60"/>
      <c r="N26" s="168"/>
      <c r="O26" s="168"/>
      <c r="P26" s="247" t="s">
        <v>16</v>
      </c>
      <c r="Q26" s="248">
        <f>C37</f>
        <v>0</v>
      </c>
      <c r="R26" s="30"/>
      <c r="S26" s="30"/>
      <c r="T26" s="31" t="s">
        <v>251</v>
      </c>
      <c r="AN26" s="45"/>
      <c r="AO26" s="5"/>
      <c r="AV26" s="5"/>
    </row>
    <row r="27" spans="1:65" ht="13.9" customHeight="1" x14ac:dyDescent="0.25">
      <c r="A27" s="169"/>
      <c r="B27" s="19" t="s">
        <v>4</v>
      </c>
      <c r="C27" s="20">
        <v>4800</v>
      </c>
      <c r="D27" t="s">
        <v>71</v>
      </c>
      <c r="F27"/>
      <c r="G27" s="60"/>
      <c r="I27" s="19" t="s">
        <v>114</v>
      </c>
      <c r="J27" s="188">
        <v>25</v>
      </c>
      <c r="K27" s="30" t="s">
        <v>83</v>
      </c>
      <c r="L27" s="31"/>
      <c r="M27" s="60"/>
      <c r="N27" s="168"/>
      <c r="O27" s="168"/>
      <c r="P27" s="247" t="s">
        <v>14</v>
      </c>
      <c r="Q27" s="248">
        <f>C45</f>
        <v>0</v>
      </c>
      <c r="R27" s="45"/>
      <c r="S27" s="30"/>
      <c r="T27" s="31" t="s">
        <v>251</v>
      </c>
      <c r="AN27" s="45"/>
      <c r="AO27" s="5"/>
      <c r="AP27" s="5"/>
      <c r="AY27" t="s">
        <v>312</v>
      </c>
      <c r="AZ27">
        <v>-25454</v>
      </c>
      <c r="BA27">
        <v>13061</v>
      </c>
    </row>
    <row r="28" spans="1:65" ht="13.9" customHeight="1" x14ac:dyDescent="0.25">
      <c r="A28" s="169"/>
      <c r="B28" s="19" t="s">
        <v>5</v>
      </c>
      <c r="C28" s="20">
        <v>12</v>
      </c>
      <c r="D28"/>
      <c r="F28"/>
      <c r="G28" s="60"/>
      <c r="I28" s="19" t="s">
        <v>130</v>
      </c>
      <c r="J28" s="188">
        <v>2.1797</v>
      </c>
      <c r="K28" s="30" t="s">
        <v>84</v>
      </c>
      <c r="L28" s="31"/>
      <c r="M28" s="60"/>
      <c r="N28" s="168"/>
      <c r="O28" s="168"/>
      <c r="P28" s="247" t="s">
        <v>163</v>
      </c>
      <c r="Q28" s="249">
        <f>$C$43</f>
        <v>1.2250000000000001</v>
      </c>
      <c r="R28" s="30"/>
      <c r="S28" s="30"/>
      <c r="T28" s="31" t="s">
        <v>147</v>
      </c>
      <c r="AN28" s="45"/>
      <c r="AO28" s="5"/>
      <c r="AP28" s="5"/>
    </row>
    <row r="29" spans="1:65" ht="13.9" customHeight="1" x14ac:dyDescent="0.25">
      <c r="A29" s="169"/>
      <c r="B29" s="56" t="s">
        <v>63</v>
      </c>
      <c r="C29" s="20">
        <v>3.9899999999999998E-2</v>
      </c>
      <c r="D29" t="s">
        <v>70</v>
      </c>
      <c r="F29"/>
      <c r="G29" s="6"/>
      <c r="I29" s="19" t="s">
        <v>115</v>
      </c>
      <c r="J29" s="44">
        <f>($J$27/25.4)^2*$J$28/1000*2.2/3</f>
        <v>1.5484983053299442E-3</v>
      </c>
      <c r="K29" s="30" t="s">
        <v>86</v>
      </c>
      <c r="L29" s="157" t="s">
        <v>132</v>
      </c>
      <c r="N29" s="3"/>
      <c r="O29" s="3"/>
      <c r="P29" s="195"/>
      <c r="Q29" s="193"/>
      <c r="R29" s="193"/>
      <c r="S29" s="193"/>
      <c r="T29" s="196"/>
      <c r="AN29" s="45"/>
      <c r="AO29" s="5"/>
      <c r="AP29" s="5"/>
      <c r="AQ29" s="5"/>
      <c r="AR29" s="5"/>
      <c r="AS29" s="131"/>
      <c r="AT29" s="133"/>
      <c r="AU29" s="5"/>
    </row>
    <row r="30" spans="1:65" ht="13.9" customHeight="1" x14ac:dyDescent="0.25">
      <c r="A30" s="169"/>
      <c r="B30" s="56" t="s">
        <v>64</v>
      </c>
      <c r="C30" s="112">
        <v>4.1999999999999996E-6</v>
      </c>
      <c r="D30" t="s">
        <v>69</v>
      </c>
      <c r="F30"/>
      <c r="G30" s="6"/>
      <c r="I30" s="19" t="s">
        <v>127</v>
      </c>
      <c r="J30" s="190">
        <f>3/8/2*25.4</f>
        <v>4.7624999999999993</v>
      </c>
      <c r="K30" s="30" t="s">
        <v>83</v>
      </c>
      <c r="L30" s="31" t="s">
        <v>128</v>
      </c>
      <c r="N30" s="3"/>
      <c r="O30" s="3"/>
      <c r="P30" s="197" t="s">
        <v>257</v>
      </c>
      <c r="Q30" s="193"/>
      <c r="R30" s="193"/>
      <c r="S30" s="193"/>
      <c r="T30" s="196"/>
      <c r="AN30" s="45"/>
      <c r="AO30" s="5"/>
      <c r="AP30" s="5"/>
      <c r="AQ30" s="5"/>
      <c r="AR30" s="5"/>
      <c r="AS30" s="131"/>
      <c r="AT30" s="133"/>
      <c r="AU30" s="5"/>
    </row>
    <row r="31" spans="1:65" ht="13.9" customHeight="1" x14ac:dyDescent="0.25">
      <c r="A31" s="169"/>
      <c r="B31" s="19" t="s">
        <v>241</v>
      </c>
      <c r="C31" s="20">
        <v>240</v>
      </c>
      <c r="D31" t="s">
        <v>242</v>
      </c>
      <c r="F31"/>
      <c r="G31" s="6"/>
      <c r="I31" s="19" t="s">
        <v>129</v>
      </c>
      <c r="J31" s="190">
        <f>3/4*25.4</f>
        <v>19.049999999999997</v>
      </c>
      <c r="K31" s="30" t="s">
        <v>83</v>
      </c>
      <c r="L31" s="31" t="s">
        <v>128</v>
      </c>
      <c r="N31" s="3"/>
      <c r="O31" s="3"/>
      <c r="P31" s="247" t="s">
        <v>27</v>
      </c>
      <c r="Q31" s="248">
        <f>$C$27*$C$28/$B$50/100</f>
        <v>460.8</v>
      </c>
      <c r="R31" s="30"/>
      <c r="S31" s="30"/>
      <c r="T31" s="31" t="s">
        <v>252</v>
      </c>
      <c r="AN31" s="45"/>
      <c r="AO31" s="5"/>
    </row>
    <row r="32" spans="1:65" ht="15.75" thickBot="1" x14ac:dyDescent="0.3">
      <c r="A32" s="169"/>
      <c r="B32" s="56" t="s">
        <v>65</v>
      </c>
      <c r="C32" s="113">
        <f>C27*2*PI()/60</f>
        <v>502.6548245743669</v>
      </c>
      <c r="D32" t="s">
        <v>67</v>
      </c>
      <c r="F32"/>
      <c r="G32" s="6"/>
      <c r="I32" s="19" t="s">
        <v>131</v>
      </c>
      <c r="J32" s="44">
        <f>PI()*($J$30/25.4)^2/4*3/4*0.3</f>
        <v>6.2126221909368446E-3</v>
      </c>
      <c r="K32" s="30" t="s">
        <v>134</v>
      </c>
      <c r="L32" s="31" t="s">
        <v>128</v>
      </c>
      <c r="N32" s="3"/>
      <c r="O32" s="3"/>
      <c r="P32" s="247" t="s">
        <v>18</v>
      </c>
      <c r="Q32" s="248">
        <f>C48</f>
        <v>180</v>
      </c>
      <c r="R32" s="30"/>
      <c r="S32" s="30"/>
      <c r="T32" s="31" t="s">
        <v>161</v>
      </c>
      <c r="AY32" t="s">
        <v>328</v>
      </c>
      <c r="AZ32" s="242">
        <v>7.0220000000000002</v>
      </c>
      <c r="BA32" s="72">
        <v>14</v>
      </c>
      <c r="BB32" s="72">
        <v>18</v>
      </c>
      <c r="BC32" s="72">
        <v>24</v>
      </c>
      <c r="BD32" s="72">
        <v>28</v>
      </c>
      <c r="BE32" s="72">
        <v>36</v>
      </c>
      <c r="BF32" s="72">
        <v>52</v>
      </c>
      <c r="BG32" s="72">
        <v>73</v>
      </c>
      <c r="BH32" s="72">
        <v>94</v>
      </c>
      <c r="BI32" s="72">
        <v>99</v>
      </c>
      <c r="BJ32" s="72">
        <v>110</v>
      </c>
      <c r="BK32" s="72">
        <v>132</v>
      </c>
      <c r="BL32" s="79">
        <v>175</v>
      </c>
      <c r="BM32">
        <v>180</v>
      </c>
    </row>
    <row r="33" spans="1:65" ht="13.9" customHeight="1" x14ac:dyDescent="0.25">
      <c r="A33" s="169"/>
      <c r="B33" s="56" t="s">
        <v>66</v>
      </c>
      <c r="C33" s="115">
        <f>7/C32</f>
        <v>1.3926057520540842E-2</v>
      </c>
      <c r="D33" t="s">
        <v>68</v>
      </c>
      <c r="F33"/>
      <c r="G33" s="6"/>
      <c r="I33" s="19" t="s">
        <v>121</v>
      </c>
      <c r="J33" s="44">
        <f>($J$30/25.4)^2*$J$32/2</f>
        <v>1.0920624945006168E-4</v>
      </c>
      <c r="K33" s="30" t="s">
        <v>86</v>
      </c>
      <c r="L33" s="31" t="s">
        <v>133</v>
      </c>
      <c r="N33" s="3"/>
      <c r="O33" s="3"/>
      <c r="P33" s="247" t="s">
        <v>13</v>
      </c>
      <c r="Q33" s="248">
        <f>C47</f>
        <v>0</v>
      </c>
      <c r="R33" s="30"/>
      <c r="S33" s="30"/>
      <c r="T33" s="31" t="s">
        <v>161</v>
      </c>
      <c r="AZ33" s="154">
        <v>-0.27337168179292348</v>
      </c>
      <c r="BA33" s="154">
        <v>9014.727782104892</v>
      </c>
      <c r="BB33" s="154">
        <v>12297.145529881804</v>
      </c>
      <c r="BC33" s="154">
        <v>16054.56107817452</v>
      </c>
      <c r="BD33" s="154">
        <v>18067.923107398339</v>
      </c>
      <c r="BE33" s="154">
        <v>21350.340855175251</v>
      </c>
      <c r="BF33" s="154">
        <v>26153.194208392022</v>
      </c>
      <c r="BG33" s="154">
        <v>30583.69076083913</v>
      </c>
      <c r="BH33" s="154">
        <v>33885.973151228522</v>
      </c>
      <c r="BI33" s="154">
        <v>34562.860362607877</v>
      </c>
      <c r="BJ33" s="154">
        <v>35938.974057614752</v>
      </c>
      <c r="BK33" s="154">
        <v>38320.275910900586</v>
      </c>
      <c r="BL33" s="154">
        <v>42003.269605415029</v>
      </c>
      <c r="BM33" s="154">
        <v>42371.209429477036</v>
      </c>
    </row>
    <row r="34" spans="1:65" ht="13.9" customHeight="1" thickBot="1" x14ac:dyDescent="0.3">
      <c r="B34" s="114" t="s">
        <v>243</v>
      </c>
      <c r="C34" s="184">
        <f>450/454</f>
        <v>0.99118942731277537</v>
      </c>
      <c r="D34" s="6" t="s">
        <v>141</v>
      </c>
      <c r="F34" s="6"/>
      <c r="G34" s="6"/>
      <c r="I34" s="19" t="s">
        <v>85</v>
      </c>
      <c r="J34" s="44">
        <f>$J$29+$J$33</f>
        <v>1.6577045547800059E-3</v>
      </c>
      <c r="K34" s="30" t="s">
        <v>86</v>
      </c>
      <c r="L34" s="31"/>
      <c r="N34" s="3"/>
      <c r="O34" s="3"/>
      <c r="P34" s="247" t="s">
        <v>164</v>
      </c>
      <c r="Q34" s="249">
        <f>(C40^2-C41^2)*PI()/4/1000^2</f>
        <v>2.1213604393365078E-3</v>
      </c>
      <c r="R34" s="30"/>
      <c r="S34" s="30"/>
      <c r="T34" s="31" t="s">
        <v>250</v>
      </c>
      <c r="AY34" s="242">
        <v>7.0205000000000002</v>
      </c>
      <c r="AZ34">
        <f>(LN($AY34)*$BA$27+$AZ$27)/$Q$31</f>
        <v>-5.9325451777978181E-4</v>
      </c>
      <c r="BA34" s="154">
        <f>AZ34*$Q$31</f>
        <v>-0.27337168179292348</v>
      </c>
      <c r="BB34" s="154">
        <v>-0.27337168179292348</v>
      </c>
    </row>
    <row r="35" spans="1:65" ht="15" customHeight="1" thickBot="1" x14ac:dyDescent="0.3">
      <c r="D35"/>
      <c r="F35" s="6"/>
      <c r="G35" s="6"/>
      <c r="I35" s="19" t="s">
        <v>85</v>
      </c>
      <c r="J35" s="44">
        <f>$J$34/144</f>
        <v>1.1511837185972264E-5</v>
      </c>
      <c r="K35" s="30" t="s">
        <v>87</v>
      </c>
      <c r="L35" s="31"/>
      <c r="N35" s="3"/>
      <c r="O35" s="3"/>
      <c r="P35" s="247" t="s">
        <v>169</v>
      </c>
      <c r="Q35" s="250">
        <f>1/1.3556</f>
        <v>0.73768073177928595</v>
      </c>
      <c r="R35" s="30"/>
      <c r="S35" s="30"/>
      <c r="T35" s="31" t="s">
        <v>255</v>
      </c>
      <c r="AY35" s="72">
        <v>14</v>
      </c>
      <c r="AZ35">
        <f t="shared" ref="AZ35:AZ47" si="35">(LN($AY35)*$BA$27+$AZ$27)/$Q$31</f>
        <v>19.563211332692909</v>
      </c>
      <c r="BA35" s="154">
        <f t="shared" ref="BA35:BA47" si="36">AZ35*$Q$31</f>
        <v>9014.727782104892</v>
      </c>
      <c r="BB35" s="154">
        <v>9014.727782104892</v>
      </c>
    </row>
    <row r="36" spans="1:65" ht="15" customHeight="1" thickBot="1" x14ac:dyDescent="0.3">
      <c r="A36" t="s">
        <v>33</v>
      </c>
      <c r="B36" s="17"/>
      <c r="C36" s="202" t="s">
        <v>22</v>
      </c>
      <c r="D36"/>
      <c r="F36" s="6"/>
      <c r="G36" s="6"/>
      <c r="I36" s="21" t="s">
        <v>85</v>
      </c>
      <c r="J36" s="97">
        <f>$J$35/2048.5*6.66</f>
        <v>3.7426817504796325E-8</v>
      </c>
      <c r="K36" s="32" t="s">
        <v>88</v>
      </c>
      <c r="L36" s="33"/>
      <c r="N36" s="3"/>
      <c r="O36" s="3"/>
      <c r="P36" s="247" t="s">
        <v>170</v>
      </c>
      <c r="Q36" s="251">
        <f>$J$35/2048.5*6.66</f>
        <v>3.7426817504796325E-8</v>
      </c>
      <c r="R36" s="30"/>
      <c r="S36" s="30"/>
      <c r="T36" s="31" t="s">
        <v>73</v>
      </c>
      <c r="AY36" s="72">
        <v>18</v>
      </c>
      <c r="AZ36">
        <f t="shared" si="35"/>
        <v>26.686513736722663</v>
      </c>
      <c r="BA36" s="154">
        <f t="shared" si="36"/>
        <v>12297.145529881804</v>
      </c>
      <c r="BB36" s="154">
        <v>12297.145529881804</v>
      </c>
    </row>
    <row r="37" spans="1:65" ht="15" customHeight="1" x14ac:dyDescent="0.25">
      <c r="B37" s="24" t="s">
        <v>16</v>
      </c>
      <c r="C37" s="183">
        <v>0</v>
      </c>
      <c r="D37"/>
      <c r="F37" s="6"/>
      <c r="G37" s="6"/>
      <c r="I37" s="30"/>
      <c r="J37" s="45"/>
      <c r="K37" s="30"/>
      <c r="L37" s="30"/>
      <c r="N37" s="3"/>
      <c r="O37" s="3"/>
      <c r="P37" s="247" t="s">
        <v>185</v>
      </c>
      <c r="Q37" s="249">
        <f>C40/1000</f>
        <v>5.5E-2</v>
      </c>
      <c r="R37" s="30"/>
      <c r="S37" s="30"/>
      <c r="T37" s="31" t="s">
        <v>248</v>
      </c>
      <c r="AY37" s="72">
        <v>24</v>
      </c>
      <c r="AZ37">
        <f t="shared" si="35"/>
        <v>34.840627339788455</v>
      </c>
      <c r="BA37" s="154">
        <f t="shared" si="36"/>
        <v>16054.56107817452</v>
      </c>
      <c r="BB37" s="154">
        <v>16054.56107817452</v>
      </c>
    </row>
    <row r="38" spans="1:65" ht="15.75" thickBot="1" x14ac:dyDescent="0.3">
      <c r="B38" s="26" t="s">
        <v>17</v>
      </c>
      <c r="C38" s="180">
        <v>5</v>
      </c>
      <c r="I38" s="188" t="s">
        <v>278</v>
      </c>
      <c r="J38" s="188"/>
      <c r="K38" s="188"/>
      <c r="L38" s="188"/>
      <c r="N38" s="3"/>
      <c r="O38" s="3"/>
      <c r="P38" s="247" t="s">
        <v>204</v>
      </c>
      <c r="Q38" s="250">
        <f>$Z$14</f>
        <v>4.4249528005034611</v>
      </c>
      <c r="R38" s="30"/>
      <c r="S38" s="30"/>
      <c r="T38" s="31" t="s">
        <v>144</v>
      </c>
      <c r="AI38" s="5"/>
      <c r="AY38" s="72">
        <v>28</v>
      </c>
      <c r="AZ38">
        <f t="shared" si="35"/>
        <v>39.20990257681931</v>
      </c>
      <c r="BA38" s="154">
        <f t="shared" si="36"/>
        <v>18067.923107398339</v>
      </c>
      <c r="BB38" s="154">
        <v>18067.923107398339</v>
      </c>
    </row>
    <row r="39" spans="1:65" ht="45.75" thickBot="1" x14ac:dyDescent="0.3">
      <c r="I39" s="173" t="s">
        <v>89</v>
      </c>
      <c r="J39" s="216" t="s">
        <v>280</v>
      </c>
      <c r="K39" s="271" t="s">
        <v>327</v>
      </c>
      <c r="L39" s="243" t="s">
        <v>258</v>
      </c>
      <c r="M39" s="244" t="s">
        <v>259</v>
      </c>
      <c r="P39" s="195"/>
      <c r="Q39" s="193"/>
      <c r="R39" s="193"/>
      <c r="S39" s="193"/>
      <c r="T39" s="196"/>
      <c r="AI39" s="5"/>
      <c r="AY39" s="72">
        <v>36</v>
      </c>
      <c r="AZ39">
        <f t="shared" si="35"/>
        <v>46.333204980849068</v>
      </c>
      <c r="BA39" s="154">
        <f t="shared" si="36"/>
        <v>21350.340855175251</v>
      </c>
      <c r="BB39" s="154">
        <v>21350.340855175251</v>
      </c>
      <c r="BC39" s="45"/>
      <c r="BD39" s="45"/>
      <c r="BE39" s="45"/>
    </row>
    <row r="40" spans="1:65" ht="18.75" x14ac:dyDescent="0.3">
      <c r="A40" s="3" t="s">
        <v>232</v>
      </c>
      <c r="B40" s="17" t="s">
        <v>233</v>
      </c>
      <c r="C40" s="179">
        <v>55</v>
      </c>
      <c r="D40" t="s">
        <v>83</v>
      </c>
      <c r="E40"/>
      <c r="I40" s="228">
        <v>72.5</v>
      </c>
      <c r="J40" s="233">
        <f t="shared" ref="J40:J45" si="37">(I40*$Q$31*$R$44+$Q$44)/$Q$31</f>
        <v>90.170631844457375</v>
      </c>
      <c r="K40" s="222">
        <v>0</v>
      </c>
      <c r="L40" s="193"/>
      <c r="M40" s="196"/>
      <c r="P40" s="206" t="s">
        <v>329</v>
      </c>
      <c r="Q40" s="57"/>
      <c r="R40" s="57"/>
      <c r="S40" s="57"/>
      <c r="T40" s="25"/>
      <c r="AI40" s="5"/>
      <c r="AY40" s="72">
        <v>52</v>
      </c>
      <c r="AZ40">
        <f t="shared" si="35"/>
        <v>56.756063820295182</v>
      </c>
      <c r="BA40" s="154">
        <f t="shared" si="36"/>
        <v>26153.194208392022</v>
      </c>
      <c r="BB40" s="154">
        <v>26153.194208392022</v>
      </c>
      <c r="BC40" s="45"/>
      <c r="BD40" s="175"/>
      <c r="BE40" s="45"/>
    </row>
    <row r="41" spans="1:65" ht="15.75" thickBot="1" x14ac:dyDescent="0.3">
      <c r="B41" s="21" t="s">
        <v>234</v>
      </c>
      <c r="C41" s="180">
        <v>18</v>
      </c>
      <c r="D41" t="s">
        <v>83</v>
      </c>
      <c r="E41"/>
      <c r="I41" s="221">
        <v>62</v>
      </c>
      <c r="J41" s="233">
        <f t="shared" si="37"/>
        <v>79.438383345784871</v>
      </c>
      <c r="K41" s="223">
        <v>3.5000000000000003E-2</v>
      </c>
      <c r="L41" s="229"/>
      <c r="M41" s="230"/>
      <c r="P41" s="64" t="s">
        <v>108</v>
      </c>
      <c r="Q41" s="185">
        <f>INDEX(LINEST($Q$4:$Q$14,$E$4:$E$14^{1,2},FALSE,FALSE),3)</f>
        <v>0</v>
      </c>
      <c r="R41" s="66">
        <f>INDEX(LINEST($Q$4:$Q$14,$E$4:$E$14^{1,2},FALSE,FALSE),2)</f>
        <v>15515.668826848267</v>
      </c>
      <c r="S41" s="66">
        <f>INDEX(LINEST($Q$4:$Q$14,$E$4:$E$14^{1,2},FALSE,FALSE),1)</f>
        <v>-1431.5901226166982</v>
      </c>
      <c r="T41" s="31" t="s">
        <v>253</v>
      </c>
      <c r="AI41" s="5"/>
      <c r="AY41" s="72">
        <v>73</v>
      </c>
      <c r="AZ41">
        <f t="shared" si="35"/>
        <v>66.370856685848807</v>
      </c>
      <c r="BA41" s="154">
        <f t="shared" si="36"/>
        <v>30583.69076083913</v>
      </c>
      <c r="BB41" s="154">
        <v>30583.69076083913</v>
      </c>
      <c r="BC41" s="45"/>
      <c r="BD41" s="60"/>
      <c r="BE41" s="45"/>
    </row>
    <row r="42" spans="1:65" ht="15.75" thickBot="1" x14ac:dyDescent="0.3">
      <c r="B42" s="30"/>
      <c r="C42" s="181"/>
      <c r="D42"/>
      <c r="E42"/>
      <c r="H42" s="10"/>
      <c r="I42" s="221">
        <v>47</v>
      </c>
      <c r="J42" s="233">
        <f t="shared" si="37"/>
        <v>64.106599776252708</v>
      </c>
      <c r="K42" s="223">
        <v>8.5000000000000006E-2</v>
      </c>
      <c r="L42" s="231">
        <f>$Q$36/K42</f>
        <v>4.4031550005642732E-7</v>
      </c>
      <c r="M42" s="232">
        <f>-L42/$Q$35</f>
        <v>-5.9689169187649285E-7</v>
      </c>
      <c r="N42" s="245" t="s">
        <v>277</v>
      </c>
      <c r="P42" s="64" t="s">
        <v>21</v>
      </c>
      <c r="Q42" s="185">
        <f>INDEX(LINEST($P$4:$P$14,$M$4:$M$14),2)</f>
        <v>-31104.634574367206</v>
      </c>
      <c r="R42" s="66">
        <f>INDEX(LINEST($P$4:$P$14,$M$4:$M$14),1)</f>
        <v>14357.478961907631</v>
      </c>
      <c r="S42" s="30"/>
      <c r="T42" s="31" t="s">
        <v>253</v>
      </c>
      <c r="AI42" s="5"/>
      <c r="AW42" s="131"/>
      <c r="AX42" s="144"/>
      <c r="AY42" s="72">
        <v>94</v>
      </c>
      <c r="AZ42">
        <f t="shared" si="35"/>
        <v>73.537268123325788</v>
      </c>
      <c r="BA42" s="154">
        <f t="shared" si="36"/>
        <v>33885.973151228522</v>
      </c>
      <c r="BB42" s="154">
        <v>33885.973151228522</v>
      </c>
      <c r="BC42" s="45">
        <f>(32000-BA41)/(BA42-BA41)*(AY42-AY41)+AY41</f>
        <v>82.006647677660041</v>
      </c>
      <c r="BD42" s="60"/>
      <c r="BE42" s="45"/>
    </row>
    <row r="43" spans="1:65" ht="15.75" thickBot="1" x14ac:dyDescent="0.3">
      <c r="A43" s="10" t="s">
        <v>235</v>
      </c>
      <c r="B43" s="177" t="s">
        <v>236</v>
      </c>
      <c r="C43" s="182">
        <v>1.2250000000000001</v>
      </c>
      <c r="D43" t="s">
        <v>147</v>
      </c>
      <c r="E43" t="s">
        <v>155</v>
      </c>
      <c r="G43" s="6"/>
      <c r="I43" s="221">
        <v>25</v>
      </c>
      <c r="J43" s="233">
        <f t="shared" si="37"/>
        <v>41.619983874272194</v>
      </c>
      <c r="K43" s="223">
        <v>0.28999999999999998</v>
      </c>
      <c r="L43" s="60"/>
      <c r="M43" s="230"/>
      <c r="P43" s="64" t="s">
        <v>109</v>
      </c>
      <c r="Q43" s="185">
        <f>INDEX(LINEST($Q$4:$Q$14,$P$4:$P$14),2)</f>
        <v>-7208.2460738206319</v>
      </c>
      <c r="R43" s="68">
        <f>INDEX(LINEST($Q$4:$Q$14,$P$4:$P$14),1)</f>
        <v>0.97709197411490134</v>
      </c>
      <c r="S43" s="30"/>
      <c r="T43" s="31" t="s">
        <v>253</v>
      </c>
      <c r="AI43" s="5"/>
      <c r="AY43" s="72">
        <v>99</v>
      </c>
      <c r="AZ43">
        <f t="shared" si="35"/>
        <v>75.00620738413167</v>
      </c>
      <c r="BA43" s="154">
        <f t="shared" si="36"/>
        <v>34562.860362607877</v>
      </c>
      <c r="BB43" s="154">
        <v>34562.860362607877</v>
      </c>
      <c r="BC43" s="45"/>
      <c r="BD43" s="60"/>
      <c r="BE43" s="45"/>
    </row>
    <row r="44" spans="1:65" ht="15.75" thickBot="1" x14ac:dyDescent="0.3">
      <c r="C44" s="178"/>
      <c r="D44"/>
      <c r="E44"/>
      <c r="G44" s="6"/>
      <c r="I44" s="221">
        <v>16</v>
      </c>
      <c r="J44" s="233">
        <f t="shared" si="37"/>
        <v>32.420913732552897</v>
      </c>
      <c r="K44" s="223">
        <v>0.44</v>
      </c>
      <c r="L44" s="60"/>
      <c r="M44" s="230"/>
      <c r="P44" s="64" t="s">
        <v>110</v>
      </c>
      <c r="Q44" s="185">
        <f>INDEX(LINEST($P$4:$P$14,$Q$4:$Q$14),2)</f>
        <v>7403.6787878639261</v>
      </c>
      <c r="R44" s="68">
        <f>INDEX(LINEST($P$4:$P$14,$Q$4:$Q$14),1)</f>
        <v>1.0221189046354775</v>
      </c>
      <c r="S44" s="30"/>
      <c r="T44" s="31" t="s">
        <v>253</v>
      </c>
      <c r="AI44" s="5"/>
      <c r="AY44" s="72">
        <v>110</v>
      </c>
      <c r="AZ44">
        <f t="shared" si="35"/>
        <v>77.992565229198675</v>
      </c>
      <c r="BA44" s="154">
        <f t="shared" si="36"/>
        <v>35938.974057614752</v>
      </c>
      <c r="BB44" s="154">
        <v>35938.974057614752</v>
      </c>
      <c r="BC44" s="45"/>
      <c r="BD44" s="60"/>
      <c r="BE44" s="45"/>
    </row>
    <row r="45" spans="1:65" ht="15.75" thickBot="1" x14ac:dyDescent="0.3">
      <c r="A45" s="168" t="s">
        <v>237</v>
      </c>
      <c r="B45" s="173" t="s">
        <v>238</v>
      </c>
      <c r="C45" s="179">
        <v>0</v>
      </c>
      <c r="D45" s="30" t="s">
        <v>244</v>
      </c>
      <c r="E45"/>
      <c r="F45" s="6"/>
      <c r="I45" s="234">
        <f>(K45-K43)/(K44-K43)*(I44-I43)+I43</f>
        <v>12.4</v>
      </c>
      <c r="J45" s="237">
        <f t="shared" si="37"/>
        <v>28.741285675865178</v>
      </c>
      <c r="K45" s="226">
        <v>0.5</v>
      </c>
      <c r="L45" s="235"/>
      <c r="M45" s="236"/>
      <c r="P45" s="64" t="s">
        <v>166</v>
      </c>
      <c r="Q45" s="272">
        <v>-2</v>
      </c>
      <c r="R45" s="30"/>
      <c r="S45" s="30"/>
      <c r="T45" s="31" t="s">
        <v>247</v>
      </c>
      <c r="U45" s="5"/>
      <c r="AI45" s="5"/>
      <c r="AJ45" s="5"/>
      <c r="AK45" s="131"/>
      <c r="AY45" s="72">
        <v>132</v>
      </c>
      <c r="AZ45">
        <f t="shared" si="35"/>
        <v>83.160320987197451</v>
      </c>
      <c r="BA45" s="154">
        <f t="shared" si="36"/>
        <v>38320.275910900586</v>
      </c>
      <c r="BB45" s="154">
        <v>38320.275910900586</v>
      </c>
      <c r="BC45" s="45"/>
      <c r="BD45" s="60"/>
      <c r="BE45" s="45"/>
    </row>
    <row r="46" spans="1:65" ht="15.75" thickBot="1" x14ac:dyDescent="0.3">
      <c r="A46" s="30"/>
      <c r="B46" s="56" t="s">
        <v>239</v>
      </c>
      <c r="C46" s="183">
        <v>5</v>
      </c>
      <c r="D46" s="45" t="s">
        <v>244</v>
      </c>
      <c r="E46"/>
      <c r="F46" s="6"/>
      <c r="P46" s="64" t="s">
        <v>168</v>
      </c>
      <c r="Q46" s="273">
        <v>6</v>
      </c>
      <c r="R46" s="30"/>
      <c r="S46" s="30"/>
      <c r="T46" s="31" t="s">
        <v>247</v>
      </c>
      <c r="AI46" s="5"/>
      <c r="AJ46" s="5"/>
      <c r="AK46" s="131"/>
      <c r="AX46" s="144"/>
      <c r="AY46" s="79">
        <v>175</v>
      </c>
      <c r="AZ46">
        <f t="shared" si="35"/>
        <v>91.152928831195808</v>
      </c>
      <c r="BA46" s="154">
        <f t="shared" si="36"/>
        <v>42003.269605415029</v>
      </c>
      <c r="BB46" s="154">
        <v>42003.269605415029</v>
      </c>
      <c r="BC46" s="45"/>
      <c r="BD46" s="60"/>
      <c r="BE46" s="45"/>
    </row>
    <row r="47" spans="1:65" ht="15.75" thickBot="1" x14ac:dyDescent="0.3">
      <c r="A47" s="168"/>
      <c r="B47" s="56" t="s">
        <v>238</v>
      </c>
      <c r="C47" s="183">
        <v>0</v>
      </c>
      <c r="D47" s="45" t="s">
        <v>240</v>
      </c>
      <c r="E47"/>
      <c r="H47" s="6"/>
      <c r="I47" s="6"/>
      <c r="J47" s="6"/>
      <c r="K47" s="9"/>
      <c r="L47" s="6"/>
      <c r="M47" s="6"/>
      <c r="N47" s="10"/>
      <c r="O47" s="10"/>
      <c r="P47" s="198" t="s">
        <v>197</v>
      </c>
      <c r="Q47" s="274">
        <v>10</v>
      </c>
      <c r="R47" s="32"/>
      <c r="S47" s="32"/>
      <c r="T47" s="33" t="s">
        <v>249</v>
      </c>
      <c r="W47" s="45"/>
      <c r="X47" s="175"/>
      <c r="Y47" s="45"/>
      <c r="AI47" s="5"/>
      <c r="AJ47" s="5"/>
      <c r="AK47" s="131"/>
      <c r="AY47">
        <v>180</v>
      </c>
      <c r="AZ47">
        <f t="shared" si="35"/>
        <v>91.951409352163708</v>
      </c>
      <c r="BA47" s="154">
        <f t="shared" si="36"/>
        <v>42371.209429477036</v>
      </c>
      <c r="BB47" s="154">
        <v>42371.209429477036</v>
      </c>
      <c r="BC47" s="45"/>
      <c r="BD47" s="60"/>
      <c r="BE47" s="45"/>
    </row>
    <row r="48" spans="1:65" ht="15.75" thickBot="1" x14ac:dyDescent="0.3">
      <c r="A48" s="168"/>
      <c r="B48" s="114" t="s">
        <v>239</v>
      </c>
      <c r="C48" s="180">
        <v>180</v>
      </c>
      <c r="D48" s="45" t="s">
        <v>240</v>
      </c>
      <c r="E48"/>
      <c r="H48" s="6"/>
      <c r="I48" s="192" t="s">
        <v>82</v>
      </c>
      <c r="J48" s="191">
        <f>INDEX(LINEST($Y$3:$Y$14,$P$3:$P$14^{1,2}),3)</f>
        <v>-1.9667355966361683E-3</v>
      </c>
      <c r="K48" s="160">
        <f>INDEX(LINEST($Y$3:$Y$14,$P$3:$P$14^{1,2}),2)</f>
        <v>1.0846233950578638E-7</v>
      </c>
      <c r="L48" s="160">
        <f>INDEX(LINEST($Y$3:$Y$14,$P$3:$P$14^{1,2}),1)</f>
        <v>1.0234226848186559E-11</v>
      </c>
      <c r="M48" s="44" t="s">
        <v>254</v>
      </c>
      <c r="N48" s="10"/>
      <c r="O48" s="10"/>
      <c r="U48" s="10"/>
      <c r="V48" s="3"/>
      <c r="W48" s="45"/>
      <c r="X48" s="60"/>
      <c r="Y48" s="45"/>
      <c r="AX48" s="144"/>
      <c r="BC48" s="45"/>
      <c r="BD48" s="60"/>
      <c r="BE48" s="45"/>
    </row>
    <row r="49" spans="1:57" ht="15.75" thickBot="1" x14ac:dyDescent="0.3">
      <c r="Q49" s="60"/>
      <c r="R49" s="193"/>
      <c r="T49" s="193"/>
      <c r="U49" s="168"/>
      <c r="V49" s="30"/>
      <c r="BC49" s="45"/>
      <c r="BD49" s="60"/>
      <c r="BE49" s="45"/>
    </row>
    <row r="50" spans="1:57" ht="15.75" thickBot="1" x14ac:dyDescent="0.3">
      <c r="A50" s="3" t="s">
        <v>230</v>
      </c>
      <c r="B50" s="189">
        <v>1.25</v>
      </c>
      <c r="C50" s="45" t="s">
        <v>231</v>
      </c>
      <c r="D50" s="5"/>
      <c r="E50" s="172">
        <f>C31</f>
        <v>240</v>
      </c>
      <c r="F50" s="172" t="s">
        <v>142</v>
      </c>
      <c r="I50" s="156" t="s">
        <v>269</v>
      </c>
      <c r="M50" s="217" t="s">
        <v>268</v>
      </c>
      <c r="N50" s="122"/>
      <c r="Q50" s="60"/>
      <c r="R50" s="193"/>
      <c r="T50" s="193"/>
      <c r="U50" s="168"/>
      <c r="V50" s="30"/>
      <c r="W50" s="174"/>
      <c r="X50" s="45"/>
      <c r="Y50" s="45"/>
      <c r="BC50" s="45"/>
      <c r="BD50" s="60"/>
      <c r="BE50" s="45"/>
    </row>
    <row r="51" spans="1:57" x14ac:dyDescent="0.25">
      <c r="I51" s="218" t="s">
        <v>263</v>
      </c>
      <c r="J51" s="216" t="s">
        <v>89</v>
      </c>
      <c r="K51" s="219" t="s">
        <v>264</v>
      </c>
      <c r="L51" s="219" t="s">
        <v>265</v>
      </c>
      <c r="M51" s="219" t="s">
        <v>266</v>
      </c>
      <c r="N51" s="220" t="s">
        <v>267</v>
      </c>
      <c r="P51" s="215" t="s">
        <v>272</v>
      </c>
      <c r="Q51" s="240">
        <v>0</v>
      </c>
      <c r="R51" s="238">
        <f ca="1">J56</f>
        <v>21.759999999999998</v>
      </c>
      <c r="S51" s="238">
        <f ca="1">J55</f>
        <v>36.268292682926827</v>
      </c>
      <c r="T51" s="238">
        <f ca="1">J54</f>
        <v>47</v>
      </c>
      <c r="U51" s="239">
        <f ca="1">J53</f>
        <v>66.5</v>
      </c>
      <c r="V51" s="241">
        <v>80</v>
      </c>
      <c r="W51" s="45"/>
      <c r="X51" s="45"/>
      <c r="Y51" s="45"/>
      <c r="BC51" s="45"/>
      <c r="BD51" s="60"/>
      <c r="BE51" s="45"/>
    </row>
    <row r="52" spans="1:57" x14ac:dyDescent="0.25">
      <c r="I52" s="221">
        <v>0</v>
      </c>
      <c r="J52" s="233">
        <f t="shared" ref="J52:J57" ca="1" si="38">FORECAST(I52,OFFSET(MeasNt,MATCH(I52,MeasTauT,1)-1,0,2),OFFSET(MeasTauT,MATCH(I52,MeasTauT,1)-1,0,2))</f>
        <v>72.5</v>
      </c>
      <c r="K52" s="57">
        <v>0.2</v>
      </c>
      <c r="L52" s="57">
        <v>4.4000000000000004</v>
      </c>
      <c r="M52" s="57">
        <v>0.09</v>
      </c>
      <c r="N52" s="25">
        <v>5</v>
      </c>
      <c r="P52" s="252" t="s">
        <v>264</v>
      </c>
      <c r="Q52" s="253">
        <f>K57</f>
        <v>0.47499999999999998</v>
      </c>
      <c r="R52" s="253">
        <f>K56</f>
        <v>0.47499999999999998</v>
      </c>
      <c r="S52" s="253">
        <f>K55</f>
        <v>0.32500000000000001</v>
      </c>
      <c r="T52" s="253">
        <f>K54</f>
        <v>0.22500000000000001</v>
      </c>
      <c r="U52" s="254">
        <f>K53</f>
        <v>0.2</v>
      </c>
      <c r="V52" s="255">
        <f>K52</f>
        <v>0.2</v>
      </c>
      <c r="W52" s="45" t="s">
        <v>273</v>
      </c>
      <c r="X52" s="45"/>
      <c r="Y52" s="45"/>
      <c r="AJ52" s="94"/>
      <c r="AR52" s="3"/>
      <c r="BC52" s="45"/>
      <c r="BD52" s="60"/>
      <c r="BE52" s="45"/>
    </row>
    <row r="53" spans="1:57" x14ac:dyDescent="0.25">
      <c r="I53" s="221">
        <v>0.02</v>
      </c>
      <c r="J53" s="233">
        <f t="shared" ca="1" si="38"/>
        <v>66.5</v>
      </c>
      <c r="K53" s="57">
        <v>0.2</v>
      </c>
      <c r="L53" s="57">
        <v>3.75</v>
      </c>
      <c r="M53" s="57">
        <v>0.09</v>
      </c>
      <c r="N53" s="25">
        <v>5</v>
      </c>
      <c r="P53" s="252" t="s">
        <v>265</v>
      </c>
      <c r="Q53" s="256">
        <f>L57</f>
        <v>2.4</v>
      </c>
      <c r="R53" s="256">
        <f>L56</f>
        <v>2.4</v>
      </c>
      <c r="S53" s="256">
        <f>L55</f>
        <v>2.7</v>
      </c>
      <c r="T53" s="256">
        <f>L54</f>
        <v>3.2</v>
      </c>
      <c r="U53" s="257">
        <f>L53</f>
        <v>3.75</v>
      </c>
      <c r="V53" s="258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25">
      <c r="I54" s="221">
        <v>8.5000000000000006E-2</v>
      </c>
      <c r="J54" s="233">
        <f t="shared" ca="1" si="38"/>
        <v>47</v>
      </c>
      <c r="K54" s="57">
        <v>0.22500000000000001</v>
      </c>
      <c r="L54" s="57">
        <v>3.2</v>
      </c>
      <c r="M54" s="223">
        <v>0.125</v>
      </c>
      <c r="N54" s="224">
        <v>4.05</v>
      </c>
      <c r="P54" s="252" t="s">
        <v>270</v>
      </c>
      <c r="Q54" s="259">
        <v>0.15</v>
      </c>
      <c r="R54" s="259"/>
      <c r="S54" s="259"/>
      <c r="T54" s="259"/>
      <c r="U54" s="260"/>
      <c r="V54" s="261"/>
      <c r="W54" s="45"/>
      <c r="X54" s="45"/>
      <c r="Y54" s="45"/>
      <c r="BC54" s="45"/>
      <c r="BD54" s="45"/>
      <c r="BE54" s="45"/>
    </row>
    <row r="55" spans="1:57" x14ac:dyDescent="0.25">
      <c r="I55" s="221">
        <v>0.185</v>
      </c>
      <c r="J55" s="233">
        <f t="shared" ca="1" si="38"/>
        <v>36.268292682926827</v>
      </c>
      <c r="K55" s="57">
        <v>0.32500000000000001</v>
      </c>
      <c r="L55" s="57">
        <v>2.7</v>
      </c>
      <c r="M55" s="57">
        <v>0.24</v>
      </c>
      <c r="N55" s="25">
        <v>3.75</v>
      </c>
      <c r="P55" s="252" t="s">
        <v>271</v>
      </c>
      <c r="Q55" s="259">
        <v>0.03</v>
      </c>
      <c r="R55" s="259"/>
      <c r="S55" s="259"/>
      <c r="T55" s="259"/>
      <c r="U55" s="260"/>
      <c r="V55" s="261"/>
      <c r="W55" s="45"/>
      <c r="X55" s="176"/>
      <c r="Y55" s="45"/>
    </row>
    <row r="56" spans="1:57" x14ac:dyDescent="0.25">
      <c r="I56" s="221">
        <v>0.34399999999999997</v>
      </c>
      <c r="J56" s="233">
        <f t="shared" ca="1" si="38"/>
        <v>21.759999999999998</v>
      </c>
      <c r="K56" s="57">
        <v>0.47499999999999998</v>
      </c>
      <c r="L56" s="57">
        <v>2.4</v>
      </c>
      <c r="M56" s="57">
        <v>0.42</v>
      </c>
      <c r="N56" s="25">
        <v>3.6</v>
      </c>
      <c r="P56" s="252" t="s">
        <v>266</v>
      </c>
      <c r="Q56" s="253">
        <f>M57</f>
        <v>0.42</v>
      </c>
      <c r="R56" s="253">
        <f>M56</f>
        <v>0.42</v>
      </c>
      <c r="S56" s="253">
        <f>M55</f>
        <v>0.24</v>
      </c>
      <c r="T56" s="253">
        <f>M54</f>
        <v>0.125</v>
      </c>
      <c r="U56" s="254">
        <f>M53</f>
        <v>0.09</v>
      </c>
      <c r="V56" s="255">
        <f>M52</f>
        <v>0.09</v>
      </c>
      <c r="W56" s="45" t="s">
        <v>274</v>
      </c>
      <c r="X56" s="176"/>
      <c r="Y56" s="45"/>
    </row>
    <row r="57" spans="1:57" ht="15.75" thickBot="1" x14ac:dyDescent="0.3">
      <c r="I57" s="225">
        <v>0.5</v>
      </c>
      <c r="J57" s="237">
        <f t="shared" ca="1" si="38"/>
        <v>12.399999999999995</v>
      </c>
      <c r="K57" s="227">
        <v>0.47499999999999998</v>
      </c>
      <c r="L57" s="227">
        <v>2.4</v>
      </c>
      <c r="M57" s="227">
        <v>0.42</v>
      </c>
      <c r="N57" s="27">
        <v>3.6</v>
      </c>
      <c r="P57" s="262" t="s">
        <v>267</v>
      </c>
      <c r="Q57" s="263">
        <f>N57</f>
        <v>3.6</v>
      </c>
      <c r="R57" s="263">
        <f>N56</f>
        <v>3.6</v>
      </c>
      <c r="S57" s="263">
        <f>N55</f>
        <v>3.75</v>
      </c>
      <c r="T57" s="263">
        <f>N54</f>
        <v>4.05</v>
      </c>
      <c r="U57" s="264">
        <f>N53</f>
        <v>5</v>
      </c>
      <c r="V57" s="265">
        <f>N52</f>
        <v>5</v>
      </c>
      <c r="W57" s="45"/>
      <c r="X57" s="176"/>
      <c r="Y57" s="45"/>
    </row>
    <row r="58" spans="1:57" x14ac:dyDescent="0.25">
      <c r="V58" s="45"/>
      <c r="W58" s="45"/>
      <c r="X58" s="176"/>
      <c r="Y58" s="45"/>
    </row>
    <row r="59" spans="1:57" x14ac:dyDescent="0.25">
      <c r="W59" s="45"/>
      <c r="X59" s="176"/>
      <c r="Y59" s="45"/>
    </row>
    <row r="60" spans="1:57" x14ac:dyDescent="0.25">
      <c r="W60" s="45"/>
      <c r="X60" s="129"/>
      <c r="Y60" s="45"/>
    </row>
    <row r="61" spans="1:57" x14ac:dyDescent="0.25">
      <c r="W61" s="45"/>
      <c r="X61" s="129"/>
      <c r="Y61" s="45"/>
    </row>
    <row r="62" spans="1:57" x14ac:dyDescent="0.25">
      <c r="W62" s="45"/>
      <c r="X62" s="129"/>
      <c r="Y62" s="45"/>
    </row>
    <row r="63" spans="1:57" x14ac:dyDescent="0.25">
      <c r="H63" s="15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2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2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2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0"/>
      <c r="E71" s="60"/>
      <c r="F71" s="60"/>
      <c r="G71" s="60"/>
      <c r="H71" s="60"/>
      <c r="I71" s="170"/>
      <c r="J71" s="60"/>
      <c r="K71" s="167"/>
      <c r="L71" s="60"/>
      <c r="M71" s="60"/>
      <c r="N71" s="168"/>
      <c r="O71" s="168"/>
      <c r="P71" s="168"/>
      <c r="Q71" s="168"/>
      <c r="R71" s="168"/>
      <c r="S71" s="168"/>
      <c r="T71" s="168"/>
      <c r="U71" s="169"/>
      <c r="V71" s="16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0"/>
      <c r="E72" s="60"/>
      <c r="F72" s="60"/>
      <c r="G72" s="60"/>
      <c r="H72" s="60"/>
      <c r="I72" s="170"/>
      <c r="J72" s="60"/>
      <c r="K72" s="167"/>
      <c r="L72" s="60"/>
      <c r="M72" s="60"/>
      <c r="N72" s="168"/>
      <c r="O72" s="168"/>
      <c r="P72" s="168"/>
      <c r="Q72" s="168"/>
      <c r="R72" s="168"/>
      <c r="S72" s="168"/>
      <c r="T72" s="168"/>
      <c r="U72" s="169"/>
      <c r="V72" s="169"/>
      <c r="W72" s="9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0"/>
      <c r="E73" s="60"/>
      <c r="F73" s="60"/>
      <c r="G73" s="60"/>
      <c r="H73" s="60"/>
      <c r="I73" s="170"/>
      <c r="J73" s="60"/>
      <c r="K73" s="167"/>
      <c r="L73" s="60"/>
      <c r="M73" s="60"/>
      <c r="N73" s="168"/>
      <c r="O73" s="168"/>
      <c r="P73" s="168"/>
      <c r="Q73" s="168"/>
      <c r="R73" s="168"/>
      <c r="S73" s="168"/>
      <c r="T73" s="168"/>
      <c r="U73" s="169"/>
      <c r="V73" s="16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0"/>
      <c r="E74" s="60"/>
      <c r="F74" s="60"/>
      <c r="G74" s="60"/>
      <c r="H74" s="60"/>
      <c r="I74" s="170"/>
      <c r="J74" s="60"/>
      <c r="K74" s="167"/>
      <c r="L74" s="60"/>
      <c r="M74" s="60"/>
      <c r="N74" s="168"/>
      <c r="O74" s="168"/>
      <c r="P74" s="168"/>
      <c r="Q74" s="168"/>
      <c r="R74" s="168"/>
      <c r="S74" s="168"/>
      <c r="T74" s="168"/>
      <c r="U74" s="169"/>
      <c r="V74" s="169"/>
      <c r="W74" s="45"/>
      <c r="X74" s="45"/>
      <c r="Y74" s="45"/>
      <c r="Z74" s="45"/>
      <c r="AA74" s="12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0"/>
      <c r="E75" s="60"/>
      <c r="F75" s="60"/>
      <c r="G75" s="60"/>
      <c r="H75" s="60"/>
      <c r="I75" s="170"/>
      <c r="J75" s="60"/>
      <c r="K75" s="167"/>
      <c r="L75" s="60"/>
      <c r="M75" s="60"/>
      <c r="N75" s="168"/>
      <c r="O75" s="168"/>
      <c r="P75" s="168"/>
      <c r="Q75" s="168"/>
      <c r="R75" s="168"/>
      <c r="S75" s="168"/>
      <c r="T75" s="168"/>
      <c r="U75" s="169"/>
      <c r="V75" s="169"/>
      <c r="W75" s="45"/>
      <c r="X75" s="45"/>
      <c r="Y75" s="45"/>
      <c r="Z75" s="45"/>
      <c r="AA75" s="12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0"/>
      <c r="E76" s="60"/>
      <c r="F76" s="60"/>
      <c r="G76" s="60"/>
      <c r="H76" s="60"/>
      <c r="I76" s="170"/>
      <c r="J76" s="60"/>
      <c r="K76" s="167"/>
      <c r="L76" s="60"/>
      <c r="M76" s="60"/>
      <c r="N76" s="168"/>
      <c r="O76" s="168"/>
      <c r="P76" s="168"/>
      <c r="Q76" s="168"/>
      <c r="R76" s="168"/>
      <c r="S76" s="168"/>
      <c r="T76" s="168"/>
      <c r="U76" s="169"/>
      <c r="V76" s="169"/>
      <c r="W76" s="45"/>
      <c r="X76" s="45"/>
      <c r="Y76" s="45"/>
      <c r="Z76" s="45"/>
      <c r="AA76" s="12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0"/>
      <c r="E77" s="60"/>
      <c r="F77" s="60"/>
      <c r="G77" s="60"/>
      <c r="H77" s="60"/>
      <c r="I77" s="60"/>
      <c r="J77" s="60"/>
      <c r="K77" s="167"/>
      <c r="L77" s="60"/>
      <c r="M77" s="60"/>
      <c r="N77" s="168"/>
      <c r="O77" s="168"/>
      <c r="P77" s="168"/>
      <c r="Q77" s="168"/>
      <c r="R77" s="168"/>
      <c r="S77" s="168"/>
      <c r="T77" s="168"/>
      <c r="U77" s="169"/>
      <c r="V77" s="169"/>
      <c r="W77" s="45"/>
      <c r="X77" s="166"/>
      <c r="Y77" s="16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0"/>
      <c r="E93" s="60"/>
      <c r="F93" s="60"/>
      <c r="G93" s="60"/>
      <c r="H93" s="60"/>
      <c r="I93" s="60"/>
      <c r="J93" s="60"/>
      <c r="K93" s="167"/>
      <c r="L93" s="60"/>
      <c r="M93" s="60"/>
      <c r="N93" s="168"/>
      <c r="O93" s="168"/>
      <c r="P93" s="168"/>
      <c r="Q93" s="168"/>
      <c r="R93" s="168"/>
      <c r="S93" s="168"/>
      <c r="T93" s="168"/>
      <c r="U93" s="169"/>
      <c r="V93" s="169"/>
      <c r="W93" s="45"/>
      <c r="X93" s="166"/>
      <c r="Y93" s="16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0"/>
      <c r="E94" s="60"/>
      <c r="F94" s="60"/>
      <c r="G94" s="60"/>
      <c r="H94" s="60"/>
      <c r="I94" s="60"/>
      <c r="J94" s="60"/>
      <c r="K94" s="167"/>
      <c r="L94" s="60"/>
      <c r="M94" s="60"/>
      <c r="N94" s="168"/>
      <c r="O94" s="168"/>
      <c r="P94" s="168"/>
      <c r="Q94" s="168"/>
      <c r="R94" s="168"/>
      <c r="S94" s="168"/>
      <c r="T94" s="168"/>
      <c r="U94" s="169"/>
      <c r="V94" s="169"/>
      <c r="W94" s="45"/>
      <c r="X94" s="166"/>
      <c r="Y94" s="16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0"/>
      <c r="E95" s="60"/>
      <c r="F95" s="60"/>
      <c r="G95" s="60"/>
      <c r="H95" s="60"/>
      <c r="I95" s="60"/>
      <c r="J95" s="60"/>
      <c r="K95" s="167"/>
      <c r="L95" s="60"/>
      <c r="M95" s="60"/>
      <c r="N95" s="168"/>
      <c r="O95" s="168"/>
      <c r="P95" s="168"/>
      <c r="Q95" s="168"/>
      <c r="R95" s="168"/>
      <c r="S95" s="168"/>
      <c r="T95" s="168"/>
      <c r="U95" s="169"/>
      <c r="V95" s="169"/>
      <c r="W95" s="45"/>
      <c r="X95" s="166"/>
      <c r="Y95" s="16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0"/>
      <c r="E96" s="60"/>
      <c r="F96" s="60"/>
      <c r="G96" s="60"/>
      <c r="H96" s="60"/>
      <c r="I96" s="60"/>
      <c r="J96" s="60"/>
      <c r="K96" s="167"/>
      <c r="L96" s="60"/>
      <c r="M96" s="60"/>
      <c r="N96" s="168"/>
      <c r="O96" s="168"/>
      <c r="P96" s="168"/>
      <c r="Q96" s="168"/>
      <c r="R96" s="168"/>
      <c r="S96" s="168"/>
      <c r="T96" s="168"/>
      <c r="U96" s="169"/>
      <c r="V96" s="169"/>
      <c r="W96" s="45"/>
      <c r="X96" s="166"/>
      <c r="Y96" s="16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0"/>
      <c r="E97" s="60"/>
      <c r="F97" s="60"/>
      <c r="G97" s="60"/>
      <c r="H97" s="60"/>
      <c r="I97" s="60"/>
      <c r="J97" s="60"/>
      <c r="K97" s="167"/>
      <c r="L97" s="60"/>
      <c r="M97" s="60"/>
      <c r="N97" s="168"/>
      <c r="O97" s="168"/>
      <c r="P97" s="168"/>
      <c r="Q97" s="168"/>
      <c r="R97" s="168"/>
      <c r="S97" s="168"/>
      <c r="T97" s="168"/>
      <c r="U97" s="169"/>
      <c r="V97" s="169"/>
      <c r="W97" s="45"/>
      <c r="X97" s="166"/>
      <c r="Y97" s="16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0"/>
      <c r="E98" s="60"/>
      <c r="F98" s="60"/>
      <c r="G98" s="60"/>
      <c r="H98" s="60"/>
      <c r="I98" s="60"/>
      <c r="J98" s="60"/>
      <c r="K98" s="167"/>
      <c r="L98" s="60"/>
      <c r="M98" s="60"/>
      <c r="N98" s="168"/>
      <c r="O98" s="168"/>
      <c r="P98" s="168"/>
      <c r="Q98" s="168"/>
      <c r="R98" s="168"/>
      <c r="S98" s="168"/>
      <c r="T98" s="168"/>
      <c r="U98" s="169"/>
      <c r="V98" s="169"/>
      <c r="W98" s="45"/>
      <c r="X98" s="166"/>
      <c r="Y98" s="16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0"/>
      <c r="E99" s="60"/>
      <c r="F99" s="60"/>
      <c r="G99" s="60"/>
      <c r="H99" s="60"/>
      <c r="I99" s="60"/>
      <c r="J99" s="60"/>
      <c r="K99" s="167"/>
      <c r="L99" s="60"/>
      <c r="M99" s="60"/>
      <c r="N99" s="168"/>
      <c r="O99" s="168"/>
      <c r="P99" s="168"/>
      <c r="Q99" s="168"/>
      <c r="R99" s="168"/>
      <c r="S99" s="168"/>
      <c r="T99" s="168"/>
      <c r="U99" s="169"/>
      <c r="V99" s="169"/>
      <c r="W99" s="45"/>
      <c r="X99" s="166"/>
      <c r="Y99" s="16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0"/>
      <c r="E100" s="60"/>
      <c r="F100" s="60"/>
      <c r="G100" s="60"/>
      <c r="H100" s="60"/>
      <c r="I100" s="60"/>
      <c r="J100" s="60"/>
      <c r="K100" s="167"/>
      <c r="L100" s="60"/>
      <c r="M100" s="60"/>
      <c r="N100" s="168"/>
      <c r="O100" s="168"/>
      <c r="P100" s="168"/>
      <c r="Q100" s="168"/>
      <c r="R100" s="168"/>
      <c r="S100" s="168"/>
      <c r="T100" s="168"/>
      <c r="U100" s="169"/>
      <c r="V100" s="169"/>
      <c r="W100" s="45"/>
      <c r="X100" s="166"/>
      <c r="Y100" s="16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0"/>
      <c r="E101" s="60"/>
      <c r="F101" s="60"/>
      <c r="G101" s="60"/>
      <c r="H101" s="60"/>
      <c r="I101" s="60"/>
      <c r="J101" s="60"/>
      <c r="K101" s="167"/>
      <c r="L101" s="60"/>
      <c r="M101" s="60"/>
      <c r="N101" s="168"/>
      <c r="O101" s="168"/>
      <c r="P101" s="168"/>
      <c r="Q101" s="168"/>
      <c r="R101" s="168"/>
      <c r="S101" s="168"/>
      <c r="T101" s="168"/>
      <c r="U101" s="169"/>
      <c r="V101" s="169"/>
      <c r="W101" s="45"/>
      <c r="X101" s="166"/>
      <c r="Y101" s="16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169"/>
      <c r="V102" s="169"/>
      <c r="W102" s="45"/>
      <c r="X102" s="166"/>
      <c r="Y102" s="16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169"/>
      <c r="V103" s="169"/>
      <c r="W103" s="45"/>
      <c r="X103" s="166"/>
      <c r="Y103" s="16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0"/>
      <c r="E107" s="60"/>
      <c r="F107" s="60"/>
      <c r="G107" s="60"/>
      <c r="H107" s="60"/>
      <c r="I107" s="170"/>
      <c r="J107" s="60"/>
      <c r="K107" s="167"/>
      <c r="L107" s="60"/>
      <c r="M107" s="60"/>
      <c r="N107" s="168"/>
      <c r="O107" s="168"/>
      <c r="P107" s="168"/>
      <c r="Q107" s="168"/>
      <c r="R107" s="168"/>
      <c r="S107" s="168"/>
      <c r="T107" s="168"/>
      <c r="U107" s="169"/>
      <c r="V107" s="169"/>
      <c r="W107" s="45"/>
      <c r="X107" s="166"/>
      <c r="Y107" s="16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0"/>
      <c r="E108" s="60"/>
      <c r="F108" s="60"/>
      <c r="G108" s="60"/>
      <c r="H108" s="60"/>
      <c r="I108" s="170"/>
      <c r="J108" s="60"/>
      <c r="K108" s="167"/>
      <c r="L108" s="60"/>
      <c r="M108" s="60"/>
      <c r="N108" s="168"/>
      <c r="O108" s="168"/>
      <c r="P108" s="168"/>
      <c r="Q108" s="168"/>
      <c r="R108" s="168"/>
      <c r="S108" s="168"/>
      <c r="T108" s="168"/>
      <c r="U108" s="169"/>
      <c r="V108" s="169"/>
      <c r="W108" s="45"/>
      <c r="X108" s="166"/>
      <c r="Y108" s="16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0"/>
      <c r="E109" s="60"/>
      <c r="F109" s="60"/>
      <c r="G109" s="60"/>
      <c r="H109" s="60"/>
      <c r="I109" s="170"/>
      <c r="J109" s="60"/>
      <c r="K109" s="167"/>
      <c r="L109" s="60"/>
      <c r="M109" s="60"/>
      <c r="N109" s="168"/>
      <c r="O109" s="168"/>
      <c r="P109" s="168"/>
      <c r="Q109" s="168"/>
      <c r="R109" s="168"/>
      <c r="S109" s="168"/>
      <c r="T109" s="168"/>
      <c r="U109" s="169"/>
      <c r="V109" s="169"/>
      <c r="W109" s="45"/>
      <c r="X109" s="166"/>
      <c r="Y109" s="16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0"/>
      <c r="E110" s="60"/>
      <c r="F110" s="60"/>
      <c r="G110" s="60"/>
      <c r="H110" s="60"/>
      <c r="I110" s="60"/>
      <c r="J110" s="60"/>
      <c r="K110" s="167"/>
      <c r="L110" s="60"/>
      <c r="M110" s="60"/>
      <c r="N110" s="168"/>
      <c r="O110" s="168"/>
      <c r="P110" s="168"/>
      <c r="Q110" s="168"/>
      <c r="R110" s="168"/>
      <c r="S110" s="168"/>
      <c r="T110" s="168"/>
      <c r="U110" s="169"/>
      <c r="V110" s="169"/>
      <c r="W110" s="45"/>
      <c r="X110" s="166"/>
      <c r="Y110" s="16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0"/>
      <c r="E111" s="60"/>
      <c r="F111" s="60"/>
      <c r="G111" s="60"/>
      <c r="H111" s="60"/>
      <c r="I111" s="60"/>
      <c r="J111" s="60"/>
      <c r="K111" s="167"/>
      <c r="L111" s="60"/>
      <c r="M111" s="60"/>
      <c r="N111" s="168"/>
      <c r="O111" s="168"/>
      <c r="P111" s="168"/>
      <c r="Q111" s="168"/>
      <c r="R111" s="168"/>
      <c r="S111" s="168"/>
      <c r="T111" s="168"/>
      <c r="U111" s="169"/>
      <c r="V111" s="169"/>
      <c r="W111" s="45"/>
      <c r="X111" s="166"/>
      <c r="Y111" s="16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0"/>
      <c r="E112" s="60"/>
      <c r="F112" s="60"/>
      <c r="G112" s="60"/>
      <c r="H112" s="60"/>
      <c r="I112" s="60"/>
      <c r="J112" s="60"/>
      <c r="K112" s="167"/>
      <c r="L112" s="60"/>
      <c r="M112" s="60"/>
      <c r="N112" s="168"/>
      <c r="O112" s="168"/>
      <c r="P112" s="168"/>
      <c r="Q112" s="168"/>
      <c r="R112" s="168"/>
      <c r="S112" s="168"/>
      <c r="T112" s="168"/>
      <c r="U112" s="169"/>
      <c r="V112" s="169"/>
      <c r="W112" s="45"/>
      <c r="X112" s="166"/>
      <c r="Y112" s="16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0"/>
      <c r="E113" s="60"/>
      <c r="F113" s="60"/>
      <c r="G113" s="60"/>
      <c r="H113" s="60"/>
      <c r="I113" s="60"/>
      <c r="J113" s="60"/>
      <c r="K113" s="167"/>
      <c r="L113" s="60"/>
      <c r="M113" s="60"/>
      <c r="N113" s="168"/>
      <c r="O113" s="168"/>
      <c r="P113" s="168"/>
      <c r="Q113" s="168"/>
      <c r="R113" s="168"/>
      <c r="S113" s="168"/>
      <c r="T113" s="168"/>
      <c r="U113" s="169"/>
      <c r="V113" s="169"/>
      <c r="W113" s="45"/>
      <c r="X113" s="166"/>
      <c r="Y113" s="16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0"/>
      <c r="E114" s="60"/>
      <c r="F114" s="60"/>
      <c r="G114" s="60"/>
      <c r="H114" s="60"/>
      <c r="I114" s="60"/>
      <c r="J114" s="60"/>
      <c r="K114" s="167"/>
      <c r="L114" s="60"/>
      <c r="M114" s="60"/>
      <c r="N114" s="168"/>
      <c r="O114" s="168"/>
      <c r="P114" s="168"/>
      <c r="Q114" s="168"/>
      <c r="R114" s="168"/>
      <c r="S114" s="168"/>
      <c r="T114" s="168"/>
      <c r="U114" s="169"/>
      <c r="V114" s="169"/>
      <c r="W114" s="45"/>
      <c r="X114" s="166"/>
      <c r="Y114" s="16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0"/>
      <c r="E115" s="60"/>
      <c r="F115" s="60"/>
      <c r="G115" s="60"/>
      <c r="H115" s="60"/>
      <c r="I115" s="60"/>
      <c r="J115" s="60"/>
      <c r="K115" s="167"/>
      <c r="L115" s="60"/>
      <c r="M115" s="60"/>
      <c r="N115" s="168"/>
      <c r="O115" s="168"/>
      <c r="P115" s="168"/>
      <c r="Q115" s="168"/>
      <c r="R115" s="168"/>
      <c r="S115" s="168"/>
      <c r="T115" s="168"/>
      <c r="U115" s="169"/>
      <c r="V115" s="169"/>
      <c r="W115" s="45"/>
      <c r="X115" s="166"/>
      <c r="Y115" s="16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0"/>
      <c r="E116" s="60"/>
      <c r="F116" s="60"/>
      <c r="G116" s="60"/>
      <c r="H116" s="60"/>
      <c r="I116" s="60"/>
      <c r="J116" s="60"/>
      <c r="K116" s="167"/>
      <c r="L116" s="60"/>
      <c r="M116" s="60"/>
      <c r="N116" s="168"/>
      <c r="O116" s="168"/>
      <c r="P116" s="168"/>
      <c r="Q116" s="168"/>
      <c r="R116" s="168"/>
      <c r="S116" s="168"/>
      <c r="T116" s="168"/>
      <c r="U116" s="169"/>
      <c r="V116" s="169"/>
      <c r="W116" s="45"/>
      <c r="X116" s="166"/>
      <c r="Y116" s="16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0"/>
      <c r="E117" s="60"/>
      <c r="F117" s="60"/>
      <c r="G117" s="60"/>
      <c r="H117" s="60"/>
      <c r="I117" s="60"/>
      <c r="J117" s="60"/>
      <c r="K117" s="167"/>
      <c r="L117" s="60"/>
      <c r="M117" s="60"/>
      <c r="N117" s="168"/>
      <c r="O117" s="168"/>
      <c r="P117" s="168"/>
      <c r="Q117" s="168"/>
      <c r="R117" s="168"/>
      <c r="S117" s="168"/>
      <c r="T117" s="168"/>
      <c r="U117" s="169"/>
      <c r="V117" s="169"/>
      <c r="W117" s="45"/>
      <c r="X117" s="166"/>
      <c r="Y117" s="16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0"/>
      <c r="E118" s="60"/>
      <c r="F118" s="60"/>
      <c r="G118" s="60"/>
      <c r="H118" s="60"/>
      <c r="I118" s="60"/>
      <c r="J118" s="60"/>
      <c r="K118" s="167"/>
      <c r="L118" s="60"/>
      <c r="M118" s="60"/>
      <c r="N118" s="168"/>
      <c r="O118" s="168"/>
      <c r="P118" s="168"/>
      <c r="Q118" s="168"/>
      <c r="R118" s="168"/>
      <c r="S118" s="168"/>
      <c r="T118" s="168"/>
      <c r="U118" s="169"/>
      <c r="V118" s="169"/>
      <c r="W118" s="45"/>
      <c r="X118" s="166"/>
      <c r="Y118" s="16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0"/>
      <c r="E119" s="60"/>
      <c r="F119" s="60"/>
      <c r="G119" s="60"/>
      <c r="H119" s="60"/>
      <c r="I119" s="60"/>
      <c r="J119" s="60"/>
      <c r="K119" s="167"/>
      <c r="L119" s="60"/>
      <c r="M119" s="60"/>
      <c r="N119" s="168"/>
      <c r="O119" s="168"/>
      <c r="P119" s="168"/>
      <c r="Q119" s="168"/>
      <c r="R119" s="168"/>
      <c r="S119" s="168"/>
      <c r="T119" s="168"/>
      <c r="U119" s="169"/>
      <c r="V119" s="169"/>
      <c r="W119" s="45"/>
      <c r="X119" s="166"/>
      <c r="Y119" s="16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169"/>
      <c r="V120" s="169"/>
      <c r="W120" s="45"/>
      <c r="X120" s="166"/>
      <c r="Y120" s="16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169"/>
      <c r="V121" s="169"/>
      <c r="W121" s="45"/>
      <c r="X121" s="166"/>
      <c r="Y121" s="16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45"/>
      <c r="V122" s="45"/>
      <c r="W122" s="45"/>
      <c r="X122" s="16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45"/>
      <c r="V123" s="45"/>
      <c r="W123" s="45"/>
      <c r="X123" s="16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:C1048576"/>
    </sheetView>
  </sheetViews>
  <sheetFormatPr defaultRowHeight="15" x14ac:dyDescent="0.25"/>
  <cols>
    <col min="2" max="2" width="11.7109375" bestFit="1" customWidth="1"/>
    <col min="3" max="3" width="11.7109375" customWidth="1"/>
  </cols>
  <sheetData>
    <row r="1" spans="1:4" x14ac:dyDescent="0.25">
      <c r="A1" t="s">
        <v>335</v>
      </c>
      <c r="B1" t="s">
        <v>334</v>
      </c>
      <c r="D1" t="s">
        <v>197</v>
      </c>
    </row>
    <row r="2" spans="1:4" x14ac:dyDescent="0.25">
      <c r="A2">
        <v>1</v>
      </c>
      <c r="B2">
        <v>5800</v>
      </c>
      <c r="D2">
        <v>7</v>
      </c>
    </row>
    <row r="3" spans="1:4" x14ac:dyDescent="0.25">
      <c r="A3">
        <v>2</v>
      </c>
      <c r="B3">
        <v>5553</v>
      </c>
      <c r="D3">
        <v>9</v>
      </c>
    </row>
    <row r="4" spans="1:4" x14ac:dyDescent="0.25">
      <c r="A4">
        <v>3</v>
      </c>
      <c r="B4">
        <v>6115</v>
      </c>
      <c r="D4">
        <v>8</v>
      </c>
    </row>
    <row r="5" spans="1:4" x14ac:dyDescent="0.25">
      <c r="A5">
        <v>4</v>
      </c>
      <c r="B5">
        <v>6435</v>
      </c>
      <c r="D5">
        <v>10</v>
      </c>
    </row>
    <row r="6" spans="1:4" x14ac:dyDescent="0.25">
      <c r="A6">
        <v>5</v>
      </c>
      <c r="B6">
        <v>8641</v>
      </c>
      <c r="D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Ard_Turn_ESC_Gb_Ta</vt:lpstr>
      <vt:lpstr>Ardx_Turnx_ESCx_Gxb_Txa</vt:lpstr>
      <vt:lpstr>DeltaV</vt:lpstr>
      <vt:lpstr>CalPhotonTurnigy</vt:lpstr>
      <vt:lpstr>TauPhotonTurnigy</vt:lpstr>
      <vt:lpstr>CalArduinoHiTec</vt:lpstr>
      <vt:lpstr>Time Const Comp</vt:lpstr>
      <vt:lpstr>ChartTauT</vt:lpstr>
      <vt:lpstr>Ard_Turn_ESC_Gb_Ta!Meas_TauT__s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Ard_Turn_ESC_Gb_Ta!MeasNt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Ard_Turn_ESC_Gb_Ta!MeasTauT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Ard_Turn_ESC_Gb_Ta!Nt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2017-01-20T20:30:59Z</dcterms:modified>
</cp:coreProperties>
</file>