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19656" windowHeight="8388"/>
  </bookViews>
  <sheets>
    <sheet name="CalPhotonTurnigy" sheetId="4" r:id="rId1"/>
    <sheet name="TauPhotonTurnigy" sheetId="5" r:id="rId2"/>
    <sheet name="CalArduinoTurnigy" sheetId="3" r:id="rId3"/>
    <sheet name="CalArduinoHiTec" sheetId="1" r:id="rId4"/>
    <sheet name="CalPhotonHiTec" sheetId="2" r:id="rId5"/>
  </sheets>
  <calcPr calcId="152511"/>
</workbook>
</file>

<file path=xl/calcChain.xml><?xml version="1.0" encoding="utf-8"?>
<calcChain xmlns="http://schemas.openxmlformats.org/spreadsheetml/2006/main">
  <c r="AE8" i="4" l="1"/>
  <c r="AE9" i="4"/>
  <c r="AE10" i="4"/>
  <c r="AE11" i="4"/>
  <c r="AE12" i="4"/>
  <c r="AE13" i="4"/>
  <c r="AE14" i="4"/>
  <c r="AE15" i="4"/>
  <c r="AF13" i="4"/>
  <c r="AE40" i="4" l="1"/>
  <c r="AU2" i="5" l="1"/>
  <c r="AX2" i="5"/>
  <c r="AZ2" i="5" s="1"/>
  <c r="BA2" i="5"/>
  <c r="BC2" i="5"/>
  <c r="BD2" i="5"/>
  <c r="BE2" i="5"/>
  <c r="BF2" i="5" s="1"/>
  <c r="BM2" i="5"/>
  <c r="BN2" i="5" s="1"/>
  <c r="BS2" i="5" s="1"/>
  <c r="BP2" i="5"/>
  <c r="BQ2" i="5" s="1"/>
  <c r="AU3" i="5"/>
  <c r="AX3" i="5"/>
  <c r="AZ3" i="5" s="1"/>
  <c r="BA3" i="5"/>
  <c r="BB3" i="5" s="1"/>
  <c r="BB2" i="5" s="1"/>
  <c r="BC3" i="5"/>
  <c r="BE3" i="5"/>
  <c r="BF3" i="5"/>
  <c r="BM3" i="5"/>
  <c r="BN3" i="5" s="1"/>
  <c r="BS3" i="5" s="1"/>
  <c r="BO3" i="5"/>
  <c r="BP3" i="5"/>
  <c r="BQ3" i="5" s="1"/>
  <c r="AU4" i="5"/>
  <c r="AX4" i="5"/>
  <c r="AZ4" i="5"/>
  <c r="BA4" i="5"/>
  <c r="BD4" i="5" s="1"/>
  <c r="BC4" i="5"/>
  <c r="BE4" i="5"/>
  <c r="BF4" i="5" s="1"/>
  <c r="BM4" i="5"/>
  <c r="BN4" i="5"/>
  <c r="BO4" i="5"/>
  <c r="BT4" i="5" s="1"/>
  <c r="BP4" i="5"/>
  <c r="BQ4" i="5" s="1"/>
  <c r="BR4" i="5"/>
  <c r="AU5" i="5"/>
  <c r="AX5" i="5"/>
  <c r="AZ5" i="5" s="1"/>
  <c r="BA5" i="5"/>
  <c r="BB5" i="5" s="1"/>
  <c r="BC5" i="5"/>
  <c r="BD5" i="5"/>
  <c r="BE5" i="5"/>
  <c r="BF5" i="5" s="1"/>
  <c r="BM5" i="5"/>
  <c r="BP5" i="5"/>
  <c r="BQ5" i="5"/>
  <c r="BR5" i="5"/>
  <c r="AU6" i="5"/>
  <c r="AX6" i="5"/>
  <c r="AZ6" i="5" s="1"/>
  <c r="BA6" i="5"/>
  <c r="BB6" i="5"/>
  <c r="BC6" i="5"/>
  <c r="BD6" i="5"/>
  <c r="BE6" i="5"/>
  <c r="BF6" i="5"/>
  <c r="BM6" i="5"/>
  <c r="BN6" i="5" s="1"/>
  <c r="BP6" i="5"/>
  <c r="BR6" i="5" s="1"/>
  <c r="BQ6" i="5"/>
  <c r="AU7" i="5"/>
  <c r="BB7" i="5" s="1"/>
  <c r="AX7" i="5"/>
  <c r="AZ7" i="5" s="1"/>
  <c r="BA7" i="5"/>
  <c r="BD7" i="5" s="1"/>
  <c r="BC7" i="5"/>
  <c r="BE7" i="5"/>
  <c r="BF7" i="5"/>
  <c r="BM7" i="5"/>
  <c r="BN7" i="5" s="1"/>
  <c r="BO7" i="5"/>
  <c r="BP7" i="5"/>
  <c r="AU8" i="5"/>
  <c r="AX8" i="5"/>
  <c r="AZ8" i="5"/>
  <c r="BA8" i="5"/>
  <c r="BD8" i="5" s="1"/>
  <c r="BC8" i="5"/>
  <c r="BE8" i="5"/>
  <c r="BF8" i="5" s="1"/>
  <c r="BM8" i="5"/>
  <c r="BN8" i="5"/>
  <c r="BO8" i="5"/>
  <c r="BP8" i="5"/>
  <c r="BQ8" i="5" s="1"/>
  <c r="BR8" i="5"/>
  <c r="BS8" i="5"/>
  <c r="M8" i="5" s="1"/>
  <c r="AU9" i="5"/>
  <c r="AX9" i="5"/>
  <c r="AZ9" i="5" s="1"/>
  <c r="BA9" i="5"/>
  <c r="BC9" i="5"/>
  <c r="BD9" i="5"/>
  <c r="BE9" i="5"/>
  <c r="BF9" i="5" s="1"/>
  <c r="BM9" i="5"/>
  <c r="BO9" i="5" s="1"/>
  <c r="BT9" i="5" s="1"/>
  <c r="AD9" i="5" s="1"/>
  <c r="BP9" i="5"/>
  <c r="BQ9" i="5"/>
  <c r="BR9" i="5"/>
  <c r="AU10" i="5"/>
  <c r="AX10" i="5"/>
  <c r="AZ10" i="5" s="1"/>
  <c r="BA10" i="5"/>
  <c r="BD10" i="5" s="1"/>
  <c r="BB10" i="5"/>
  <c r="BC10" i="5"/>
  <c r="BE10" i="5"/>
  <c r="BF10" i="5"/>
  <c r="BM10" i="5"/>
  <c r="BP10" i="5"/>
  <c r="BR10" i="5" s="1"/>
  <c r="BQ10" i="5"/>
  <c r="BM11" i="5"/>
  <c r="BP11" i="5"/>
  <c r="BR11" i="5" s="1"/>
  <c r="BM12" i="5"/>
  <c r="BP12" i="5"/>
  <c r="BR12" i="5" s="1"/>
  <c r="BM13" i="5"/>
  <c r="BP13" i="5"/>
  <c r="BR13" i="5" s="1"/>
  <c r="BM14" i="5"/>
  <c r="BP14" i="5"/>
  <c r="BR14" i="5" s="1"/>
  <c r="BM15" i="5"/>
  <c r="BP15" i="5"/>
  <c r="BR15" i="5" s="1"/>
  <c r="BM16" i="5"/>
  <c r="BP16" i="5"/>
  <c r="BR16" i="5" s="1"/>
  <c r="BM17" i="5"/>
  <c r="BP17" i="5"/>
  <c r="BR17" i="5" s="1"/>
  <c r="BM18" i="5"/>
  <c r="BP18" i="5"/>
  <c r="BR18" i="5" s="1"/>
  <c r="BM19" i="5"/>
  <c r="BP19" i="5"/>
  <c r="BR19" i="5" s="1"/>
  <c r="BM20" i="5"/>
  <c r="BP20" i="5"/>
  <c r="BR20" i="5" s="1"/>
  <c r="BM21" i="5"/>
  <c r="BP21" i="5"/>
  <c r="BR21" i="5" s="1"/>
  <c r="BM22" i="5"/>
  <c r="BP22" i="5"/>
  <c r="BR22" i="5" s="1"/>
  <c r="BM23" i="5"/>
  <c r="BP23" i="5"/>
  <c r="BR23" i="5" s="1"/>
  <c r="BM24" i="5"/>
  <c r="BP24" i="5"/>
  <c r="BR24" i="5" s="1"/>
  <c r="BM25" i="5"/>
  <c r="BP25" i="5"/>
  <c r="BR25" i="5" s="1"/>
  <c r="BM26" i="5"/>
  <c r="BP26" i="5"/>
  <c r="BR26" i="5" s="1"/>
  <c r="BM27" i="5"/>
  <c r="BP27" i="5"/>
  <c r="BR27" i="5" s="1"/>
  <c r="G28" i="5"/>
  <c r="X28" i="5"/>
  <c r="AB28" i="5"/>
  <c r="AM28" i="5"/>
  <c r="BM28" i="5"/>
  <c r="BP28" i="5"/>
  <c r="BR28" i="5" s="1"/>
  <c r="R29" i="5"/>
  <c r="AG29" i="5"/>
  <c r="AM29" i="5"/>
  <c r="BM29" i="5"/>
  <c r="BO29" i="5" s="1"/>
  <c r="BT29" i="5" s="1"/>
  <c r="BN29" i="5"/>
  <c r="BS29" i="5" s="1"/>
  <c r="BP29" i="5"/>
  <c r="BQ29" i="5"/>
  <c r="BR29" i="5"/>
  <c r="BM30" i="5"/>
  <c r="BO30" i="5" s="1"/>
  <c r="BN30" i="5"/>
  <c r="BP30" i="5"/>
  <c r="BQ30" i="5"/>
  <c r="BR30" i="5"/>
  <c r="BM31" i="5"/>
  <c r="BO31" i="5" s="1"/>
  <c r="BT31" i="5" s="1"/>
  <c r="BP31" i="5"/>
  <c r="BQ31" i="5"/>
  <c r="BR31" i="5"/>
  <c r="BM32" i="5"/>
  <c r="BN32" i="5"/>
  <c r="BO32" i="5"/>
  <c r="BP32" i="5"/>
  <c r="BQ32" i="5" s="1"/>
  <c r="BM33" i="5"/>
  <c r="BN33" i="5"/>
  <c r="BS33" i="5" s="1"/>
  <c r="BO33" i="5"/>
  <c r="BT33" i="5" s="1"/>
  <c r="BP33" i="5"/>
  <c r="BQ33" i="5"/>
  <c r="BR33" i="5"/>
  <c r="AE39" i="4"/>
  <c r="AS29" i="4"/>
  <c r="AE41" i="4"/>
  <c r="AU12" i="4" l="1"/>
  <c r="AU13" i="4"/>
  <c r="AU9" i="4"/>
  <c r="AU10" i="4"/>
  <c r="AU14" i="4"/>
  <c r="AU15" i="4"/>
  <c r="AU8" i="4"/>
  <c r="AU11" i="4"/>
  <c r="BN27" i="5"/>
  <c r="BO27" i="5"/>
  <c r="BT27" i="5" s="1"/>
  <c r="BN17" i="5"/>
  <c r="BO17" i="5"/>
  <c r="BT17" i="5" s="1"/>
  <c r="AN9" i="5"/>
  <c r="BS30" i="5"/>
  <c r="BN26" i="5"/>
  <c r="BO26" i="5"/>
  <c r="BT26" i="5" s="1"/>
  <c r="BN16" i="5"/>
  <c r="BO16" i="5"/>
  <c r="BT16" i="5" s="1"/>
  <c r="BR32" i="5"/>
  <c r="BN31" i="5"/>
  <c r="BS31" i="5" s="1"/>
  <c r="BQ28" i="5"/>
  <c r="BQ27" i="5"/>
  <c r="BQ25" i="5"/>
  <c r="BQ23" i="5"/>
  <c r="BQ21" i="5"/>
  <c r="BQ19" i="5"/>
  <c r="BQ17" i="5"/>
  <c r="BQ15" i="5"/>
  <c r="BQ13" i="5"/>
  <c r="BQ11" i="5"/>
  <c r="AR8" i="5"/>
  <c r="BN9" i="5"/>
  <c r="BS9" i="5" s="1"/>
  <c r="I9" i="5"/>
  <c r="BQ7" i="5"/>
  <c r="BS7" i="5" s="1"/>
  <c r="BR7" i="5"/>
  <c r="BT7" i="5" s="1"/>
  <c r="H3" i="5"/>
  <c r="AC3" i="5"/>
  <c r="M3" i="5"/>
  <c r="AH3" i="5"/>
  <c r="S3" i="5"/>
  <c r="AM3" i="5"/>
  <c r="X3" i="5"/>
  <c r="AR3" i="5"/>
  <c r="H2" i="5"/>
  <c r="AC2" i="5"/>
  <c r="M2" i="5"/>
  <c r="AH2" i="5"/>
  <c r="S2" i="5"/>
  <c r="AM2" i="5"/>
  <c r="X2" i="5"/>
  <c r="AR2" i="5"/>
  <c r="BN23" i="5"/>
  <c r="BS23" i="5" s="1"/>
  <c r="BO23" i="5"/>
  <c r="BT23" i="5" s="1"/>
  <c r="BN15" i="5"/>
  <c r="BO15" i="5"/>
  <c r="BT15" i="5" s="1"/>
  <c r="BQ26" i="5"/>
  <c r="BQ24" i="5"/>
  <c r="BQ22" i="5"/>
  <c r="BQ20" i="5"/>
  <c r="BQ18" i="5"/>
  <c r="BQ16" i="5"/>
  <c r="BQ14" i="5"/>
  <c r="BQ12" i="5"/>
  <c r="X8" i="5"/>
  <c r="Y4" i="5"/>
  <c r="AS4" i="5"/>
  <c r="I4" i="5"/>
  <c r="AD4" i="5"/>
  <c r="N4" i="5"/>
  <c r="AI4" i="5"/>
  <c r="T4" i="5"/>
  <c r="AN4" i="5"/>
  <c r="BT32" i="5"/>
  <c r="BN25" i="5"/>
  <c r="BS25" i="5" s="1"/>
  <c r="BO25" i="5"/>
  <c r="BT25" i="5" s="1"/>
  <c r="BN19" i="5"/>
  <c r="BS19" i="5" s="1"/>
  <c r="BO19" i="5"/>
  <c r="BT19" i="5" s="1"/>
  <c r="BN11" i="5"/>
  <c r="BO11" i="5"/>
  <c r="BT11" i="5" s="1"/>
  <c r="AH8" i="5"/>
  <c r="BB8" i="5"/>
  <c r="BT8" i="5"/>
  <c r="BS6" i="5"/>
  <c r="BS4" i="5"/>
  <c r="N9" i="5"/>
  <c r="AI9" i="5"/>
  <c r="Y9" i="5"/>
  <c r="AS9" i="5"/>
  <c r="BS32" i="5"/>
  <c r="BN22" i="5"/>
  <c r="BS22" i="5" s="1"/>
  <c r="BO22" i="5"/>
  <c r="BT22" i="5" s="1"/>
  <c r="BN18" i="5"/>
  <c r="BS18" i="5" s="1"/>
  <c r="BO18" i="5"/>
  <c r="BT18" i="5" s="1"/>
  <c r="BN14" i="5"/>
  <c r="BS14" i="5" s="1"/>
  <c r="BO14" i="5"/>
  <c r="BT14" i="5" s="1"/>
  <c r="BN12" i="5"/>
  <c r="BS12" i="5" s="1"/>
  <c r="BO12" i="5"/>
  <c r="BT12" i="5" s="1"/>
  <c r="BN10" i="5"/>
  <c r="BS10" i="5" s="1"/>
  <c r="BO10" i="5"/>
  <c r="BT10" i="5" s="1"/>
  <c r="BB9" i="5"/>
  <c r="BN28" i="5"/>
  <c r="BS28" i="5" s="1"/>
  <c r="BO28" i="5"/>
  <c r="BT28" i="5" s="1"/>
  <c r="BN21" i="5"/>
  <c r="BS21" i="5" s="1"/>
  <c r="BO21" i="5"/>
  <c r="BT21" i="5" s="1"/>
  <c r="BN13" i="5"/>
  <c r="BS13" i="5" s="1"/>
  <c r="BO13" i="5"/>
  <c r="BT13" i="5" s="1"/>
  <c r="S8" i="5"/>
  <c r="AM8" i="5"/>
  <c r="H8" i="5"/>
  <c r="AC8" i="5"/>
  <c r="BT30" i="5"/>
  <c r="BN24" i="5"/>
  <c r="BS24" i="5" s="1"/>
  <c r="BO24" i="5"/>
  <c r="BT24" i="5" s="1"/>
  <c r="BN20" i="5"/>
  <c r="BO20" i="5"/>
  <c r="BT20" i="5" s="1"/>
  <c r="T9" i="5"/>
  <c r="BN5" i="5"/>
  <c r="BS5" i="5" s="1"/>
  <c r="BO5" i="5"/>
  <c r="BT5" i="5" s="1"/>
  <c r="BO6" i="5"/>
  <c r="BT6" i="5" s="1"/>
  <c r="BR3" i="5"/>
  <c r="BT3" i="5" s="1"/>
  <c r="BD3" i="5"/>
  <c r="BB4" i="5"/>
  <c r="BR2" i="5"/>
  <c r="BO2" i="5"/>
  <c r="X7" i="5" l="1"/>
  <c r="AR7" i="5"/>
  <c r="H7" i="5"/>
  <c r="M7" i="5"/>
  <c r="AH7" i="5"/>
  <c r="AC7" i="5"/>
  <c r="AM7" i="5"/>
  <c r="S7" i="5"/>
  <c r="Y3" i="5"/>
  <c r="AS3" i="5"/>
  <c r="I3" i="5"/>
  <c r="AD3" i="5"/>
  <c r="N3" i="5"/>
  <c r="AI3" i="5"/>
  <c r="T3" i="5"/>
  <c r="AN3" i="5"/>
  <c r="T7" i="5"/>
  <c r="AN7" i="5"/>
  <c r="I7" i="5"/>
  <c r="AD7" i="5"/>
  <c r="Y7" i="5"/>
  <c r="AI7" i="5"/>
  <c r="N7" i="5"/>
  <c r="AS7" i="5"/>
  <c r="I23" i="5"/>
  <c r="AD23" i="5"/>
  <c r="T23" i="5"/>
  <c r="AN23" i="5"/>
  <c r="Y23" i="5"/>
  <c r="AS23" i="5"/>
  <c r="AI23" i="5"/>
  <c r="N23" i="5"/>
  <c r="BT2" i="5"/>
  <c r="M18" i="5"/>
  <c r="AH18" i="5"/>
  <c r="X18" i="5"/>
  <c r="AR18" i="5"/>
  <c r="H18" i="5"/>
  <c r="AC18" i="5"/>
  <c r="S18" i="5"/>
  <c r="AM18" i="5"/>
  <c r="X4" i="5"/>
  <c r="AR4" i="5"/>
  <c r="H4" i="5"/>
  <c r="AC4" i="5"/>
  <c r="S4" i="5"/>
  <c r="AM4" i="5"/>
  <c r="M4" i="5"/>
  <c r="AH4" i="5"/>
  <c r="M19" i="5"/>
  <c r="AH19" i="5"/>
  <c r="X19" i="5"/>
  <c r="AR19" i="5"/>
  <c r="AC19" i="5"/>
  <c r="H19" i="5"/>
  <c r="AM19" i="5"/>
  <c r="S19" i="5"/>
  <c r="M23" i="5"/>
  <c r="AH23" i="5"/>
  <c r="X23" i="5"/>
  <c r="AR23" i="5"/>
  <c r="AC23" i="5"/>
  <c r="AM23" i="5"/>
  <c r="S23" i="5"/>
  <c r="H23" i="5"/>
  <c r="BS20" i="5"/>
  <c r="M10" i="5"/>
  <c r="AH10" i="5"/>
  <c r="X10" i="5"/>
  <c r="AR10" i="5"/>
  <c r="AM10" i="5"/>
  <c r="H10" i="5"/>
  <c r="AC10" i="5"/>
  <c r="S10" i="5"/>
  <c r="M22" i="5"/>
  <c r="AH22" i="5"/>
  <c r="X22" i="5"/>
  <c r="AR22" i="5"/>
  <c r="S22" i="5"/>
  <c r="AC22" i="5"/>
  <c r="AM22" i="5"/>
  <c r="H22" i="5"/>
  <c r="T8" i="5"/>
  <c r="AN8" i="5"/>
  <c r="I8" i="5"/>
  <c r="AD8" i="5"/>
  <c r="AS8" i="5"/>
  <c r="N8" i="5"/>
  <c r="Y8" i="5"/>
  <c r="AI8" i="5"/>
  <c r="M25" i="5"/>
  <c r="AH25" i="5"/>
  <c r="X25" i="5"/>
  <c r="AR25" i="5"/>
  <c r="AM25" i="5"/>
  <c r="S25" i="5"/>
  <c r="AC25" i="5"/>
  <c r="H25" i="5"/>
  <c r="BS17" i="5"/>
  <c r="N10" i="5"/>
  <c r="AI10" i="5"/>
  <c r="Y10" i="5"/>
  <c r="AS10" i="5"/>
  <c r="AN10" i="5"/>
  <c r="T10" i="5"/>
  <c r="I10" i="5"/>
  <c r="AD10" i="5"/>
  <c r="X6" i="5"/>
  <c r="AR6" i="5"/>
  <c r="M6" i="5"/>
  <c r="AH6" i="5"/>
  <c r="AM6" i="5"/>
  <c r="S6" i="5"/>
  <c r="H6" i="5"/>
  <c r="AC6" i="5"/>
  <c r="I13" i="5"/>
  <c r="AD13" i="5"/>
  <c r="T13" i="5"/>
  <c r="AN13" i="5"/>
  <c r="Y13" i="5"/>
  <c r="AS13" i="5"/>
  <c r="AI13" i="5"/>
  <c r="N13" i="5"/>
  <c r="I24" i="5"/>
  <c r="AD24" i="5"/>
  <c r="T24" i="5"/>
  <c r="AN24" i="5"/>
  <c r="AS24" i="5"/>
  <c r="N24" i="5"/>
  <c r="AI24" i="5"/>
  <c r="Y24" i="5"/>
  <c r="M13" i="5"/>
  <c r="AH13" i="5"/>
  <c r="X13" i="5"/>
  <c r="AR13" i="5"/>
  <c r="AC13" i="5"/>
  <c r="AM13" i="5"/>
  <c r="H13" i="5"/>
  <c r="S13" i="5"/>
  <c r="I12" i="5"/>
  <c r="AD12" i="5"/>
  <c r="T12" i="5"/>
  <c r="AN12" i="5"/>
  <c r="AS12" i="5"/>
  <c r="N12" i="5"/>
  <c r="Y12" i="5"/>
  <c r="AI12" i="5"/>
  <c r="I16" i="5"/>
  <c r="AD16" i="5"/>
  <c r="T16" i="5"/>
  <c r="AN16" i="5"/>
  <c r="AS16" i="5"/>
  <c r="Y16" i="5"/>
  <c r="N16" i="5"/>
  <c r="AI16" i="5"/>
  <c r="I27" i="5"/>
  <c r="AD27" i="5"/>
  <c r="T27" i="5"/>
  <c r="AN27" i="5"/>
  <c r="Y27" i="5"/>
  <c r="N27" i="5"/>
  <c r="AI27" i="5"/>
  <c r="AS27" i="5"/>
  <c r="I18" i="5"/>
  <c r="AD18" i="5"/>
  <c r="T18" i="5"/>
  <c r="AN18" i="5"/>
  <c r="AS18" i="5"/>
  <c r="Y18" i="5"/>
  <c r="N18" i="5"/>
  <c r="AI18" i="5"/>
  <c r="I25" i="5"/>
  <c r="AD25" i="5"/>
  <c r="T25" i="5"/>
  <c r="AN25" i="5"/>
  <c r="Y25" i="5"/>
  <c r="AS25" i="5"/>
  <c r="N25" i="5"/>
  <c r="AI25" i="5"/>
  <c r="I17" i="5"/>
  <c r="AD17" i="5"/>
  <c r="T17" i="5"/>
  <c r="AN17" i="5"/>
  <c r="Y17" i="5"/>
  <c r="AS17" i="5"/>
  <c r="N17" i="5"/>
  <c r="AI17" i="5"/>
  <c r="M24" i="5"/>
  <c r="AH24" i="5"/>
  <c r="X24" i="5"/>
  <c r="AR24" i="5"/>
  <c r="H24" i="5"/>
  <c r="AC24" i="5"/>
  <c r="S24" i="5"/>
  <c r="AM24" i="5"/>
  <c r="I21" i="5"/>
  <c r="AD21" i="5"/>
  <c r="T21" i="5"/>
  <c r="AN21" i="5"/>
  <c r="Y21" i="5"/>
  <c r="AI21" i="5"/>
  <c r="AS21" i="5"/>
  <c r="N21" i="5"/>
  <c r="M12" i="5"/>
  <c r="AH12" i="5"/>
  <c r="X12" i="5"/>
  <c r="AR12" i="5"/>
  <c r="AC12" i="5"/>
  <c r="H12" i="5"/>
  <c r="S12" i="5"/>
  <c r="AM12" i="5"/>
  <c r="S9" i="5"/>
  <c r="AM9" i="5"/>
  <c r="H9" i="5"/>
  <c r="AC9" i="5"/>
  <c r="X9" i="5"/>
  <c r="AR9" i="5"/>
  <c r="AH9" i="5"/>
  <c r="M9" i="5"/>
  <c r="BS16" i="5"/>
  <c r="BS27" i="5"/>
  <c r="I19" i="5"/>
  <c r="AD19" i="5"/>
  <c r="T19" i="5"/>
  <c r="AN19" i="5"/>
  <c r="Y19" i="5"/>
  <c r="AI19" i="5"/>
  <c r="N19" i="5"/>
  <c r="AS19" i="5"/>
  <c r="I22" i="5"/>
  <c r="AD22" i="5"/>
  <c r="T22" i="5"/>
  <c r="AN22" i="5"/>
  <c r="AS22" i="5"/>
  <c r="N22" i="5"/>
  <c r="AI22" i="5"/>
  <c r="Y22" i="5"/>
  <c r="Y6" i="5"/>
  <c r="AS6" i="5"/>
  <c r="I6" i="5"/>
  <c r="AD6" i="5"/>
  <c r="N6" i="5"/>
  <c r="AI6" i="5"/>
  <c r="AN6" i="5"/>
  <c r="T6" i="5"/>
  <c r="M21" i="5"/>
  <c r="AH21" i="5"/>
  <c r="X21" i="5"/>
  <c r="AR21" i="5"/>
  <c r="AC21" i="5"/>
  <c r="H21" i="5"/>
  <c r="AM21" i="5"/>
  <c r="S21" i="5"/>
  <c r="I14" i="5"/>
  <c r="AD14" i="5"/>
  <c r="T14" i="5"/>
  <c r="AN14" i="5"/>
  <c r="AS14" i="5"/>
  <c r="Y14" i="5"/>
  <c r="N14" i="5"/>
  <c r="AI14" i="5"/>
  <c r="I11" i="5"/>
  <c r="AD11" i="5"/>
  <c r="T11" i="5"/>
  <c r="AN11" i="5"/>
  <c r="Y11" i="5"/>
  <c r="AS11" i="5"/>
  <c r="AI11" i="5"/>
  <c r="N11" i="5"/>
  <c r="I15" i="5"/>
  <c r="AD15" i="5"/>
  <c r="T15" i="5"/>
  <c r="AN15" i="5"/>
  <c r="Y15" i="5"/>
  <c r="AI15" i="5"/>
  <c r="N15" i="5"/>
  <c r="AS15" i="5"/>
  <c r="I26" i="5"/>
  <c r="AD26" i="5"/>
  <c r="T26" i="5"/>
  <c r="AN26" i="5"/>
  <c r="AS26" i="5"/>
  <c r="N26" i="5"/>
  <c r="Y26" i="5"/>
  <c r="AI26" i="5"/>
  <c r="X5" i="5"/>
  <c r="AR5" i="5"/>
  <c r="H5" i="5"/>
  <c r="AC5" i="5"/>
  <c r="M5" i="5"/>
  <c r="AH5" i="5"/>
  <c r="S5" i="5"/>
  <c r="AM5" i="5"/>
  <c r="I20" i="5"/>
  <c r="AD20" i="5"/>
  <c r="T20" i="5"/>
  <c r="AN20" i="5"/>
  <c r="AS20" i="5"/>
  <c r="Y20" i="5"/>
  <c r="N20" i="5"/>
  <c r="AI20" i="5"/>
  <c r="Y5" i="5"/>
  <c r="AS5" i="5"/>
  <c r="N5" i="5"/>
  <c r="AI5" i="5"/>
  <c r="AD5" i="5"/>
  <c r="AN5" i="5"/>
  <c r="I5" i="5"/>
  <c r="T5" i="5"/>
  <c r="M14" i="5"/>
  <c r="AH14" i="5"/>
  <c r="X14" i="5"/>
  <c r="AR14" i="5"/>
  <c r="H14" i="5"/>
  <c r="S14" i="5"/>
  <c r="AC14" i="5"/>
  <c r="AM14" i="5"/>
  <c r="BS11" i="5"/>
  <c r="BS15" i="5"/>
  <c r="BS26" i="5"/>
  <c r="M26" i="5" l="1"/>
  <c r="AH26" i="5"/>
  <c r="X26" i="5"/>
  <c r="AR26" i="5"/>
  <c r="S26" i="5"/>
  <c r="AM26" i="5"/>
  <c r="H26" i="5"/>
  <c r="AC26" i="5"/>
  <c r="M15" i="5"/>
  <c r="AH15" i="5"/>
  <c r="X15" i="5"/>
  <c r="AR15" i="5"/>
  <c r="AM15" i="5"/>
  <c r="H15" i="5"/>
  <c r="S15" i="5"/>
  <c r="AC15" i="5"/>
  <c r="M11" i="5"/>
  <c r="AH11" i="5"/>
  <c r="X11" i="5"/>
  <c r="AR11" i="5"/>
  <c r="AC11" i="5"/>
  <c r="H11" i="5"/>
  <c r="AM11" i="5"/>
  <c r="S11" i="5"/>
  <c r="M27" i="5"/>
  <c r="AH27" i="5"/>
  <c r="X27" i="5"/>
  <c r="AR27" i="5"/>
  <c r="H27" i="5"/>
  <c r="AC27" i="5"/>
  <c r="AM27" i="5"/>
  <c r="S27" i="5"/>
  <c r="M16" i="5"/>
  <c r="AH16" i="5"/>
  <c r="X16" i="5"/>
  <c r="AR16" i="5"/>
  <c r="S16" i="5"/>
  <c r="AM16" i="5"/>
  <c r="H16" i="5"/>
  <c r="AC16" i="5"/>
  <c r="M17" i="5"/>
  <c r="AH17" i="5"/>
  <c r="X17" i="5"/>
  <c r="AR17" i="5"/>
  <c r="AC17" i="5"/>
  <c r="H17" i="5"/>
  <c r="AM17" i="5"/>
  <c r="S17" i="5"/>
  <c r="M20" i="5"/>
  <c r="AH20" i="5"/>
  <c r="X20" i="5"/>
  <c r="AR20" i="5"/>
  <c r="H20" i="5"/>
  <c r="AC20" i="5"/>
  <c r="S20" i="5"/>
  <c r="AM20" i="5"/>
  <c r="I2" i="5"/>
  <c r="AD2" i="5"/>
  <c r="N2" i="5"/>
  <c r="AI2" i="5"/>
  <c r="T2" i="5"/>
  <c r="AN2" i="5"/>
  <c r="Y2" i="5"/>
  <c r="AS2" i="5"/>
  <c r="AE43" i="4" l="1"/>
  <c r="AE38" i="4" l="1"/>
  <c r="T44" i="4"/>
  <c r="AD3" i="4" l="1"/>
  <c r="X43" i="4" l="1"/>
  <c r="AE37" i="4" s="1"/>
  <c r="X41" i="4"/>
  <c r="Z41" i="4" s="1"/>
  <c r="Y15" i="4" s="1"/>
  <c r="AE36" i="4" s="1"/>
  <c r="AB15" i="4" l="1"/>
  <c r="AC15" i="4" s="1"/>
  <c r="Z15" i="4"/>
  <c r="AF50" i="4"/>
  <c r="AF49" i="4"/>
  <c r="AF51" i="4" s="1"/>
  <c r="AF52" i="4" s="1"/>
  <c r="P69" i="4"/>
  <c r="M69" i="4"/>
  <c r="O69" i="4" s="1"/>
  <c r="K69" i="4"/>
  <c r="L69" i="4" s="1"/>
  <c r="J69" i="4"/>
  <c r="T69" i="4" s="1"/>
  <c r="B69" i="4"/>
  <c r="P70" i="4"/>
  <c r="M70" i="4"/>
  <c r="O70" i="4" s="1"/>
  <c r="K70" i="4"/>
  <c r="S70" i="4" s="1"/>
  <c r="J70" i="4"/>
  <c r="T70" i="4" s="1"/>
  <c r="B70" i="4"/>
  <c r="P71" i="4"/>
  <c r="M71" i="4"/>
  <c r="O71" i="4" s="1"/>
  <c r="K71" i="4"/>
  <c r="L71" i="4" s="1"/>
  <c r="J71" i="4"/>
  <c r="T71" i="4" s="1"/>
  <c r="B71" i="4"/>
  <c r="P68" i="4"/>
  <c r="M68" i="4"/>
  <c r="O68" i="4" s="1"/>
  <c r="K68" i="4"/>
  <c r="L68" i="4" s="1"/>
  <c r="J68" i="4"/>
  <c r="T68" i="4" s="1"/>
  <c r="B68" i="4"/>
  <c r="N3" i="4"/>
  <c r="M3" i="4"/>
  <c r="O3" i="4" s="1"/>
  <c r="J3" i="4"/>
  <c r="AW5" i="4"/>
  <c r="N5" i="4"/>
  <c r="P5" i="4" s="1"/>
  <c r="AD5" i="4" s="1"/>
  <c r="M5" i="4"/>
  <c r="O5" i="4" s="1"/>
  <c r="K5" i="4"/>
  <c r="L5" i="4" s="1"/>
  <c r="J5" i="4"/>
  <c r="T5" i="4" s="1"/>
  <c r="B5" i="4"/>
  <c r="AW4" i="4"/>
  <c r="N4" i="4"/>
  <c r="P4" i="4" s="1"/>
  <c r="AD4" i="4" s="1"/>
  <c r="M4" i="4"/>
  <c r="O4" i="4" s="1"/>
  <c r="K4" i="4"/>
  <c r="S4" i="4" s="1"/>
  <c r="J4" i="4"/>
  <c r="T4" i="4" s="1"/>
  <c r="B4" i="4"/>
  <c r="AW7" i="4"/>
  <c r="N7" i="4"/>
  <c r="P7" i="4" s="1"/>
  <c r="AD7" i="4" s="1"/>
  <c r="M7" i="4"/>
  <c r="O7" i="4" s="1"/>
  <c r="K7" i="4"/>
  <c r="S7" i="4" s="1"/>
  <c r="J7" i="4"/>
  <c r="T7" i="4" s="1"/>
  <c r="B7" i="4"/>
  <c r="AW6" i="4"/>
  <c r="N6" i="4"/>
  <c r="P6" i="4" s="1"/>
  <c r="AD6" i="4" s="1"/>
  <c r="M6" i="4"/>
  <c r="O6" i="4" s="1"/>
  <c r="K6" i="4"/>
  <c r="L6" i="4" s="1"/>
  <c r="J6" i="4"/>
  <c r="T6" i="4" s="1"/>
  <c r="B6" i="4"/>
  <c r="AF48" i="4"/>
  <c r="U7" i="4" l="1"/>
  <c r="AF53" i="4"/>
  <c r="S68" i="4"/>
  <c r="S69" i="4"/>
  <c r="L70" i="4"/>
  <c r="S71" i="4"/>
  <c r="L7" i="4"/>
  <c r="L4" i="4"/>
  <c r="S5" i="4"/>
  <c r="S6" i="4"/>
  <c r="AA36" i="2"/>
  <c r="AA35" i="2"/>
  <c r="C34" i="2"/>
  <c r="D34" i="2" s="1"/>
  <c r="D33" i="2"/>
  <c r="C33" i="2"/>
  <c r="C32" i="2"/>
  <c r="D32" i="2" s="1"/>
  <c r="C31" i="2"/>
  <c r="D31" i="2" s="1"/>
  <c r="D30" i="2"/>
  <c r="C30" i="2"/>
  <c r="C29" i="2"/>
  <c r="D29" i="2" s="1"/>
  <c r="C28" i="2"/>
  <c r="D28" i="2" s="1"/>
  <c r="AI26" i="2"/>
  <c r="AH26" i="2"/>
  <c r="AH24" i="2"/>
  <c r="AH23" i="2"/>
  <c r="AH21" i="2"/>
  <c r="AA21" i="2"/>
  <c r="AH22" i="2" s="1"/>
  <c r="AH20" i="2"/>
  <c r="AH19" i="2"/>
  <c r="AH18" i="2"/>
  <c r="X9" i="2"/>
  <c r="U9" i="2"/>
  <c r="N9" i="2"/>
  <c r="P9" i="2" s="1"/>
  <c r="M9" i="2"/>
  <c r="O9" i="2" s="1"/>
  <c r="L9" i="2"/>
  <c r="K9" i="2"/>
  <c r="S9" i="2" s="1"/>
  <c r="X8" i="2"/>
  <c r="U8" i="2"/>
  <c r="M8" i="2"/>
  <c r="O8" i="2" s="1"/>
  <c r="L8" i="2"/>
  <c r="N8" i="2" s="1"/>
  <c r="P8" i="2" s="1"/>
  <c r="K8" i="2"/>
  <c r="S8" i="2" s="1"/>
  <c r="J8" i="2"/>
  <c r="U7" i="2"/>
  <c r="O7" i="2"/>
  <c r="M7" i="2"/>
  <c r="L7" i="2"/>
  <c r="N7" i="2" s="1"/>
  <c r="P7" i="2" s="1"/>
  <c r="K7" i="2"/>
  <c r="S7" i="2" s="1"/>
  <c r="J7" i="2"/>
  <c r="X7" i="2" s="1"/>
  <c r="U6" i="2"/>
  <c r="N6" i="2"/>
  <c r="P6" i="2" s="1"/>
  <c r="M6" i="2"/>
  <c r="O6" i="2" s="1"/>
  <c r="Q6" i="2" s="1"/>
  <c r="L6" i="2"/>
  <c r="K6" i="2"/>
  <c r="S6" i="2" s="1"/>
  <c r="J6" i="2"/>
  <c r="X6" i="2" s="1"/>
  <c r="U5" i="2"/>
  <c r="M5" i="2"/>
  <c r="O5" i="2" s="1"/>
  <c r="L5" i="2"/>
  <c r="N5" i="2" s="1"/>
  <c r="P5" i="2" s="1"/>
  <c r="K5" i="2"/>
  <c r="S5" i="2" s="1"/>
  <c r="J5" i="2"/>
  <c r="X5" i="2" s="1"/>
  <c r="X4" i="2"/>
  <c r="U4" i="2"/>
  <c r="O4" i="2"/>
  <c r="M4" i="2"/>
  <c r="L4" i="2"/>
  <c r="N4" i="2" s="1"/>
  <c r="P4" i="2" s="1"/>
  <c r="K4" i="2"/>
  <c r="S4" i="2" s="1"/>
  <c r="J4" i="2"/>
  <c r="U3" i="2"/>
  <c r="O3" i="2"/>
  <c r="N3" i="2"/>
  <c r="P3" i="2" s="1"/>
  <c r="M3" i="2"/>
  <c r="L3" i="2"/>
  <c r="K3" i="2"/>
  <c r="S3" i="2" s="1"/>
  <c r="J3" i="2"/>
  <c r="X3" i="2" s="1"/>
  <c r="U2" i="2"/>
  <c r="N2" i="2"/>
  <c r="P2" i="2" s="1"/>
  <c r="M2" i="2"/>
  <c r="O2" i="2" s="1"/>
  <c r="L2" i="2"/>
  <c r="K2" i="2"/>
  <c r="S2" i="2" s="1"/>
  <c r="J2" i="2"/>
  <c r="X2" i="2" s="1"/>
  <c r="B2" i="2"/>
  <c r="X1" i="2"/>
  <c r="D37" i="1"/>
  <c r="C37" i="1"/>
  <c r="D36" i="1"/>
  <c r="C36" i="1"/>
  <c r="D35" i="1"/>
  <c r="C35" i="1"/>
  <c r="C34" i="1"/>
  <c r="D34" i="1" s="1"/>
  <c r="D33" i="1"/>
  <c r="C33" i="1"/>
  <c r="D32" i="1"/>
  <c r="C32" i="1"/>
  <c r="C31" i="1"/>
  <c r="D31" i="1" s="1"/>
  <c r="AH27" i="1"/>
  <c r="AH26" i="1"/>
  <c r="AH24" i="1"/>
  <c r="AA24" i="1"/>
  <c r="AH25" i="1" s="1"/>
  <c r="AH23" i="1"/>
  <c r="AH22" i="1"/>
  <c r="AH21" i="1"/>
  <c r="X9" i="1"/>
  <c r="Y9" i="1" s="1"/>
  <c r="Z9" i="1" s="1"/>
  <c r="AA9" i="1" s="1"/>
  <c r="M9" i="1"/>
  <c r="O9" i="1" s="1"/>
  <c r="L9" i="1"/>
  <c r="N9" i="1" s="1"/>
  <c r="P9" i="1" s="1"/>
  <c r="K9" i="1"/>
  <c r="S9" i="1" s="1"/>
  <c r="J9" i="1"/>
  <c r="X8" i="1"/>
  <c r="Y8" i="1" s="1"/>
  <c r="Z8" i="1" s="1"/>
  <c r="AA8" i="1" s="1"/>
  <c r="O8" i="1"/>
  <c r="M8" i="1"/>
  <c r="L8" i="1"/>
  <c r="N8" i="1" s="1"/>
  <c r="K8" i="1"/>
  <c r="S8" i="1" s="1"/>
  <c r="J8" i="1"/>
  <c r="N7" i="1"/>
  <c r="P7" i="1" s="1"/>
  <c r="M7" i="1"/>
  <c r="O7" i="1" s="1"/>
  <c r="L7" i="1"/>
  <c r="K7" i="1"/>
  <c r="S7" i="1" s="1"/>
  <c r="J7" i="1"/>
  <c r="X7" i="1" s="1"/>
  <c r="Y7" i="1" s="1"/>
  <c r="Z7" i="1" s="1"/>
  <c r="AA7" i="1" s="1"/>
  <c r="AC7" i="1" s="1"/>
  <c r="AD7" i="1" s="1"/>
  <c r="AE7" i="1" s="1"/>
  <c r="X6" i="1"/>
  <c r="Y6" i="1" s="1"/>
  <c r="S6" i="1"/>
  <c r="O6" i="1"/>
  <c r="M6" i="1"/>
  <c r="L6" i="1"/>
  <c r="N6" i="1" s="1"/>
  <c r="K6" i="1"/>
  <c r="J6" i="1"/>
  <c r="Y5" i="1"/>
  <c r="Z5" i="1" s="1"/>
  <c r="AA5" i="1" s="1"/>
  <c r="AC5" i="1" s="1"/>
  <c r="AD5" i="1" s="1"/>
  <c r="AE5" i="1" s="1"/>
  <c r="N5" i="1"/>
  <c r="P5" i="1" s="1"/>
  <c r="M5" i="1"/>
  <c r="O5" i="1" s="1"/>
  <c r="L5" i="1"/>
  <c r="K5" i="1"/>
  <c r="S5" i="1" s="1"/>
  <c r="J5" i="1"/>
  <c r="X5" i="1" s="1"/>
  <c r="X4" i="1"/>
  <c r="Y4" i="1" s="1"/>
  <c r="O4" i="1"/>
  <c r="M4" i="1"/>
  <c r="L4" i="1"/>
  <c r="N4" i="1" s="1"/>
  <c r="P4" i="1" s="1"/>
  <c r="K4" i="1"/>
  <c r="S4" i="1" s="1"/>
  <c r="J4" i="1"/>
  <c r="Z3" i="1"/>
  <c r="AA3" i="1" s="1"/>
  <c r="O3" i="1"/>
  <c r="Q3" i="1" s="1"/>
  <c r="N3" i="1"/>
  <c r="M3" i="1"/>
  <c r="L3" i="1"/>
  <c r="K3" i="1"/>
  <c r="J3" i="1"/>
  <c r="X3" i="1" s="1"/>
  <c r="Y3" i="1" s="1"/>
  <c r="N2" i="1"/>
  <c r="M2" i="1"/>
  <c r="O2" i="1" s="1"/>
  <c r="L2" i="1"/>
  <c r="K2" i="1"/>
  <c r="S2" i="1" s="1"/>
  <c r="J2" i="1"/>
  <c r="X2" i="1" s="1"/>
  <c r="Y2" i="1" s="1"/>
  <c r="Z2" i="1" s="1"/>
  <c r="AA2" i="1" s="1"/>
  <c r="B2" i="1"/>
  <c r="X1" i="1"/>
  <c r="C48" i="3"/>
  <c r="D48" i="3" s="1"/>
  <c r="D47" i="3"/>
  <c r="C47" i="3"/>
  <c r="D46" i="3"/>
  <c r="C46" i="3"/>
  <c r="C45" i="3"/>
  <c r="D45" i="3" s="1"/>
  <c r="D44" i="3"/>
  <c r="C44" i="3"/>
  <c r="D43" i="3"/>
  <c r="C43" i="3"/>
  <c r="C42" i="3"/>
  <c r="D42" i="3" s="1"/>
  <c r="AA40" i="3"/>
  <c r="W40" i="3"/>
  <c r="Q23" i="3" s="1"/>
  <c r="AD33" i="3"/>
  <c r="AD32" i="3"/>
  <c r="W32" i="3"/>
  <c r="W33" i="3" s="1"/>
  <c r="AD30" i="3"/>
  <c r="AD29" i="3"/>
  <c r="AD28" i="3"/>
  <c r="AD27" i="3"/>
  <c r="AF5" i="3" s="1"/>
  <c r="AG5" i="3" s="1"/>
  <c r="T24" i="3"/>
  <c r="U24" i="3" s="1"/>
  <c r="V24" i="3" s="1"/>
  <c r="W24" i="3" s="1"/>
  <c r="Y24" i="3" s="1"/>
  <c r="Z24" i="3" s="1"/>
  <c r="AA24" i="3" s="1"/>
  <c r="S24" i="3"/>
  <c r="M24" i="3"/>
  <c r="O24" i="3" s="1"/>
  <c r="L24" i="3"/>
  <c r="K24" i="3"/>
  <c r="J24" i="3"/>
  <c r="B24" i="3"/>
  <c r="AA23" i="3"/>
  <c r="T23" i="3"/>
  <c r="U23" i="3" s="1"/>
  <c r="V23" i="3" s="1"/>
  <c r="W23" i="3" s="1"/>
  <c r="Y23" i="3" s="1"/>
  <c r="Z23" i="3" s="1"/>
  <c r="S23" i="3"/>
  <c r="O23" i="3"/>
  <c r="M23" i="3"/>
  <c r="L23" i="3"/>
  <c r="K23" i="3"/>
  <c r="J23" i="3"/>
  <c r="B23" i="3"/>
  <c r="O22" i="3"/>
  <c r="M22" i="3"/>
  <c r="K22" i="3"/>
  <c r="L22" i="3" s="1"/>
  <c r="J22" i="3"/>
  <c r="T22" i="3" s="1"/>
  <c r="U22" i="3" s="1"/>
  <c r="V22" i="3" s="1"/>
  <c r="W22" i="3" s="1"/>
  <c r="Y22" i="3" s="1"/>
  <c r="Z22" i="3" s="1"/>
  <c r="AA22" i="3" s="1"/>
  <c r="B22" i="3"/>
  <c r="M21" i="3"/>
  <c r="O21" i="3" s="1"/>
  <c r="L21" i="3"/>
  <c r="K21" i="3"/>
  <c r="S21" i="3" s="1"/>
  <c r="J21" i="3"/>
  <c r="T21" i="3" s="1"/>
  <c r="U21" i="3" s="1"/>
  <c r="B21" i="3"/>
  <c r="T20" i="3"/>
  <c r="U20" i="3" s="1"/>
  <c r="S20" i="3"/>
  <c r="M20" i="3"/>
  <c r="O20" i="3" s="1"/>
  <c r="L20" i="3"/>
  <c r="K20" i="3"/>
  <c r="J20" i="3"/>
  <c r="B20" i="3"/>
  <c r="V19" i="3"/>
  <c r="W19" i="3" s="1"/>
  <c r="Y19" i="3" s="1"/>
  <c r="Z19" i="3" s="1"/>
  <c r="AA19" i="3" s="1"/>
  <c r="M19" i="3"/>
  <c r="O19" i="3" s="1"/>
  <c r="K19" i="3"/>
  <c r="J19" i="3"/>
  <c r="T19" i="3" s="1"/>
  <c r="U19" i="3" s="1"/>
  <c r="B19" i="3"/>
  <c r="U18" i="3"/>
  <c r="V18" i="3" s="1"/>
  <c r="W18" i="3" s="1"/>
  <c r="Y18" i="3" s="1"/>
  <c r="Z18" i="3" s="1"/>
  <c r="AA18" i="3" s="1"/>
  <c r="O18" i="3"/>
  <c r="M18" i="3"/>
  <c r="K18" i="3"/>
  <c r="S18" i="3" s="1"/>
  <c r="J18" i="3"/>
  <c r="T18" i="3" s="1"/>
  <c r="B18" i="3"/>
  <c r="T17" i="3"/>
  <c r="U17" i="3" s="1"/>
  <c r="V17" i="3" s="1"/>
  <c r="W17" i="3" s="1"/>
  <c r="Y17" i="3" s="1"/>
  <c r="Z17" i="3" s="1"/>
  <c r="AA17" i="3" s="1"/>
  <c r="S17" i="3"/>
  <c r="O17" i="3"/>
  <c r="M17" i="3"/>
  <c r="K17" i="3"/>
  <c r="L17" i="3" s="1"/>
  <c r="J17" i="3"/>
  <c r="B17" i="3"/>
  <c r="T16" i="3"/>
  <c r="U16" i="3" s="1"/>
  <c r="V16" i="3" s="1"/>
  <c r="W16" i="3" s="1"/>
  <c r="Y16" i="3" s="1"/>
  <c r="Z16" i="3" s="1"/>
  <c r="AA16" i="3" s="1"/>
  <c r="S16" i="3"/>
  <c r="M16" i="3"/>
  <c r="O16" i="3" s="1"/>
  <c r="L16" i="3"/>
  <c r="K16" i="3"/>
  <c r="J16" i="3"/>
  <c r="B16" i="3"/>
  <c r="AV14" i="3"/>
  <c r="T14" i="3"/>
  <c r="U14" i="3" s="1"/>
  <c r="P14" i="3"/>
  <c r="K14" i="3"/>
  <c r="S14" i="3" s="1"/>
  <c r="B14" i="3"/>
  <c r="AV13" i="3"/>
  <c r="N13" i="3"/>
  <c r="P13" i="3" s="1"/>
  <c r="R13" i="3" s="1"/>
  <c r="M13" i="3"/>
  <c r="O13" i="3" s="1"/>
  <c r="Q13" i="3" s="1"/>
  <c r="K13" i="3"/>
  <c r="L13" i="3" s="1"/>
  <c r="J13" i="3"/>
  <c r="T13" i="3" s="1"/>
  <c r="U13" i="3" s="1"/>
  <c r="B13" i="3"/>
  <c r="AV12" i="3"/>
  <c r="U12" i="3"/>
  <c r="V12" i="3" s="1"/>
  <c r="W12" i="3" s="1"/>
  <c r="Y12" i="3" s="1"/>
  <c r="Z12" i="3" s="1"/>
  <c r="AA12" i="3" s="1"/>
  <c r="T12" i="3"/>
  <c r="P12" i="3"/>
  <c r="R12" i="3" s="1"/>
  <c r="N12" i="3"/>
  <c r="M12" i="3"/>
  <c r="O12" i="3" s="1"/>
  <c r="L12" i="3"/>
  <c r="K12" i="3"/>
  <c r="S12" i="3" s="1"/>
  <c r="J12" i="3"/>
  <c r="B12" i="3"/>
  <c r="AV11" i="3"/>
  <c r="T11" i="3"/>
  <c r="U11" i="3" s="1"/>
  <c r="P11" i="3"/>
  <c r="O11" i="3"/>
  <c r="Q11" i="3" s="1"/>
  <c r="N11" i="3"/>
  <c r="M11" i="3"/>
  <c r="L11" i="3"/>
  <c r="K11" i="3"/>
  <c r="S11" i="3" s="1"/>
  <c r="J11" i="3"/>
  <c r="B11" i="3"/>
  <c r="AV10" i="3"/>
  <c r="S10" i="3"/>
  <c r="O10" i="3"/>
  <c r="Q10" i="3" s="1"/>
  <c r="N10" i="3"/>
  <c r="P10" i="3" s="1"/>
  <c r="R10" i="3" s="1"/>
  <c r="M10" i="3"/>
  <c r="K10" i="3"/>
  <c r="L10" i="3" s="1"/>
  <c r="J10" i="3"/>
  <c r="T10" i="3" s="1"/>
  <c r="U10" i="3" s="1"/>
  <c r="B10" i="3"/>
  <c r="AV9" i="3"/>
  <c r="T9" i="3"/>
  <c r="U9" i="3" s="1"/>
  <c r="V9" i="3" s="1"/>
  <c r="W9" i="3" s="1"/>
  <c r="Y9" i="3" s="1"/>
  <c r="Z9" i="3" s="1"/>
  <c r="AA9" i="3" s="1"/>
  <c r="S9" i="3"/>
  <c r="P9" i="3"/>
  <c r="O9" i="3"/>
  <c r="Q9" i="3" s="1"/>
  <c r="N9" i="3"/>
  <c r="M9" i="3"/>
  <c r="L9" i="3"/>
  <c r="K9" i="3"/>
  <c r="J9" i="3"/>
  <c r="B9" i="3"/>
  <c r="AV8" i="3"/>
  <c r="O8" i="3"/>
  <c r="Q8" i="3" s="1"/>
  <c r="N8" i="3"/>
  <c r="P8" i="3" s="1"/>
  <c r="R8" i="3" s="1"/>
  <c r="M8" i="3"/>
  <c r="K8" i="3"/>
  <c r="L8" i="3" s="1"/>
  <c r="J8" i="3"/>
  <c r="T8" i="3" s="1"/>
  <c r="U8" i="3" s="1"/>
  <c r="V8" i="3" s="1"/>
  <c r="W8" i="3" s="1"/>
  <c r="Y8" i="3" s="1"/>
  <c r="Z8" i="3" s="1"/>
  <c r="AA8" i="3" s="1"/>
  <c r="B8" i="3"/>
  <c r="AV7" i="3"/>
  <c r="U7" i="3"/>
  <c r="T7" i="3"/>
  <c r="P7" i="3"/>
  <c r="N7" i="3"/>
  <c r="M7" i="3"/>
  <c r="O7" i="3" s="1"/>
  <c r="Q7" i="3" s="1"/>
  <c r="L7" i="3"/>
  <c r="K7" i="3"/>
  <c r="S7" i="3" s="1"/>
  <c r="J7" i="3"/>
  <c r="B7" i="3"/>
  <c r="AV6" i="3"/>
  <c r="V6" i="3"/>
  <c r="W6" i="3" s="1"/>
  <c r="T6" i="3"/>
  <c r="U6" i="3" s="1"/>
  <c r="S6" i="3"/>
  <c r="P6" i="3"/>
  <c r="R6" i="3" s="1"/>
  <c r="O6" i="3"/>
  <c r="N6" i="3"/>
  <c r="M6" i="3"/>
  <c r="K6" i="3"/>
  <c r="L6" i="3" s="1"/>
  <c r="J6" i="3"/>
  <c r="B6" i="3"/>
  <c r="AV5" i="3"/>
  <c r="S5" i="3"/>
  <c r="P5" i="3"/>
  <c r="R5" i="3" s="1"/>
  <c r="O5" i="3"/>
  <c r="Q5" i="3" s="1"/>
  <c r="N5" i="3"/>
  <c r="M5" i="3"/>
  <c r="K5" i="3"/>
  <c r="L5" i="3" s="1"/>
  <c r="J5" i="3"/>
  <c r="T5" i="3" s="1"/>
  <c r="U5" i="3" s="1"/>
  <c r="V5" i="3" s="1"/>
  <c r="W5" i="3" s="1"/>
  <c r="B5" i="3"/>
  <c r="AV4" i="3"/>
  <c r="AF4" i="3"/>
  <c r="AG4" i="3" s="1"/>
  <c r="U4" i="3"/>
  <c r="T4" i="3"/>
  <c r="P4" i="3"/>
  <c r="N4" i="3"/>
  <c r="M4" i="3"/>
  <c r="O4" i="3" s="1"/>
  <c r="L4" i="3"/>
  <c r="K4" i="3"/>
  <c r="S4" i="3" s="1"/>
  <c r="J4" i="3"/>
  <c r="B4" i="3"/>
  <c r="U3" i="3"/>
  <c r="T3" i="3"/>
  <c r="R3" i="3"/>
  <c r="Q3" i="3"/>
  <c r="AG2" i="3"/>
  <c r="AF2" i="3"/>
  <c r="U2" i="3"/>
  <c r="T2" i="3"/>
  <c r="S2" i="3"/>
  <c r="R2" i="3"/>
  <c r="L2" i="3"/>
  <c r="K2" i="3"/>
  <c r="B2" i="3"/>
  <c r="T1" i="3"/>
  <c r="M102" i="4"/>
  <c r="O102" i="4" s="1"/>
  <c r="K102" i="4"/>
  <c r="S102" i="4" s="1"/>
  <c r="J102" i="4"/>
  <c r="T102" i="4" s="1"/>
  <c r="V102" i="4" s="1"/>
  <c r="W102" i="4" s="1"/>
  <c r="B102" i="4"/>
  <c r="M101" i="4"/>
  <c r="O101" i="4" s="1"/>
  <c r="K101" i="4"/>
  <c r="L101" i="4" s="1"/>
  <c r="J101" i="4"/>
  <c r="T101" i="4" s="1"/>
  <c r="V101" i="4" s="1"/>
  <c r="B101" i="4"/>
  <c r="P100" i="4"/>
  <c r="M100" i="4"/>
  <c r="O100" i="4" s="1"/>
  <c r="K100" i="4"/>
  <c r="S100" i="4" s="1"/>
  <c r="J100" i="4"/>
  <c r="T100" i="4" s="1"/>
  <c r="V100" i="4" s="1"/>
  <c r="B100" i="4"/>
  <c r="P99" i="4"/>
  <c r="M99" i="4"/>
  <c r="O99" i="4" s="1"/>
  <c r="K99" i="4"/>
  <c r="L99" i="4" s="1"/>
  <c r="J99" i="4"/>
  <c r="T99" i="4" s="1"/>
  <c r="V99" i="4" s="1"/>
  <c r="B99" i="4"/>
  <c r="P98" i="4"/>
  <c r="M98" i="4"/>
  <c r="O98" i="4" s="1"/>
  <c r="K98" i="4"/>
  <c r="L98" i="4" s="1"/>
  <c r="J98" i="4"/>
  <c r="T98" i="4" s="1"/>
  <c r="V98" i="4" s="1"/>
  <c r="B98" i="4"/>
  <c r="P97" i="4"/>
  <c r="M97" i="4"/>
  <c r="O97" i="4" s="1"/>
  <c r="K97" i="4"/>
  <c r="S97" i="4" s="1"/>
  <c r="J97" i="4"/>
  <c r="T97" i="4" s="1"/>
  <c r="V97" i="4" s="1"/>
  <c r="B97" i="4"/>
  <c r="P96" i="4"/>
  <c r="M96" i="4"/>
  <c r="O96" i="4" s="1"/>
  <c r="K96" i="4"/>
  <c r="L96" i="4" s="1"/>
  <c r="J96" i="4"/>
  <c r="T96" i="4" s="1"/>
  <c r="V96" i="4" s="1"/>
  <c r="B96" i="4"/>
  <c r="P95" i="4"/>
  <c r="M95" i="4"/>
  <c r="O95" i="4" s="1"/>
  <c r="K95" i="4"/>
  <c r="S95" i="4" s="1"/>
  <c r="J95" i="4"/>
  <c r="T95" i="4" s="1"/>
  <c r="V95" i="4" s="1"/>
  <c r="B95" i="4"/>
  <c r="P94" i="4"/>
  <c r="M94" i="4"/>
  <c r="O94" i="4" s="1"/>
  <c r="K94" i="4"/>
  <c r="S94" i="4" s="1"/>
  <c r="J94" i="4"/>
  <c r="T94" i="4" s="1"/>
  <c r="V94" i="4" s="1"/>
  <c r="B94" i="4"/>
  <c r="P93" i="4"/>
  <c r="M93" i="4"/>
  <c r="O93" i="4" s="1"/>
  <c r="K93" i="4"/>
  <c r="L93" i="4" s="1"/>
  <c r="J93" i="4"/>
  <c r="T93" i="4" s="1"/>
  <c r="V93" i="4" s="1"/>
  <c r="B93" i="4"/>
  <c r="P92" i="4"/>
  <c r="M92" i="4"/>
  <c r="O92" i="4" s="1"/>
  <c r="K92" i="4"/>
  <c r="S92" i="4" s="1"/>
  <c r="J92" i="4"/>
  <c r="T92" i="4" s="1"/>
  <c r="V92" i="4" s="1"/>
  <c r="B92" i="4"/>
  <c r="P91" i="4"/>
  <c r="M91" i="4"/>
  <c r="O91" i="4" s="1"/>
  <c r="K91" i="4"/>
  <c r="L91" i="4" s="1"/>
  <c r="J91" i="4"/>
  <c r="T91" i="4" s="1"/>
  <c r="V91" i="4" s="1"/>
  <c r="B91" i="4"/>
  <c r="P90" i="4"/>
  <c r="M90" i="4"/>
  <c r="O90" i="4" s="1"/>
  <c r="K90" i="4"/>
  <c r="S90" i="4" s="1"/>
  <c r="J90" i="4"/>
  <c r="T90" i="4" s="1"/>
  <c r="V90" i="4" s="1"/>
  <c r="B90" i="4"/>
  <c r="P89" i="4"/>
  <c r="M89" i="4"/>
  <c r="O89" i="4" s="1"/>
  <c r="K89" i="4"/>
  <c r="S89" i="4" s="1"/>
  <c r="J89" i="4"/>
  <c r="T89" i="4" s="1"/>
  <c r="V89" i="4" s="1"/>
  <c r="B89" i="4"/>
  <c r="P88" i="4"/>
  <c r="M88" i="4"/>
  <c r="O88" i="4" s="1"/>
  <c r="K88" i="4"/>
  <c r="L88" i="4" s="1"/>
  <c r="J88" i="4"/>
  <c r="T88" i="4" s="1"/>
  <c r="V88" i="4" s="1"/>
  <c r="B88" i="4"/>
  <c r="M84" i="4"/>
  <c r="O84" i="4" s="1"/>
  <c r="K84" i="4"/>
  <c r="S84" i="4" s="1"/>
  <c r="J84" i="4"/>
  <c r="T84" i="4" s="1"/>
  <c r="B84" i="4"/>
  <c r="M83" i="4"/>
  <c r="O83" i="4" s="1"/>
  <c r="K83" i="4"/>
  <c r="L83" i="4" s="1"/>
  <c r="J83" i="4"/>
  <c r="T83" i="4" s="1"/>
  <c r="B83" i="4"/>
  <c r="P82" i="4"/>
  <c r="M82" i="4"/>
  <c r="O82" i="4" s="1"/>
  <c r="K82" i="4"/>
  <c r="S82" i="4" s="1"/>
  <c r="J82" i="4"/>
  <c r="T82" i="4" s="1"/>
  <c r="B82" i="4"/>
  <c r="P81" i="4"/>
  <c r="M81" i="4"/>
  <c r="O81" i="4" s="1"/>
  <c r="K81" i="4"/>
  <c r="L81" i="4" s="1"/>
  <c r="J81" i="4"/>
  <c r="T81" i="4" s="1"/>
  <c r="B81" i="4"/>
  <c r="P80" i="4"/>
  <c r="M80" i="4"/>
  <c r="O80" i="4" s="1"/>
  <c r="K80" i="4"/>
  <c r="L80" i="4" s="1"/>
  <c r="J80" i="4"/>
  <c r="T80" i="4" s="1"/>
  <c r="B80" i="4"/>
  <c r="P79" i="4"/>
  <c r="M79" i="4"/>
  <c r="O79" i="4" s="1"/>
  <c r="K79" i="4"/>
  <c r="L79" i="4" s="1"/>
  <c r="J79" i="4"/>
  <c r="T79" i="4" s="1"/>
  <c r="B79" i="4"/>
  <c r="P78" i="4"/>
  <c r="M78" i="4"/>
  <c r="O78" i="4" s="1"/>
  <c r="K78" i="4"/>
  <c r="S78" i="4" s="1"/>
  <c r="J78" i="4"/>
  <c r="T78" i="4" s="1"/>
  <c r="B78" i="4"/>
  <c r="P77" i="4"/>
  <c r="M77" i="4"/>
  <c r="O77" i="4" s="1"/>
  <c r="K77" i="4"/>
  <c r="S77" i="4" s="1"/>
  <c r="J77" i="4"/>
  <c r="T77" i="4" s="1"/>
  <c r="B77" i="4"/>
  <c r="P76" i="4"/>
  <c r="M76" i="4"/>
  <c r="O76" i="4" s="1"/>
  <c r="K76" i="4"/>
  <c r="L76" i="4" s="1"/>
  <c r="J76" i="4"/>
  <c r="T76" i="4" s="1"/>
  <c r="B76" i="4"/>
  <c r="P75" i="4"/>
  <c r="M75" i="4"/>
  <c r="O75" i="4" s="1"/>
  <c r="K75" i="4"/>
  <c r="S75" i="4" s="1"/>
  <c r="J75" i="4"/>
  <c r="T75" i="4" s="1"/>
  <c r="B75" i="4"/>
  <c r="P74" i="4"/>
  <c r="M74" i="4"/>
  <c r="O74" i="4" s="1"/>
  <c r="K74" i="4"/>
  <c r="S74" i="4" s="1"/>
  <c r="J74" i="4"/>
  <c r="T74" i="4" s="1"/>
  <c r="B74" i="4"/>
  <c r="P73" i="4"/>
  <c r="M73" i="4"/>
  <c r="O73" i="4" s="1"/>
  <c r="K73" i="4"/>
  <c r="L73" i="4" s="1"/>
  <c r="J73" i="4"/>
  <c r="T73" i="4" s="1"/>
  <c r="B73" i="4"/>
  <c r="P72" i="4"/>
  <c r="M72" i="4"/>
  <c r="O72" i="4" s="1"/>
  <c r="K72" i="4"/>
  <c r="L72" i="4" s="1"/>
  <c r="J72" i="4"/>
  <c r="T72" i="4" s="1"/>
  <c r="B72" i="4"/>
  <c r="P67" i="4"/>
  <c r="M67" i="4"/>
  <c r="O67" i="4" s="1"/>
  <c r="K67" i="4"/>
  <c r="L67" i="4" s="1"/>
  <c r="J67" i="4"/>
  <c r="T67" i="4" s="1"/>
  <c r="B67" i="4"/>
  <c r="AF54" i="4"/>
  <c r="AF55" i="4" s="1"/>
  <c r="X36" i="4" s="1"/>
  <c r="AE42" i="4" s="1"/>
  <c r="C50" i="4"/>
  <c r="D50" i="4" s="1"/>
  <c r="C49" i="4"/>
  <c r="D49" i="4" s="1"/>
  <c r="C48" i="4"/>
  <c r="D48" i="4" s="1"/>
  <c r="C47" i="4"/>
  <c r="D47" i="4" s="1"/>
  <c r="C46" i="4"/>
  <c r="D46" i="4" s="1"/>
  <c r="C45" i="4"/>
  <c r="D45" i="4" s="1"/>
  <c r="C44" i="4"/>
  <c r="D44" i="4" s="1"/>
  <c r="AB40" i="4"/>
  <c r="X40" i="4"/>
  <c r="Q5" i="4" s="1"/>
  <c r="AE28" i="4"/>
  <c r="AE27" i="4"/>
  <c r="X34" i="4"/>
  <c r="X35" i="4" s="1"/>
  <c r="AE25" i="4"/>
  <c r="AE24" i="4"/>
  <c r="AE23" i="4"/>
  <c r="AE22" i="4"/>
  <c r="M26" i="4"/>
  <c r="O26" i="4" s="1"/>
  <c r="K26" i="4"/>
  <c r="S26" i="4" s="1"/>
  <c r="J26" i="4"/>
  <c r="T26" i="4" s="1"/>
  <c r="V26" i="4" s="1"/>
  <c r="B26" i="4"/>
  <c r="M25" i="4"/>
  <c r="O25" i="4" s="1"/>
  <c r="K25" i="4"/>
  <c r="S25" i="4" s="1"/>
  <c r="J25" i="4"/>
  <c r="T25" i="4" s="1"/>
  <c r="V25" i="4" s="1"/>
  <c r="B25" i="4"/>
  <c r="M24" i="4"/>
  <c r="O24" i="4" s="1"/>
  <c r="K24" i="4"/>
  <c r="S24" i="4" s="1"/>
  <c r="J24" i="4"/>
  <c r="T24" i="4" s="1"/>
  <c r="V24" i="4" s="1"/>
  <c r="B24" i="4"/>
  <c r="M23" i="4"/>
  <c r="O23" i="4" s="1"/>
  <c r="K23" i="4"/>
  <c r="S23" i="4" s="1"/>
  <c r="J23" i="4"/>
  <c r="T23" i="4" s="1"/>
  <c r="V23" i="4" s="1"/>
  <c r="B23" i="4"/>
  <c r="M22" i="4"/>
  <c r="O22" i="4" s="1"/>
  <c r="K22" i="4"/>
  <c r="S22" i="4" s="1"/>
  <c r="J22" i="4"/>
  <c r="T22" i="4" s="1"/>
  <c r="V22" i="4" s="1"/>
  <c r="B22" i="4"/>
  <c r="M21" i="4"/>
  <c r="O21" i="4" s="1"/>
  <c r="K21" i="4"/>
  <c r="L21" i="4" s="1"/>
  <c r="J21" i="4"/>
  <c r="T21" i="4" s="1"/>
  <c r="V21" i="4" s="1"/>
  <c r="B21" i="4"/>
  <c r="M20" i="4"/>
  <c r="O20" i="4" s="1"/>
  <c r="K20" i="4"/>
  <c r="L20" i="4" s="1"/>
  <c r="J20" i="4"/>
  <c r="T20" i="4" s="1"/>
  <c r="V20" i="4" s="1"/>
  <c r="B20" i="4"/>
  <c r="M19" i="4"/>
  <c r="O19" i="4" s="1"/>
  <c r="K19" i="4"/>
  <c r="S19" i="4" s="1"/>
  <c r="J19" i="4"/>
  <c r="T19" i="4" s="1"/>
  <c r="V19" i="4" s="1"/>
  <c r="B19" i="4"/>
  <c r="M18" i="4"/>
  <c r="O18" i="4" s="1"/>
  <c r="K18" i="4"/>
  <c r="L18" i="4" s="1"/>
  <c r="J18" i="4"/>
  <c r="T18" i="4" s="1"/>
  <c r="V18" i="4" s="1"/>
  <c r="B18" i="4"/>
  <c r="B16" i="4"/>
  <c r="AW15" i="4"/>
  <c r="N15" i="4"/>
  <c r="P15" i="4" s="1"/>
  <c r="AD15" i="4" s="1"/>
  <c r="M15" i="4"/>
  <c r="O15" i="4" s="1"/>
  <c r="K15" i="4"/>
  <c r="S15" i="4" s="1"/>
  <c r="J15" i="4"/>
  <c r="T15" i="4" s="1"/>
  <c r="B15" i="4"/>
  <c r="AW14" i="4"/>
  <c r="N14" i="4"/>
  <c r="P14" i="4" s="1"/>
  <c r="AD14" i="4" s="1"/>
  <c r="M14" i="4"/>
  <c r="O14" i="4" s="1"/>
  <c r="K14" i="4"/>
  <c r="S14" i="4" s="1"/>
  <c r="J14" i="4"/>
  <c r="T14" i="4" s="1"/>
  <c r="B14" i="4"/>
  <c r="AW13" i="4"/>
  <c r="N13" i="4"/>
  <c r="P13" i="4" s="1"/>
  <c r="AD13" i="4" s="1"/>
  <c r="M13" i="4"/>
  <c r="O13" i="4" s="1"/>
  <c r="Y13" i="4" s="1"/>
  <c r="K13" i="4"/>
  <c r="S13" i="4" s="1"/>
  <c r="J13" i="4"/>
  <c r="T13" i="4" s="1"/>
  <c r="B13" i="4"/>
  <c r="AW12" i="4"/>
  <c r="N12" i="4"/>
  <c r="P12" i="4" s="1"/>
  <c r="AD12" i="4" s="1"/>
  <c r="M12" i="4"/>
  <c r="O12" i="4" s="1"/>
  <c r="K12" i="4"/>
  <c r="L12" i="4" s="1"/>
  <c r="J12" i="4"/>
  <c r="T12" i="4" s="1"/>
  <c r="B12" i="4"/>
  <c r="AW11" i="4"/>
  <c r="N11" i="4"/>
  <c r="P11" i="4" s="1"/>
  <c r="AD11" i="4" s="1"/>
  <c r="M11" i="4"/>
  <c r="O11" i="4" s="1"/>
  <c r="K11" i="4"/>
  <c r="L11" i="4" s="1"/>
  <c r="J11" i="4"/>
  <c r="T11" i="4" s="1"/>
  <c r="B11" i="4"/>
  <c r="AW10" i="4"/>
  <c r="N10" i="4"/>
  <c r="P10" i="4" s="1"/>
  <c r="AD10" i="4" s="1"/>
  <c r="M10" i="4"/>
  <c r="O10" i="4" s="1"/>
  <c r="K10" i="4"/>
  <c r="L10" i="4" s="1"/>
  <c r="J10" i="4"/>
  <c r="T10" i="4" s="1"/>
  <c r="B10" i="4"/>
  <c r="AW9" i="4"/>
  <c r="N9" i="4"/>
  <c r="P9" i="4" s="1"/>
  <c r="AD9" i="4" s="1"/>
  <c r="M9" i="4"/>
  <c r="O9" i="4" s="1"/>
  <c r="Y9" i="4" s="1"/>
  <c r="K9" i="4"/>
  <c r="S9" i="4" s="1"/>
  <c r="J9" i="4"/>
  <c r="T9" i="4" s="1"/>
  <c r="B9" i="4"/>
  <c r="AW8" i="4"/>
  <c r="N8" i="4"/>
  <c r="P8" i="4" s="1"/>
  <c r="AD8" i="4" s="1"/>
  <c r="M8" i="4"/>
  <c r="O8" i="4" s="1"/>
  <c r="K8" i="4"/>
  <c r="L8" i="4" s="1"/>
  <c r="J8" i="4"/>
  <c r="T8" i="4" s="1"/>
  <c r="B8" i="4"/>
  <c r="T3" i="4"/>
  <c r="V4" i="4" s="1"/>
  <c r="T2" i="4"/>
  <c r="K2" i="4"/>
  <c r="L2" i="4" s="1"/>
  <c r="B2" i="4"/>
  <c r="T1" i="4"/>
  <c r="U11" i="4" l="1"/>
  <c r="V11" i="4"/>
  <c r="V15" i="4"/>
  <c r="U15" i="4"/>
  <c r="AA15" i="4" s="1"/>
  <c r="V7" i="4"/>
  <c r="U6" i="4"/>
  <c r="U10" i="4"/>
  <c r="V10" i="4"/>
  <c r="W10" i="4" s="1"/>
  <c r="V14" i="4"/>
  <c r="U14" i="4"/>
  <c r="V6" i="4"/>
  <c r="W6" i="4" s="1"/>
  <c r="V71" i="4"/>
  <c r="V3" i="4"/>
  <c r="U3" i="4"/>
  <c r="V9" i="4"/>
  <c r="U9" i="4"/>
  <c r="V13" i="4"/>
  <c r="U13" i="4"/>
  <c r="U4" i="4"/>
  <c r="V5" i="4"/>
  <c r="V8" i="4"/>
  <c r="U8" i="4"/>
  <c r="U12" i="4"/>
  <c r="V12" i="4"/>
  <c r="W12" i="4" s="1"/>
  <c r="U5" i="4"/>
  <c r="Y8" i="4"/>
  <c r="Z8" i="4" s="1"/>
  <c r="AA8" i="4" s="1"/>
  <c r="Y12" i="4"/>
  <c r="Z12" i="4" s="1"/>
  <c r="AA12" i="4" s="1"/>
  <c r="Y11" i="4"/>
  <c r="Z11" i="4" s="1"/>
  <c r="Y10" i="4"/>
  <c r="Z10" i="4" s="1"/>
  <c r="AA10" i="4" s="1"/>
  <c r="Z9" i="4"/>
  <c r="AB9" i="4"/>
  <c r="AC9" i="4" s="1"/>
  <c r="Z13" i="4"/>
  <c r="AA13" i="4" s="1"/>
  <c r="AB13" i="4"/>
  <c r="AC13" i="4" s="1"/>
  <c r="AB12" i="4"/>
  <c r="AC12" i="4" s="1"/>
  <c r="Z59" i="3"/>
  <c r="AF39" i="3" s="1"/>
  <c r="Z61" i="3"/>
  <c r="AD39" i="3" s="1"/>
  <c r="Z54" i="3"/>
  <c r="Z53" i="3"/>
  <c r="AE36" i="3" s="1"/>
  <c r="Q4" i="3"/>
  <c r="W55" i="3"/>
  <c r="AD35" i="3" s="1"/>
  <c r="W54" i="3"/>
  <c r="AE35" i="3" s="1"/>
  <c r="V4" i="3"/>
  <c r="W4" i="3" s="1"/>
  <c r="V11" i="3"/>
  <c r="W11" i="3" s="1"/>
  <c r="Y11" i="3" s="1"/>
  <c r="Z11" i="3" s="1"/>
  <c r="AA11" i="3" s="1"/>
  <c r="P6" i="1"/>
  <c r="AD38" i="1"/>
  <c r="Y4" i="4"/>
  <c r="Y5" i="4"/>
  <c r="Y6" i="4"/>
  <c r="Y7" i="4"/>
  <c r="Y3" i="4"/>
  <c r="W53" i="3"/>
  <c r="AD34" i="3" s="1"/>
  <c r="Z52" i="3"/>
  <c r="AD37" i="3" s="1"/>
  <c r="W52" i="3"/>
  <c r="AE34" i="3" s="1"/>
  <c r="Z51" i="3"/>
  <c r="AE37" i="3" s="1"/>
  <c r="W51" i="3"/>
  <c r="AF34" i="3" s="1"/>
  <c r="Q7" i="1"/>
  <c r="Q8" i="1"/>
  <c r="Q8" i="2"/>
  <c r="AA32" i="2"/>
  <c r="AF6" i="3"/>
  <c r="AG6" i="3" s="1"/>
  <c r="V10" i="3"/>
  <c r="W10" i="3" s="1"/>
  <c r="Y10" i="3" s="1"/>
  <c r="Z10" i="3" s="1"/>
  <c r="AA10" i="3" s="1"/>
  <c r="V21" i="3"/>
  <c r="W21" i="3" s="1"/>
  <c r="Y21" i="3" s="1"/>
  <c r="Z21" i="3" s="1"/>
  <c r="AA21" i="3" s="1"/>
  <c r="Y14" i="4"/>
  <c r="W88" i="4"/>
  <c r="X88" i="4" s="1"/>
  <c r="R4" i="3"/>
  <c r="R7" i="3"/>
  <c r="S8" i="3"/>
  <c r="AF10" i="3"/>
  <c r="AG10" i="3" s="1"/>
  <c r="R14" i="3"/>
  <c r="Q17" i="3"/>
  <c r="Q22" i="3"/>
  <c r="Q24" i="3"/>
  <c r="AD37" i="1"/>
  <c r="Q4" i="1"/>
  <c r="W93" i="4"/>
  <c r="W101" i="4"/>
  <c r="Q6" i="3"/>
  <c r="Q12" i="3"/>
  <c r="Q16" i="3"/>
  <c r="Q2" i="1"/>
  <c r="Q5" i="1"/>
  <c r="Z6" i="1"/>
  <c r="AA6" i="1" s="1"/>
  <c r="AC6" i="1" s="1"/>
  <c r="AD6" i="1" s="1"/>
  <c r="AE6" i="1" s="1"/>
  <c r="Q20" i="3"/>
  <c r="Q21" i="3"/>
  <c r="Z4" i="1"/>
  <c r="AA4" i="1" s="1"/>
  <c r="AC4" i="1" s="1"/>
  <c r="V7" i="3"/>
  <c r="W7" i="3" s="1"/>
  <c r="Y7" i="3" s="1"/>
  <c r="Z7" i="3" s="1"/>
  <c r="AA7" i="3" s="1"/>
  <c r="S19" i="3"/>
  <c r="L19" i="3"/>
  <c r="AF13" i="3"/>
  <c r="AG13" i="3" s="1"/>
  <c r="AF12" i="3"/>
  <c r="AG12" i="3" s="1"/>
  <c r="AF11" i="3"/>
  <c r="AG11" i="3" s="1"/>
  <c r="AF7" i="3"/>
  <c r="AG7" i="3" s="1"/>
  <c r="AF14" i="3"/>
  <c r="AG14" i="3" s="1"/>
  <c r="Q18" i="3"/>
  <c r="AD31" i="3"/>
  <c r="AA34" i="2"/>
  <c r="AH25" i="2" s="1"/>
  <c r="AA33" i="2"/>
  <c r="AI25" i="2" s="1"/>
  <c r="Q2" i="2"/>
  <c r="Q5" i="2"/>
  <c r="W92" i="4"/>
  <c r="X92" i="4" s="1"/>
  <c r="Y92" i="4" s="1"/>
  <c r="W100" i="4"/>
  <c r="Q2" i="3"/>
  <c r="AF8" i="3"/>
  <c r="AG8" i="3" s="1"/>
  <c r="R9" i="3"/>
  <c r="R11" i="3"/>
  <c r="V13" i="3"/>
  <c r="W13" i="3" s="1"/>
  <c r="Q19" i="3"/>
  <c r="V20" i="3"/>
  <c r="W20" i="3" s="1"/>
  <c r="Y20" i="3" s="1"/>
  <c r="Z20" i="3" s="1"/>
  <c r="AA20" i="3" s="1"/>
  <c r="P8" i="1"/>
  <c r="Q9" i="1"/>
  <c r="Q3" i="2"/>
  <c r="Q9" i="2"/>
  <c r="S3" i="1"/>
  <c r="AA36" i="1"/>
  <c r="AI28" i="1" s="1"/>
  <c r="Q4" i="2"/>
  <c r="S13" i="3"/>
  <c r="L14" i="3"/>
  <c r="L18" i="3"/>
  <c r="S22" i="3"/>
  <c r="AD36" i="1"/>
  <c r="P2" i="1"/>
  <c r="AA35" i="1"/>
  <c r="AA37" i="1"/>
  <c r="AH28" i="1" s="1"/>
  <c r="P3" i="1"/>
  <c r="Q6" i="1"/>
  <c r="AD35" i="1"/>
  <c r="R8" i="1" s="1"/>
  <c r="T8" i="1" s="1"/>
  <c r="Q7" i="2"/>
  <c r="Q26" i="4"/>
  <c r="W94" i="4"/>
  <c r="X94" i="4" s="1"/>
  <c r="Y94" i="4" s="1"/>
  <c r="W18" i="4"/>
  <c r="W20" i="4"/>
  <c r="W22" i="4"/>
  <c r="W24" i="4"/>
  <c r="W26" i="4"/>
  <c r="W91" i="4"/>
  <c r="X91" i="4" s="1"/>
  <c r="W99" i="4"/>
  <c r="X99" i="4" s="1"/>
  <c r="W71" i="4"/>
  <c r="W96" i="4"/>
  <c r="W97" i="4"/>
  <c r="W90" i="4"/>
  <c r="W98" i="4"/>
  <c r="W89" i="4"/>
  <c r="X89" i="4" s="1"/>
  <c r="Y89" i="4" s="1"/>
  <c r="W19" i="4"/>
  <c r="W21" i="4"/>
  <c r="W23" i="4"/>
  <c r="W25" i="4"/>
  <c r="W95" i="4"/>
  <c r="Q9" i="4"/>
  <c r="Q13" i="4"/>
  <c r="R13" i="4"/>
  <c r="Q8" i="4"/>
  <c r="Q12" i="4"/>
  <c r="R2" i="4"/>
  <c r="Q23" i="4"/>
  <c r="R9" i="4"/>
  <c r="Q2" i="4"/>
  <c r="R14" i="4"/>
  <c r="Q18" i="4"/>
  <c r="Q20" i="4"/>
  <c r="L22" i="4"/>
  <c r="L89" i="4"/>
  <c r="L26" i="4"/>
  <c r="V76" i="4"/>
  <c r="S80" i="4"/>
  <c r="V84" i="4"/>
  <c r="V73" i="4"/>
  <c r="V75" i="4"/>
  <c r="W75" i="4" s="1"/>
  <c r="L24" i="4"/>
  <c r="V78" i="4"/>
  <c r="V81" i="4"/>
  <c r="V72" i="4"/>
  <c r="V80" i="4"/>
  <c r="W80" i="4" s="1"/>
  <c r="V83" i="4"/>
  <c r="V77" i="4"/>
  <c r="V70" i="4"/>
  <c r="S18" i="4"/>
  <c r="V74" i="4"/>
  <c r="V69" i="4"/>
  <c r="Q25" i="4"/>
  <c r="V67" i="4"/>
  <c r="W67" i="4" s="1"/>
  <c r="X67" i="4" s="1"/>
  <c r="Y67" i="4" s="1"/>
  <c r="V79" i="4"/>
  <c r="V82" i="4"/>
  <c r="V68" i="4"/>
  <c r="R12" i="4"/>
  <c r="Q22" i="4"/>
  <c r="Q72" i="4"/>
  <c r="L78" i="4"/>
  <c r="S79" i="4"/>
  <c r="R68" i="4"/>
  <c r="Q15" i="4"/>
  <c r="R3" i="4"/>
  <c r="R11" i="4"/>
  <c r="R15" i="4"/>
  <c r="L19" i="4"/>
  <c r="L74" i="4"/>
  <c r="Q68" i="4"/>
  <c r="Q3" i="4"/>
  <c r="Q11" i="4"/>
  <c r="AE26" i="4"/>
  <c r="AM23" i="4" s="1"/>
  <c r="Q10" i="4"/>
  <c r="Q14" i="4"/>
  <c r="Q19" i="4"/>
  <c r="Q21" i="4"/>
  <c r="Q24" i="4"/>
  <c r="AG9" i="4"/>
  <c r="AH9" i="4" s="1"/>
  <c r="Q67" i="4"/>
  <c r="L94" i="4"/>
  <c r="R71" i="4"/>
  <c r="Q94" i="4"/>
  <c r="R100" i="4"/>
  <c r="Q102" i="4"/>
  <c r="Q71" i="4"/>
  <c r="R69" i="4"/>
  <c r="R70" i="4"/>
  <c r="Q93" i="4"/>
  <c r="Q69" i="4"/>
  <c r="Q70" i="4"/>
  <c r="W11" i="4"/>
  <c r="W15" i="4"/>
  <c r="W14" i="4"/>
  <c r="W4" i="4"/>
  <c r="X4" i="4" s="1"/>
  <c r="W7" i="4"/>
  <c r="W5" i="4"/>
  <c r="W9" i="4"/>
  <c r="W13" i="4"/>
  <c r="W8" i="4"/>
  <c r="Q73" i="4"/>
  <c r="Q96" i="4"/>
  <c r="Q99" i="4"/>
  <c r="L9" i="4"/>
  <c r="S20" i="4"/>
  <c r="S93" i="4"/>
  <c r="AG15" i="4"/>
  <c r="AH15" i="4" s="1"/>
  <c r="S67" i="4"/>
  <c r="S99" i="4"/>
  <c r="Q83" i="4"/>
  <c r="S76" i="4"/>
  <c r="R95" i="4"/>
  <c r="R79" i="4"/>
  <c r="Q6" i="4"/>
  <c r="S2" i="4"/>
  <c r="S8" i="4"/>
  <c r="Q79" i="4"/>
  <c r="S81" i="4"/>
  <c r="Q90" i="4"/>
  <c r="Q95" i="4"/>
  <c r="Q100" i="4"/>
  <c r="R4" i="4"/>
  <c r="AG2" i="4"/>
  <c r="AH2" i="4" s="1"/>
  <c r="L13" i="4"/>
  <c r="L14" i="4"/>
  <c r="S73" i="4"/>
  <c r="L77" i="4"/>
  <c r="Q78" i="4"/>
  <c r="Q89" i="4"/>
  <c r="S96" i="4"/>
  <c r="S10" i="4"/>
  <c r="Q77" i="4"/>
  <c r="Q88" i="4"/>
  <c r="Y91" i="4"/>
  <c r="L92" i="4"/>
  <c r="R6" i="4"/>
  <c r="R5" i="4"/>
  <c r="Q7" i="4"/>
  <c r="AG6" i="4"/>
  <c r="AH6" i="4" s="1"/>
  <c r="AG7" i="4"/>
  <c r="AH7" i="4" s="1"/>
  <c r="AG4" i="4"/>
  <c r="AH4" i="4" s="1"/>
  <c r="AG5" i="4"/>
  <c r="AH5" i="4" s="1"/>
  <c r="Q76" i="4"/>
  <c r="Q82" i="4"/>
  <c r="R88" i="4"/>
  <c r="Q92" i="4"/>
  <c r="Q98" i="4"/>
  <c r="Q4" i="4"/>
  <c r="AG13" i="4"/>
  <c r="AH13" i="4" s="1"/>
  <c r="L15" i="4"/>
  <c r="L75" i="4"/>
  <c r="S88" i="4"/>
  <c r="Q91" i="4"/>
  <c r="R92" i="4"/>
  <c r="R7" i="4"/>
  <c r="Q75" i="4"/>
  <c r="Q81" i="4"/>
  <c r="Q84" i="4"/>
  <c r="R91" i="4"/>
  <c r="Q97" i="4"/>
  <c r="Q101" i="4"/>
  <c r="AG14" i="4"/>
  <c r="AH14" i="4" s="1"/>
  <c r="Q74" i="4"/>
  <c r="R75" i="4"/>
  <c r="Q80" i="4"/>
  <c r="S91" i="4"/>
  <c r="L95" i="4"/>
  <c r="Y99" i="4"/>
  <c r="R10" i="4"/>
  <c r="X54" i="4"/>
  <c r="AF29" i="4" s="1"/>
  <c r="AA53" i="4"/>
  <c r="AF32" i="4" s="1"/>
  <c r="X53" i="4"/>
  <c r="AG29" i="4" s="1"/>
  <c r="X55" i="4"/>
  <c r="AE29" i="4" s="1"/>
  <c r="AA54" i="4"/>
  <c r="AE32" i="4" s="1"/>
  <c r="R8" i="4"/>
  <c r="AA56" i="4"/>
  <c r="AA55" i="4"/>
  <c r="AF31" i="4" s="1"/>
  <c r="Y88" i="4"/>
  <c r="S12" i="4"/>
  <c r="S21" i="4"/>
  <c r="L25" i="4"/>
  <c r="R78" i="4"/>
  <c r="R81" i="4"/>
  <c r="R89" i="4"/>
  <c r="R96" i="4"/>
  <c r="R99" i="4"/>
  <c r="R72" i="4"/>
  <c r="L97" i="4"/>
  <c r="R98" i="4"/>
  <c r="L100" i="4"/>
  <c r="AG8" i="4"/>
  <c r="AH8" i="4" s="1"/>
  <c r="L23" i="4"/>
  <c r="L82" i="4"/>
  <c r="L90" i="4"/>
  <c r="S72" i="4"/>
  <c r="R74" i="4"/>
  <c r="R77" i="4"/>
  <c r="R80" i="4"/>
  <c r="S83" i="4"/>
  <c r="L84" i="4"/>
  <c r="R94" i="4"/>
  <c r="S98" i="4"/>
  <c r="S101" i="4"/>
  <c r="L102" i="4"/>
  <c r="S11" i="4"/>
  <c r="R97" i="4"/>
  <c r="AG10" i="4"/>
  <c r="AH10" i="4" s="1"/>
  <c r="AG12" i="4"/>
  <c r="AH12" i="4" s="1"/>
  <c r="R82" i="4"/>
  <c r="R90" i="4"/>
  <c r="R67" i="4"/>
  <c r="R73" i="4"/>
  <c r="R76" i="4"/>
  <c r="R93" i="4"/>
  <c r="AB10" i="4" l="1"/>
  <c r="AC10" i="4" s="1"/>
  <c r="AA11" i="4"/>
  <c r="AA9" i="4"/>
  <c r="AV15" i="4"/>
  <c r="AV12" i="4"/>
  <c r="AV9" i="4"/>
  <c r="AV13" i="4"/>
  <c r="X13" i="4"/>
  <c r="X15" i="4"/>
  <c r="X11" i="4"/>
  <c r="X9" i="4"/>
  <c r="X7" i="4"/>
  <c r="AB8" i="4"/>
  <c r="AB11" i="4"/>
  <c r="AV11" i="4" s="1"/>
  <c r="X19" i="4"/>
  <c r="X100" i="4"/>
  <c r="Y100" i="4" s="1"/>
  <c r="X98" i="4"/>
  <c r="Y98" i="4" s="1"/>
  <c r="X26" i="4"/>
  <c r="X6" i="4"/>
  <c r="X90" i="4"/>
  <c r="Y90" i="4" s="1"/>
  <c r="Z14" i="4"/>
  <c r="AA14" i="4" s="1"/>
  <c r="AB14" i="4"/>
  <c r="Z5" i="4"/>
  <c r="AA5" i="4" s="1"/>
  <c r="AB5" i="4"/>
  <c r="Z4" i="4"/>
  <c r="AA4" i="4" s="1"/>
  <c r="AB4" i="4"/>
  <c r="Z3" i="4"/>
  <c r="AB3" i="4"/>
  <c r="Z7" i="4"/>
  <c r="AA7" i="4" s="1"/>
  <c r="AB7" i="4"/>
  <c r="Z6" i="4"/>
  <c r="AA6" i="4" s="1"/>
  <c r="AB6" i="4"/>
  <c r="AD33" i="2"/>
  <c r="AH29" i="2" s="1"/>
  <c r="AH32" i="1"/>
  <c r="R9" i="1"/>
  <c r="T9" i="1" s="1"/>
  <c r="AD4" i="1"/>
  <c r="AC10" i="1"/>
  <c r="AI31" i="1"/>
  <c r="AD34" i="2"/>
  <c r="AI28" i="2" s="1"/>
  <c r="X95" i="4"/>
  <c r="Y95" i="4" s="1"/>
  <c r="X97" i="4"/>
  <c r="Y97" i="4" s="1"/>
  <c r="W61" i="3"/>
  <c r="AD38" i="3" s="1"/>
  <c r="O17" i="2"/>
  <c r="P17" i="2" s="1"/>
  <c r="Q17" i="2" s="1"/>
  <c r="O19" i="2"/>
  <c r="P19" i="2" s="1"/>
  <c r="Q19" i="2" s="1"/>
  <c r="O14" i="2"/>
  <c r="P14" i="2" s="1"/>
  <c r="Q14" i="2" s="1"/>
  <c r="AI32" i="1"/>
  <c r="O16" i="2"/>
  <c r="P16" i="2" s="1"/>
  <c r="Q16" i="2" s="1"/>
  <c r="O13" i="2"/>
  <c r="P13" i="2" s="1"/>
  <c r="Q13" i="2" s="1"/>
  <c r="O18" i="2"/>
  <c r="P18" i="2" s="1"/>
  <c r="Q18" i="2" s="1"/>
  <c r="AD32" i="2"/>
  <c r="O15" i="2"/>
  <c r="P15" i="2" s="1"/>
  <c r="Q15" i="2" s="1"/>
  <c r="R3" i="1"/>
  <c r="X12" i="4"/>
  <c r="X25" i="4"/>
  <c r="X22" i="4"/>
  <c r="X101" i="4"/>
  <c r="Y101" i="4" s="1"/>
  <c r="AD36" i="3"/>
  <c r="Z44" i="3"/>
  <c r="Z46" i="3" s="1"/>
  <c r="Z47" i="3" s="1"/>
  <c r="X8" i="4"/>
  <c r="X10" i="4"/>
  <c r="X23" i="4"/>
  <c r="X96" i="4"/>
  <c r="Y96" i="4" s="1"/>
  <c r="X93" i="4"/>
  <c r="Y93" i="4" s="1"/>
  <c r="R6" i="1"/>
  <c r="T6" i="1" s="1"/>
  <c r="R7" i="1"/>
  <c r="T7" i="1" s="1"/>
  <c r="X102" i="4"/>
  <c r="Y102" i="4" s="1"/>
  <c r="X14" i="4"/>
  <c r="R5" i="1"/>
  <c r="T5" i="1" s="1"/>
  <c r="W59" i="3"/>
  <c r="AF38" i="3" s="1"/>
  <c r="V8" i="1"/>
  <c r="W8" i="1" s="1"/>
  <c r="V4" i="1"/>
  <c r="W4" i="1" s="1"/>
  <c r="V5" i="1"/>
  <c r="W5" i="1" s="1"/>
  <c r="V11" i="1"/>
  <c r="V3" i="1"/>
  <c r="W3" i="1" s="1"/>
  <c r="V6" i="1"/>
  <c r="W6" i="1" s="1"/>
  <c r="V9" i="1"/>
  <c r="W9" i="1" s="1"/>
  <c r="V7" i="1"/>
  <c r="W7" i="1" s="1"/>
  <c r="V2" i="1"/>
  <c r="W2" i="1" s="1"/>
  <c r="AJ28" i="1"/>
  <c r="V3" i="2"/>
  <c r="W3" i="2" s="1"/>
  <c r="V4" i="2"/>
  <c r="W4" i="2" s="1"/>
  <c r="V5" i="2"/>
  <c r="W5" i="2" s="1"/>
  <c r="V6" i="2"/>
  <c r="W6" i="2" s="1"/>
  <c r="AJ25" i="2"/>
  <c r="V7" i="2"/>
  <c r="W7" i="2" s="1"/>
  <c r="V8" i="2"/>
  <c r="W8" i="2" s="1"/>
  <c r="V9" i="2"/>
  <c r="W9" i="2" s="1"/>
  <c r="V2" i="2"/>
  <c r="W2" i="2" s="1"/>
  <c r="R2" i="1"/>
  <c r="T2" i="1" s="1"/>
  <c r="R4" i="1"/>
  <c r="T4" i="1" s="1"/>
  <c r="AD28" i="1"/>
  <c r="AD30" i="1" s="1"/>
  <c r="AD35" i="2"/>
  <c r="AH31" i="1"/>
  <c r="AI11" i="3"/>
  <c r="AH11" i="3"/>
  <c r="AI7" i="3"/>
  <c r="AH5" i="3"/>
  <c r="AI14" i="3"/>
  <c r="O14" i="3" s="1"/>
  <c r="Q14" i="3" s="1"/>
  <c r="W57" i="3"/>
  <c r="AH14" i="3"/>
  <c r="AI10" i="3"/>
  <c r="AH10" i="3"/>
  <c r="AH6" i="3"/>
  <c r="AI13" i="3"/>
  <c r="AI12" i="3"/>
  <c r="C3" i="3"/>
  <c r="AI2" i="3"/>
  <c r="AH13" i="3"/>
  <c r="AI5" i="3"/>
  <c r="AH2" i="3"/>
  <c r="AI9" i="3"/>
  <c r="AI4" i="3"/>
  <c r="AH9" i="3"/>
  <c r="AH7" i="3"/>
  <c r="AI6" i="3"/>
  <c r="AH4" i="3"/>
  <c r="AH12" i="3"/>
  <c r="AI8" i="3"/>
  <c r="AH8" i="3"/>
  <c r="W60" i="3"/>
  <c r="AE38" i="3" s="1"/>
  <c r="X5" i="4"/>
  <c r="X61" i="4" s="1"/>
  <c r="W74" i="4"/>
  <c r="X74" i="4" s="1"/>
  <c r="Y74" i="4" s="1"/>
  <c r="Y78" i="4"/>
  <c r="W78" i="4"/>
  <c r="X78" i="4" s="1"/>
  <c r="X21" i="4"/>
  <c r="X24" i="4"/>
  <c r="W68" i="4"/>
  <c r="X68" i="4" s="1"/>
  <c r="Y68" i="4" s="1"/>
  <c r="W70" i="4"/>
  <c r="X70" i="4" s="1"/>
  <c r="Y70" i="4" s="1"/>
  <c r="X75" i="4"/>
  <c r="Y75" i="4" s="1"/>
  <c r="X20" i="4"/>
  <c r="W81" i="4"/>
  <c r="X81" i="4" s="1"/>
  <c r="Y81" i="4" s="1"/>
  <c r="W82" i="4"/>
  <c r="X82" i="4" s="1"/>
  <c r="Y82" i="4" s="1"/>
  <c r="W77" i="4"/>
  <c r="X77" i="4" s="1"/>
  <c r="Y77" i="4" s="1"/>
  <c r="W73" i="4"/>
  <c r="X73" i="4" s="1"/>
  <c r="Y73" i="4" s="1"/>
  <c r="X71" i="4"/>
  <c r="Y71" i="4" s="1"/>
  <c r="X18" i="4"/>
  <c r="W79" i="4"/>
  <c r="X79" i="4" s="1"/>
  <c r="Y79" i="4" s="1"/>
  <c r="W83" i="4"/>
  <c r="X83" i="4" s="1"/>
  <c r="Y83" i="4" s="1"/>
  <c r="Y84" i="4"/>
  <c r="W84" i="4"/>
  <c r="X84" i="4" s="1"/>
  <c r="W69" i="4"/>
  <c r="X69" i="4" s="1"/>
  <c r="Y69" i="4" s="1"/>
  <c r="X80" i="4"/>
  <c r="Y80" i="4" s="1"/>
  <c r="W72" i="4"/>
  <c r="X72" i="4" s="1"/>
  <c r="Y72" i="4" s="1"/>
  <c r="W76" i="4"/>
  <c r="X76" i="4" s="1"/>
  <c r="Y76" i="4" s="1"/>
  <c r="AM21" i="4"/>
  <c r="AM27" i="4"/>
  <c r="AM29" i="4"/>
  <c r="AM26" i="4"/>
  <c r="AM24" i="4"/>
  <c r="AM28" i="4"/>
  <c r="X57" i="4"/>
  <c r="AE30" i="4" s="1"/>
  <c r="AM22" i="4"/>
  <c r="AM25" i="4"/>
  <c r="X56" i="4"/>
  <c r="AF30" i="4" s="1"/>
  <c r="AA46" i="4"/>
  <c r="AA48" i="4" s="1"/>
  <c r="AA49" i="4" s="1"/>
  <c r="AE31" i="4"/>
  <c r="AV8" i="4" l="1"/>
  <c r="AV10" i="4"/>
  <c r="AV14" i="4"/>
  <c r="AC11" i="4"/>
  <c r="AC8" i="4"/>
  <c r="AE6" i="4"/>
  <c r="AC6" i="4"/>
  <c r="AC4" i="4"/>
  <c r="AE4" i="4"/>
  <c r="AC5" i="4"/>
  <c r="AE5" i="4"/>
  <c r="AE7" i="4"/>
  <c r="AC7" i="4"/>
  <c r="AC14" i="4"/>
  <c r="AC3" i="4"/>
  <c r="AE3" i="4"/>
  <c r="AI29" i="2"/>
  <c r="R5" i="2"/>
  <c r="T5" i="2" s="1"/>
  <c r="R6" i="2"/>
  <c r="T6" i="2" s="1"/>
  <c r="R4" i="2"/>
  <c r="T4" i="2" s="1"/>
  <c r="R3" i="2"/>
  <c r="T3" i="2" s="1"/>
  <c r="R7" i="2"/>
  <c r="T7" i="2" s="1"/>
  <c r="R9" i="2"/>
  <c r="T9" i="2" s="1"/>
  <c r="R8" i="2"/>
  <c r="T8" i="2" s="1"/>
  <c r="R2" i="2"/>
  <c r="T2" i="2" s="1"/>
  <c r="AM10" i="3"/>
  <c r="AJ14" i="3"/>
  <c r="AK14" i="3" s="1"/>
  <c r="AM13" i="3"/>
  <c r="AM12" i="3"/>
  <c r="AJ10" i="3"/>
  <c r="AK10" i="3" s="1"/>
  <c r="AM9" i="3"/>
  <c r="AJ13" i="3"/>
  <c r="AK13" i="3" s="1"/>
  <c r="AJ12" i="3"/>
  <c r="AK12" i="3" s="1"/>
  <c r="AM8" i="3"/>
  <c r="AM11" i="3"/>
  <c r="AJ9" i="3"/>
  <c r="AK9" i="3" s="1"/>
  <c r="AM5" i="3"/>
  <c r="AJ5" i="3"/>
  <c r="AK5" i="3" s="1"/>
  <c r="AM4" i="3"/>
  <c r="AM7" i="3"/>
  <c r="AM14" i="3"/>
  <c r="AM6" i="3"/>
  <c r="AJ4" i="3"/>
  <c r="AK4" i="3" s="1"/>
  <c r="AJ7" i="3"/>
  <c r="AK7" i="3" s="1"/>
  <c r="AJ6" i="3"/>
  <c r="AK6" i="3" s="1"/>
  <c r="AJ11" i="3"/>
  <c r="AK11" i="3" s="1"/>
  <c r="AJ8" i="3"/>
  <c r="AK8" i="3" s="1"/>
  <c r="AM2" i="3"/>
  <c r="AJ2" i="3"/>
  <c r="AK2" i="3" s="1"/>
  <c r="AJ6" i="4"/>
  <c r="AK6" i="4" s="1"/>
  <c r="AL6" i="4" s="1"/>
  <c r="AE4" i="1"/>
  <c r="AE10" i="1" s="1"/>
  <c r="AD10" i="1"/>
  <c r="AH28" i="2"/>
  <c r="AD25" i="2"/>
  <c r="AD27" i="2" s="1"/>
  <c r="AI30" i="1"/>
  <c r="AD31" i="1"/>
  <c r="AH30" i="1" s="1"/>
  <c r="AF3" i="3"/>
  <c r="AG3" i="3" s="1"/>
  <c r="B3" i="3"/>
  <c r="K3" i="3"/>
  <c r="T3" i="1"/>
  <c r="AA38" i="1"/>
  <c r="AA39" i="1"/>
  <c r="AH29" i="1" s="1"/>
  <c r="X63" i="4"/>
  <c r="X62" i="4"/>
  <c r="AJ5" i="4"/>
  <c r="AK5" i="4" s="1"/>
  <c r="AL5" i="4" s="1"/>
  <c r="AJ12" i="4"/>
  <c r="AK12" i="4" s="1"/>
  <c r="AL12" i="4" s="1"/>
  <c r="AI13" i="4"/>
  <c r="AI8" i="4"/>
  <c r="AN8" i="4" s="1"/>
  <c r="AM8" i="4" s="1"/>
  <c r="C3" i="4"/>
  <c r="B3" i="4" s="1"/>
  <c r="AJ11" i="4"/>
  <c r="AK11" i="4" s="1"/>
  <c r="AL11" i="4" s="1"/>
  <c r="AI6" i="4"/>
  <c r="AJ15" i="4"/>
  <c r="AK15" i="4" s="1"/>
  <c r="AL15" i="4" s="1"/>
  <c r="AJ7" i="4"/>
  <c r="AK7" i="4" s="1"/>
  <c r="AL7" i="4" s="1"/>
  <c r="AI9" i="4"/>
  <c r="AJ14" i="4"/>
  <c r="AK14" i="4" s="1"/>
  <c r="AL14" i="4" s="1"/>
  <c r="AJ4" i="4"/>
  <c r="AK4" i="4" s="1"/>
  <c r="AL4" i="4" s="1"/>
  <c r="AI12" i="4"/>
  <c r="AJ8" i="4"/>
  <c r="AK8" i="4" s="1"/>
  <c r="AL8" i="4" s="1"/>
  <c r="AI15" i="4"/>
  <c r="AI2" i="4"/>
  <c r="AN2" i="4" s="1"/>
  <c r="AI11" i="4"/>
  <c r="AN11" i="4" s="1"/>
  <c r="AM11" i="4" s="1"/>
  <c r="AI7" i="4"/>
  <c r="AN7" i="4" s="1"/>
  <c r="AI10" i="4"/>
  <c r="X59" i="4"/>
  <c r="AI4" i="4"/>
  <c r="AJ9" i="4"/>
  <c r="AK9" i="4" s="1"/>
  <c r="AL9" i="4" s="1"/>
  <c r="AJ13" i="4"/>
  <c r="AK13" i="4" s="1"/>
  <c r="AL13" i="4" s="1"/>
  <c r="AI5" i="4"/>
  <c r="AJ2" i="4"/>
  <c r="AK2" i="4" s="1"/>
  <c r="AL2" i="4" s="1"/>
  <c r="AJ10" i="4"/>
  <c r="AK10" i="4" s="1"/>
  <c r="AL10" i="4" s="1"/>
  <c r="AI14" i="4"/>
  <c r="AN13" i="4"/>
  <c r="AM13" i="4" s="1"/>
  <c r="AF4" i="1" l="1"/>
  <c r="AF8" i="1"/>
  <c r="AF6" i="1"/>
  <c r="AD28" i="2"/>
  <c r="AH27" i="2" s="1"/>
  <c r="AI27" i="2"/>
  <c r="U8" i="1"/>
  <c r="U4" i="1"/>
  <c r="U5" i="1"/>
  <c r="U3" i="1"/>
  <c r="AI29" i="1"/>
  <c r="AF9" i="1" s="1"/>
  <c r="U6" i="1"/>
  <c r="U9" i="1"/>
  <c r="U2" i="1"/>
  <c r="U7" i="1"/>
  <c r="S3" i="3"/>
  <c r="L3" i="3"/>
  <c r="AG3" i="4"/>
  <c r="AH3" i="4" s="1"/>
  <c r="AI3" i="4" s="1"/>
  <c r="AI3" i="3"/>
  <c r="AJ3" i="3" s="1"/>
  <c r="AK3" i="3" s="1"/>
  <c r="AH3" i="3"/>
  <c r="K3" i="4"/>
  <c r="S3" i="4" s="1"/>
  <c r="AN15" i="4"/>
  <c r="AM15" i="4" s="1"/>
  <c r="AN12" i="4"/>
  <c r="AM12" i="4" s="1"/>
  <c r="AN9" i="4"/>
  <c r="AM9" i="4" s="1"/>
  <c r="AN10" i="4"/>
  <c r="AM10" i="4" s="1"/>
  <c r="AN5" i="4"/>
  <c r="AN4" i="4"/>
  <c r="AN6" i="4"/>
  <c r="AN14" i="4"/>
  <c r="AM14" i="4" s="1"/>
  <c r="AJ3" i="4" l="1"/>
  <c r="AK3" i="4" s="1"/>
  <c r="AL3" i="4" s="1"/>
  <c r="AF2" i="1"/>
  <c r="AF3" i="1"/>
  <c r="AF7" i="1"/>
  <c r="AF5" i="1"/>
  <c r="AP3" i="3"/>
  <c r="AM3" i="3"/>
  <c r="L3" i="4"/>
  <c r="AN3" i="4"/>
  <c r="AA63" i="4" l="1"/>
  <c r="AE34" i="4" s="1"/>
  <c r="AA62" i="4"/>
  <c r="AF34" i="4" s="1"/>
  <c r="AA61" i="4"/>
  <c r="AG34" i="4" s="1"/>
  <c r="AS12" i="4" l="1"/>
  <c r="AT12" i="4" s="1"/>
  <c r="AS10" i="4"/>
  <c r="AT10" i="4" s="1"/>
  <c r="AS14" i="4"/>
  <c r="AT14" i="4" s="1"/>
  <c r="AS13" i="4"/>
  <c r="AT13" i="4" s="1"/>
  <c r="AS9" i="4"/>
  <c r="AT9" i="4" s="1"/>
  <c r="AS15" i="4"/>
  <c r="AT15" i="4" s="1"/>
  <c r="AS11" i="4"/>
  <c r="AT11" i="4" s="1"/>
  <c r="AS8" i="4"/>
  <c r="AT8" i="4" s="1"/>
  <c r="AG33" i="4"/>
  <c r="AF33" i="4"/>
  <c r="AE33" i="4"/>
  <c r="AQ11" i="4" l="1"/>
  <c r="AQ6" i="4"/>
  <c r="AR6" i="4" s="1"/>
  <c r="AQ12" i="4"/>
  <c r="AQ10" i="4"/>
  <c r="AQ9" i="4"/>
  <c r="AQ5" i="4"/>
  <c r="AQ8" i="4"/>
  <c r="AQ14" i="4"/>
  <c r="AQ13" i="4"/>
  <c r="AQ15" i="4"/>
  <c r="AQ7" i="4"/>
  <c r="AQ4" i="4"/>
  <c r="AO5" i="4"/>
  <c r="AP5" i="4" s="1"/>
  <c r="AO12" i="4"/>
  <c r="AP12" i="4" s="1"/>
  <c r="AO7" i="4"/>
  <c r="AP7" i="4" s="1"/>
  <c r="AO14" i="4"/>
  <c r="AP14" i="4" s="1"/>
  <c r="AO4" i="4"/>
  <c r="AP4" i="4" s="1"/>
  <c r="AO11" i="4"/>
  <c r="AP11" i="4" s="1"/>
  <c r="AO8" i="4"/>
  <c r="AP8" i="4" s="1"/>
  <c r="AO6" i="4"/>
  <c r="AP6" i="4" s="1"/>
  <c r="AO9" i="4"/>
  <c r="AP9" i="4" s="1"/>
  <c r="AO15" i="4"/>
  <c r="AP15" i="4" s="1"/>
  <c r="AO10" i="4"/>
  <c r="AP10" i="4" s="1"/>
  <c r="AO13" i="4"/>
  <c r="AP13" i="4" s="1"/>
  <c r="AR11" i="4" l="1"/>
  <c r="AX11" i="4"/>
  <c r="AR9" i="4"/>
  <c r="AX9" i="4"/>
  <c r="AX12" i="4"/>
  <c r="AR12" i="4"/>
  <c r="AR10" i="4"/>
  <c r="AX10" i="4"/>
  <c r="AX7" i="4"/>
  <c r="AR7" i="4"/>
  <c r="AX6" i="4"/>
  <c r="AX8" i="4"/>
  <c r="AR8" i="4"/>
  <c r="AR15" i="4"/>
  <c r="AX15" i="4"/>
  <c r="AX14" i="4"/>
  <c r="AR14" i="4"/>
  <c r="AR13" i="4"/>
  <c r="AX13" i="4"/>
  <c r="Z60" i="3"/>
  <c r="AE39" i="3"/>
  <c r="AN8" i="3"/>
  <c r="AO8" i="3"/>
  <c r="AP8" i="3"/>
  <c r="AW8" i="3"/>
  <c r="AQ8" i="3"/>
  <c r="AN6" i="3"/>
  <c r="AO6" i="3"/>
  <c r="AP6" i="3"/>
  <c r="AW6" i="3"/>
  <c r="AQ6" i="3"/>
  <c r="AN5" i="3"/>
  <c r="AO5" i="3"/>
  <c r="AP5" i="3"/>
  <c r="AW5" i="3"/>
  <c r="AN9" i="3"/>
  <c r="AO9" i="3"/>
  <c r="AP9" i="3"/>
  <c r="AW9" i="3"/>
  <c r="AQ9" i="3"/>
  <c r="AN4" i="3"/>
  <c r="AO4" i="3"/>
  <c r="AP4" i="3"/>
  <c r="AW4" i="3"/>
  <c r="AN7" i="3"/>
  <c r="AO7" i="3"/>
  <c r="AP7" i="3"/>
  <c r="AW7" i="3"/>
  <c r="AQ7" i="3"/>
  <c r="AN13" i="3"/>
  <c r="AO13" i="3"/>
  <c r="AP13" i="3"/>
  <c r="AW13" i="3"/>
  <c r="AQ13" i="3"/>
  <c r="AN14" i="3"/>
  <c r="AO14" i="3"/>
  <c r="AP14" i="3"/>
  <c r="AW14" i="3"/>
  <c r="AN12" i="3"/>
  <c r="AO12" i="3"/>
  <c r="AP12" i="3"/>
  <c r="AW12" i="3"/>
  <c r="AQ12" i="3"/>
  <c r="AN10" i="3"/>
  <c r="AO10" i="3"/>
  <c r="AP10" i="3"/>
  <c r="AW10" i="3"/>
  <c r="AQ10" i="3"/>
  <c r="AN2" i="3"/>
  <c r="AN11" i="3"/>
  <c r="AO11" i="3"/>
  <c r="AP11" i="3"/>
  <c r="AW11" i="3"/>
  <c r="AQ11" i="3"/>
  <c r="AR14" i="3"/>
  <c r="AS14" i="3"/>
  <c r="AT14" i="3"/>
  <c r="AR10" i="3"/>
  <c r="AS10" i="3"/>
  <c r="AT10" i="3"/>
  <c r="AU10" i="3"/>
  <c r="AR8" i="3"/>
  <c r="AS8" i="3"/>
  <c r="AT8" i="3"/>
  <c r="AU8" i="3"/>
  <c r="AR6" i="3"/>
  <c r="AS6" i="3"/>
  <c r="AT6" i="3"/>
  <c r="AR2" i="3"/>
  <c r="AS2" i="3"/>
  <c r="AR11" i="3"/>
  <c r="AS11" i="3"/>
  <c r="AT11" i="3"/>
  <c r="AU11" i="3"/>
  <c r="AR13" i="3"/>
  <c r="AS13" i="3"/>
  <c r="AT13" i="3"/>
  <c r="AU13" i="3"/>
  <c r="AR12" i="3"/>
  <c r="AS12" i="3"/>
  <c r="AT12" i="3"/>
  <c r="AU12" i="3"/>
  <c r="AR5" i="3"/>
  <c r="AS5" i="3"/>
  <c r="AR9" i="3"/>
  <c r="AS9" i="3"/>
  <c r="AT9" i="3"/>
  <c r="AU9" i="3"/>
  <c r="AR4" i="3"/>
  <c r="AS4" i="3"/>
  <c r="AR7" i="3"/>
  <c r="AS7" i="3"/>
  <c r="AT7" i="3"/>
  <c r="AR3" i="3"/>
  <c r="AS3" i="3"/>
  <c r="AN3" i="3"/>
</calcChain>
</file>

<file path=xl/sharedStrings.xml><?xml version="1.0" encoding="utf-8"?>
<sst xmlns="http://schemas.openxmlformats.org/spreadsheetml/2006/main" count="555" uniqueCount="262">
  <si>
    <t>throttleFlt, deg</t>
  </si>
  <si>
    <t>v4, vdc</t>
  </si>
  <si>
    <t>Vemf, V pk-pk</t>
  </si>
  <si>
    <t>numPoles</t>
  </si>
  <si>
    <t>Kv</t>
  </si>
  <si>
    <t>Vc</t>
  </si>
  <si>
    <t>max RPM</t>
  </si>
  <si>
    <t>Throttle, deg</t>
  </si>
  <si>
    <t>Calc Ng from Throttle, rpm</t>
  </si>
  <si>
    <t>for 100% Ng at</t>
  </si>
  <si>
    <t>Charger V, vdc</t>
  </si>
  <si>
    <t>Charger I, A</t>
  </si>
  <si>
    <t>Charger Pwr, W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</si>
  <si>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</si>
  <si>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</si>
  <si>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</si>
  <si>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</si>
  <si>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</si>
  <si>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</si>
  <si>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</si>
  <si>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</si>
  <si>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</si>
  <si>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vf2v, v</t>
  </si>
  <si>
    <t>Tng, micros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</si>
  <si>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</si>
  <si>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</si>
  <si>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</si>
  <si>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</si>
  <si>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</si>
  <si>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</si>
  <si>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</si>
  <si>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</si>
  <si>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</si>
  <si>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</si>
  <si>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watts max ESC output</t>
  </si>
  <si>
    <t>ESC</t>
  </si>
  <si>
    <t>Enter 'value' until 100% Ng at max ESC watts</t>
  </si>
  <si>
    <t>Enter AD Scalings</t>
  </si>
  <si>
    <t>Computed Values</t>
  </si>
  <si>
    <t>Test Data</t>
  </si>
  <si>
    <t>what works</t>
  </si>
  <si>
    <t>nf</t>
  </si>
  <si>
    <t>ng</t>
  </si>
  <si>
    <t>freq</t>
  </si>
  <si>
    <t>same as Arduino</t>
  </si>
  <si>
    <t>Charger Pwr, SHP</t>
  </si>
  <si>
    <t>Ng Torque, ft-lbf</t>
  </si>
  <si>
    <t>dQ/dNg, ft-lbf/rpm</t>
  </si>
  <si>
    <t>Tau</t>
  </si>
  <si>
    <t>avg=</t>
  </si>
  <si>
    <t>TTL, ms</t>
  </si>
  <si>
    <t>original throttle, deg</t>
  </si>
  <si>
    <t>ttl, ms</t>
  </si>
  <si>
    <t>cal thtl</t>
  </si>
  <si>
    <t>-----&gt;</t>
  </si>
  <si>
    <t>10/13/2016 determined to scale deg throttle to 1000-2000 microseconds by setting in code for Servo</t>
  </si>
  <si>
    <t>Entries for potESC.ino Arduino</t>
  </si>
  <si>
    <t>Entries for potESC.ino Photon</t>
  </si>
  <si>
    <t>Calc Throttle from Ng, deg</t>
  </si>
  <si>
    <t>P_TH_NG</t>
  </si>
  <si>
    <t>Force NG(TH) to 0,0 so shutoff and min TTL at startup for initializing ESCs</t>
  </si>
  <si>
    <t>ln(Throttle)</t>
  </si>
  <si>
    <t>THNG0</t>
  </si>
  <si>
    <t>model throttle from vpot</t>
  </si>
  <si>
    <t>Model Ng from Model Throttle, %</t>
  </si>
  <si>
    <t>throttle for Ng=0</t>
  </si>
  <si>
    <t>simulate vpot from throttle</t>
  </si>
  <si>
    <t>Model Ng from Model Throttle, rpm</t>
  </si>
  <si>
    <t>P_NG_Q</t>
  </si>
  <si>
    <t xml:space="preserve">Ra </t>
  </si>
  <si>
    <t>La</t>
  </si>
  <si>
    <t xml:space="preserve">Kvrps </t>
  </si>
  <si>
    <t>Kt</t>
  </si>
  <si>
    <t>r/s / V</t>
  </si>
  <si>
    <t>ft-lbf/A</t>
  </si>
  <si>
    <t>H</t>
  </si>
  <si>
    <t>O</t>
  </si>
  <si>
    <t>rpm/V</t>
  </si>
  <si>
    <t>TauG</t>
  </si>
  <si>
    <t>J</t>
  </si>
  <si>
    <t>rpm/s / ft-lbf</t>
  </si>
  <si>
    <t>Model TauG</t>
  </si>
  <si>
    <t>Model TauA</t>
  </si>
  <si>
    <t>Model Inner Gain</t>
  </si>
  <si>
    <t>Model dQgdNg, ft-lbf/rpm</t>
  </si>
  <si>
    <t>Model Qg from Model Ng, ft-lbf</t>
  </si>
  <si>
    <t>P_N_SHP</t>
  </si>
  <si>
    <t>P_N_Q</t>
  </si>
  <si>
    <t>Model SHPg from Model Ng, shp</t>
  </si>
  <si>
    <t>pwr conn, shp</t>
  </si>
  <si>
    <t>pwr unconn, shp</t>
  </si>
  <si>
    <t>Ng Torque Backwards unconn, ft-lbf</t>
  </si>
  <si>
    <t>P_NG_QG</t>
  </si>
  <si>
    <t>mm</t>
  </si>
  <si>
    <t>gm</t>
  </si>
  <si>
    <t>J=</t>
  </si>
  <si>
    <t>lbm-in^2</t>
  </si>
  <si>
    <t>lbm-ft^2</t>
  </si>
  <si>
    <t>ft-lbf/(rpm/sec)</t>
  </si>
  <si>
    <t>Model TauT</t>
  </si>
  <si>
    <t>Nt, %</t>
  </si>
  <si>
    <t>Model Nt from Model Ng, %</t>
  </si>
  <si>
    <t>Model Nt from Model Ng, rpm</t>
  </si>
  <si>
    <t>Model SHPf from Model Nt, shp</t>
  </si>
  <si>
    <t>Model Qt from Model Nt, ft-lbf</t>
  </si>
  <si>
    <t>Model dQtdNt, ft-lbf/rpm</t>
  </si>
  <si>
    <t>Nt for 0% Ng</t>
  </si>
  <si>
    <t>Model pcntRef from Model Ng, %</t>
  </si>
  <si>
    <t>Model Ng from pcntRef at RESET, %</t>
  </si>
  <si>
    <t>pcntRef, %</t>
  </si>
  <si>
    <t>Ttur, micros</t>
  </si>
  <si>
    <t>tur,RPM</t>
  </si>
  <si>
    <t>with tur</t>
  </si>
  <si>
    <t>Calc NG from Nt, rpm</t>
  </si>
  <si>
    <t>Calc Ng from Nt, %</t>
  </si>
  <si>
    <t>FreqTur, Hz</t>
  </si>
  <si>
    <t>Reverse/Tur connected</t>
  </si>
  <si>
    <t>Reverse/Tur not connected</t>
  </si>
  <si>
    <t>JtEst, ft-lbf/(rpm/sec)</t>
  </si>
  <si>
    <t>JtEst, lbm-ft^2</t>
  </si>
  <si>
    <t>JtEst, lbm-in^2</t>
  </si>
  <si>
    <t>P_V4_NT</t>
  </si>
  <si>
    <t>P_NG_NT</t>
  </si>
  <si>
    <t>P_NT_NG</t>
  </si>
  <si>
    <t>P_P_PNT</t>
  </si>
  <si>
    <t>Calc tur, rpm</t>
  </si>
  <si>
    <t>Calc tur, %</t>
  </si>
  <si>
    <t>tur, %</t>
  </si>
  <si>
    <t>Rt=</t>
  </si>
  <si>
    <t>Jt=</t>
  </si>
  <si>
    <t>P_NT_QT</t>
  </si>
  <si>
    <t>Measured TauT, s</t>
  </si>
  <si>
    <t>Nt, rpm</t>
  </si>
  <si>
    <t>P_PNT_TAU</t>
  </si>
  <si>
    <t>Inertia Turbine Only (need motor***)</t>
  </si>
  <si>
    <t>Jm</t>
  </si>
  <si>
    <t>Nt, RPM</t>
  </si>
  <si>
    <t>Ng Pwr, SHP</t>
  </si>
  <si>
    <t>Model PwrG from Model Ng*Q, shp</t>
  </si>
  <si>
    <t>Model PwrT from Model Nt*Qt, shp</t>
  </si>
  <si>
    <t>Est Qt</t>
  </si>
  <si>
    <t>Est Pwr, shp</t>
  </si>
  <si>
    <t>Rm=</t>
  </si>
  <si>
    <t>at most</t>
  </si>
  <si>
    <t>Lm=</t>
  </si>
  <si>
    <t>Mt=</t>
  </si>
  <si>
    <t>Mm=</t>
  </si>
  <si>
    <t>1/3*MR^2</t>
  </si>
  <si>
    <t>1/2*MR^2</t>
  </si>
  <si>
    <t>lbm</t>
  </si>
  <si>
    <t>Ng Total Torque, ft-lbf</t>
  </si>
  <si>
    <t>Ng Total  Torque Backwards conn, ft-lbf</t>
  </si>
  <si>
    <t>Ng Aero Torque Backwards conn, ft-lbf</t>
  </si>
  <si>
    <t>Power G, shp</t>
  </si>
  <si>
    <t>Power T, shp</t>
  </si>
  <si>
    <t>max Thrust</t>
  </si>
  <si>
    <t>lbf</t>
  </si>
  <si>
    <t>watts</t>
  </si>
  <si>
    <t>Thrust, N</t>
  </si>
  <si>
    <t>N</t>
  </si>
  <si>
    <t>Power From Thrust, W</t>
  </si>
  <si>
    <t>air density</t>
  </si>
  <si>
    <t>kg/m^3</t>
  </si>
  <si>
    <t>Flow area</t>
  </si>
  <si>
    <t>m^3</t>
  </si>
  <si>
    <t>Measured dQdN, ft-lbf/rpm</t>
  </si>
  <si>
    <t>Vw, m/s</t>
  </si>
  <si>
    <t>Vw, mph</t>
  </si>
  <si>
    <t>Vt, m/s</t>
  </si>
  <si>
    <t>Dia=</t>
  </si>
  <si>
    <t>SLS Std Day</t>
  </si>
  <si>
    <t>Lambda</t>
  </si>
  <si>
    <t>Ng Pwr, W</t>
  </si>
  <si>
    <t>Efficiency</t>
  </si>
  <si>
    <t>dCpdLambda</t>
  </si>
  <si>
    <t>Measured dQdN, N-m/rpm</t>
  </si>
  <si>
    <t>Beta=</t>
  </si>
  <si>
    <t>deg</t>
  </si>
  <si>
    <t>angle of attack trailing edge turbine</t>
  </si>
  <si>
    <t>DENS_SI</t>
  </si>
  <si>
    <t>AREA_SI</t>
  </si>
  <si>
    <t>RAT_THR_SI</t>
  </si>
  <si>
    <t>DCPDL</t>
  </si>
  <si>
    <t>P = rho / 2 * A * Vw^3 * Cp</t>
  </si>
  <si>
    <t>LAMBDA</t>
  </si>
  <si>
    <t>NM_2_FTLBF</t>
  </si>
  <si>
    <t>JT</t>
  </si>
  <si>
    <t>Model TauT from wind</t>
  </si>
  <si>
    <t>P^2 = T^3 / (4 rho A)</t>
  </si>
  <si>
    <t>P ~ N^3</t>
  </si>
  <si>
    <t>T = Vw^2 A rho</t>
  </si>
  <si>
    <t>==&gt;</t>
  </si>
  <si>
    <t>Vw ~ Ng</t>
  </si>
  <si>
    <t>Nt ~ Vw</t>
  </si>
  <si>
    <t>Nt ~ Ng</t>
  </si>
  <si>
    <t>Vw = sqrt ( T / A / rho)</t>
  </si>
  <si>
    <t>Cp = 0</t>
  </si>
  <si>
    <t>Beta = constant</t>
  </si>
  <si>
    <t xml:space="preserve">==&gt; </t>
  </si>
  <si>
    <t>freewheeling</t>
  </si>
  <si>
    <t>Q = P / N</t>
  </si>
  <si>
    <t>D_SI</t>
  </si>
  <si>
    <t>dQtdNt = dQtdLam * dLamdNt = dCpdLam*(rho D A Vw^2 / 4 / Lam)*(pi D / 60 / Vw)</t>
  </si>
  <si>
    <t>dCpdLam = dQtdNt / (rho D A Vw^2/4/Lam)/(pi D / 60 / Vw)</t>
  </si>
  <si>
    <t>lambda=constant  ****verified see data above</t>
  </si>
  <si>
    <t>dCpdLambda=constant…not sure about this because taut not verified</t>
  </si>
  <si>
    <t>n/a</t>
  </si>
  <si>
    <t>DCPDLAMBDA</t>
  </si>
  <si>
    <t>tauFS</t>
  </si>
  <si>
    <t>tauG</t>
  </si>
  <si>
    <t>Model TauT Wind</t>
  </si>
  <si>
    <t>Pbare</t>
  </si>
  <si>
    <t>Mbare</t>
  </si>
  <si>
    <t>PtauTF</t>
  </si>
  <si>
    <t>MtauTF</t>
  </si>
  <si>
    <t>tauTF</t>
  </si>
  <si>
    <t>PtauG</t>
  </si>
  <si>
    <t>MtauG</t>
  </si>
  <si>
    <t>Torque T, ft-lbf</t>
  </si>
  <si>
    <t>dQdN, ft-lbf/rpm</t>
  </si>
  <si>
    <t>slope ft-lbf/rpm</t>
  </si>
  <si>
    <t>Torque G, ft-lbf</t>
  </si>
  <si>
    <t>Fit Nt, %</t>
  </si>
  <si>
    <t>Fit Tau</t>
  </si>
  <si>
    <t>pdiffTur62</t>
  </si>
  <si>
    <t>mdiffTur62</t>
  </si>
  <si>
    <t>Ptur63_06_1ms, dB</t>
  </si>
  <si>
    <t>Mtur63_06_1ms, dB</t>
  </si>
  <si>
    <t>pdiffTur55</t>
  </si>
  <si>
    <t>mdiffTur55</t>
  </si>
  <si>
    <t>Ptur55_06_1ms, dB</t>
  </si>
  <si>
    <t>Mtur55_06_1ms, dB</t>
  </si>
  <si>
    <t>pdiffTur52</t>
  </si>
  <si>
    <t>mdiffTur52</t>
  </si>
  <si>
    <t>Ptur52_06_1ms, dB</t>
  </si>
  <si>
    <t>Mtur52_06_1ms, dB</t>
  </si>
  <si>
    <t>pdiffTur50</t>
  </si>
  <si>
    <t>mdiffTur50</t>
  </si>
  <si>
    <t>Ptur50_06_1ms, dB</t>
  </si>
  <si>
    <t>Mtur50_06_1ms, dB</t>
  </si>
  <si>
    <t>pdiffTur45</t>
  </si>
  <si>
    <t>mdiffTur45</t>
  </si>
  <si>
    <t>Ptur45_06_1ms, dB</t>
  </si>
  <si>
    <t>Mtur45_06_1ms, dB</t>
  </si>
  <si>
    <t>pdiffTur36</t>
  </si>
  <si>
    <t>mdiffTur36</t>
  </si>
  <si>
    <t>Ptur36_06_1ms, dB</t>
  </si>
  <si>
    <t>Mtur36_06_1ms, dB</t>
  </si>
  <si>
    <t>pdiffTur25</t>
  </si>
  <si>
    <t>mdiffTur25</t>
  </si>
  <si>
    <t>Ptur25_06_1ms, dB</t>
  </si>
  <si>
    <t>Mtur25_06_1ms, dB</t>
  </si>
  <si>
    <t>pdiffTur20</t>
  </si>
  <si>
    <t>mdiffTur20</t>
  </si>
  <si>
    <t>Ptur20_06_1ms, dB</t>
  </si>
  <si>
    <t>Mtur20_06_1ms, dB</t>
  </si>
  <si>
    <t>w, r/s</t>
  </si>
  <si>
    <t>Pbaret25_03_1ms, dB</t>
  </si>
  <si>
    <t>Mbaret25_03_1ms, dB</t>
  </si>
  <si>
    <t>From TauPhotonTurnigy</t>
  </si>
  <si>
    <t>from CalPhotonTurnigy</t>
  </si>
  <si>
    <t>DELTAV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</si>
</sst>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0"/>
    <numFmt numFmtId="166" formatCode="0.000"/>
    <numFmt numFmtId="167" formatCode="0E+00"/>
    <numFmt numFmtId="168" formatCode="0.000E+00"/>
    <numFmt numFmtId="169" formatCode="0.00000"/>
    <numFmt numFmtId="170" formatCode="0.000000"/>
  </numFmts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164" fontId="0" fillId="2" borderId="10" xfId="0" applyNumberFormat="1" applyFill="1" applyBorder="1"/>
    <xf numFmtId="0" fontId="0" fillId="3" borderId="10" xfId="0" applyFill="1" applyBorder="1"/>
    <xf numFmtId="0" fontId="0" fillId="0" borderId="11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2" borderId="5" xfId="0" applyFill="1" applyBorder="1"/>
    <xf numFmtId="1" fontId="0" fillId="2" borderId="8" xfId="0" applyNumberFormat="1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1" fontId="0" fillId="5" borderId="8" xfId="0" applyNumberFormat="1" applyFill="1" applyBorder="1" applyAlignment="1">
      <alignment horizontal="left"/>
    </xf>
    <xf numFmtId="165" fontId="0" fillId="5" borderId="8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5" borderId="7" xfId="0" applyNumberFormat="1" applyFill="1" applyBorder="1" applyAlignment="1">
      <alignment horizontal="left"/>
    </xf>
    <xf numFmtId="0" fontId="0" fillId="6" borderId="0" xfId="0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/>
    <xf numFmtId="1" fontId="0" fillId="0" borderId="0" xfId="0" applyNumberFormat="1" applyFill="1" applyBorder="1"/>
    <xf numFmtId="0" fontId="1" fillId="0" borderId="0" xfId="0" quotePrefix="1" applyFon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3" borderId="24" xfId="0" applyFill="1" applyBorder="1"/>
    <xf numFmtId="0" fontId="0" fillId="3" borderId="25" xfId="0" applyFill="1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167" fontId="0" fillId="3" borderId="25" xfId="0" applyNumberFormat="1" applyFill="1" applyBorder="1" applyAlignment="1">
      <alignment horizontal="center" wrapText="1"/>
    </xf>
    <xf numFmtId="164" fontId="0" fillId="2" borderId="8" xfId="0" applyNumberFormat="1" applyFill="1" applyBorder="1"/>
    <xf numFmtId="167" fontId="0" fillId="3" borderId="14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167" fontId="0" fillId="3" borderId="12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left"/>
    </xf>
    <xf numFmtId="0" fontId="0" fillId="2" borderId="8" xfId="0" applyFill="1" applyBorder="1"/>
    <xf numFmtId="0" fontId="0" fillId="3" borderId="12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2" borderId="12" xfId="0" applyFill="1" applyBorder="1"/>
    <xf numFmtId="2" fontId="0" fillId="3" borderId="12" xfId="0" applyNumberFormat="1" applyFill="1" applyBorder="1" applyAlignment="1">
      <alignment horizontal="center" wrapText="1"/>
    </xf>
    <xf numFmtId="0" fontId="0" fillId="0" borderId="16" xfId="0" applyFill="1" applyBorder="1"/>
    <xf numFmtId="0" fontId="0" fillId="0" borderId="17" xfId="0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0" fillId="0" borderId="18" xfId="0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/>
    <xf numFmtId="168" fontId="0" fillId="2" borderId="2" xfId="0" applyNumberFormat="1" applyFill="1" applyBorder="1"/>
    <xf numFmtId="168" fontId="0" fillId="2" borderId="4" xfId="0" applyNumberFormat="1" applyFill="1" applyBorder="1"/>
    <xf numFmtId="168" fontId="0" fillId="2" borderId="6" xfId="0" applyNumberFormat="1" applyFill="1" applyBorder="1"/>
    <xf numFmtId="168" fontId="0" fillId="5" borderId="0" xfId="0" applyNumberFormat="1" applyFill="1" applyBorder="1"/>
    <xf numFmtId="168" fontId="0" fillId="5" borderId="8" xfId="0" applyNumberFormat="1" applyFill="1" applyBorder="1"/>
    <xf numFmtId="168" fontId="0" fillId="5" borderId="6" xfId="0" applyNumberFormat="1" applyFill="1" applyBorder="1"/>
    <xf numFmtId="169" fontId="0" fillId="0" borderId="0" xfId="0" applyNumberFormat="1"/>
    <xf numFmtId="170" fontId="0" fillId="0" borderId="0" xfId="0" applyNumberFormat="1"/>
    <xf numFmtId="11" fontId="0" fillId="3" borderId="4" xfId="0" applyNumberFormat="1" applyFill="1" applyBorder="1"/>
    <xf numFmtId="164" fontId="0" fillId="3" borderId="4" xfId="0" applyNumberFormat="1" applyFill="1" applyBorder="1"/>
    <xf numFmtId="0" fontId="0" fillId="0" borderId="5" xfId="0" applyFill="1" applyBorder="1"/>
    <xf numFmtId="165" fontId="0" fillId="3" borderId="4" xfId="0" applyNumberFormat="1" applyFill="1" applyBorder="1"/>
    <xf numFmtId="11" fontId="0" fillId="3" borderId="6" xfId="0" applyNumberFormat="1" applyFill="1" applyBorder="1"/>
    <xf numFmtId="166" fontId="0" fillId="7" borderId="0" xfId="0" applyNumberFormat="1" applyFill="1"/>
    <xf numFmtId="2" fontId="0" fillId="7" borderId="0" xfId="0" applyNumberFormat="1" applyFill="1"/>
    <xf numFmtId="0" fontId="0" fillId="7" borderId="0" xfId="0" applyFill="1"/>
    <xf numFmtId="169" fontId="0" fillId="7" borderId="0" xfId="0" applyNumberFormat="1" applyFill="1"/>
    <xf numFmtId="170" fontId="0" fillId="7" borderId="0" xfId="0" applyNumberFormat="1" applyFill="1"/>
    <xf numFmtId="168" fontId="0" fillId="5" borderId="4" xfId="0" applyNumberFormat="1" applyFill="1" applyBorder="1"/>
    <xf numFmtId="0" fontId="0" fillId="4" borderId="12" xfId="0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27" xfId="0" applyFill="1" applyBorder="1"/>
    <xf numFmtId="168" fontId="0" fillId="3" borderId="6" xfId="0" applyNumberFormat="1" applyFill="1" applyBorder="1"/>
    <xf numFmtId="168" fontId="0" fillId="0" borderId="0" xfId="0" applyNumberFormat="1"/>
    <xf numFmtId="165" fontId="0" fillId="0" borderId="0" xfId="0" applyNumberFormat="1"/>
    <xf numFmtId="0" fontId="0" fillId="5" borderId="8" xfId="0" applyFill="1" applyBorder="1"/>
    <xf numFmtId="11" fontId="0" fillId="3" borderId="12" xfId="0" applyNumberFormat="1" applyFill="1" applyBorder="1" applyAlignment="1">
      <alignment horizontal="center" wrapText="1"/>
    </xf>
    <xf numFmtId="168" fontId="0" fillId="0" borderId="0" xfId="0" applyNumberFormat="1" applyFill="1" applyBorder="1"/>
    <xf numFmtId="1" fontId="0" fillId="0" borderId="0" xfId="0" quotePrefix="1" applyNumberFormat="1" applyFill="1" applyBorder="1" applyAlignment="1">
      <alignment horizontal="left"/>
    </xf>
    <xf numFmtId="169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8" fontId="0" fillId="0" borderId="0" xfId="0" applyNumberFormat="1" applyFill="1"/>
    <xf numFmtId="170" fontId="0" fillId="0" borderId="0" xfId="0" applyNumberFormat="1" applyFill="1"/>
    <xf numFmtId="0" fontId="0" fillId="3" borderId="7" xfId="0" applyFill="1" applyBorder="1"/>
    <xf numFmtId="0" fontId="0" fillId="0" borderId="2" xfId="0" applyFill="1" applyBorder="1" applyAlignment="1">
      <alignment horizontal="center"/>
    </xf>
    <xf numFmtId="2" fontId="0" fillId="3" borderId="8" xfId="0" applyNumberFormat="1" applyFill="1" applyBorder="1"/>
    <xf numFmtId="165" fontId="0" fillId="7" borderId="0" xfId="0" applyNumberFormat="1" applyFill="1"/>
    <xf numFmtId="0" fontId="0" fillId="3" borderId="0" xfId="0" applyFill="1"/>
    <xf numFmtId="2" fontId="0" fillId="0" borderId="0" xfId="0" applyNumberFormat="1" applyAlignment="1">
      <alignment horizontal="center" wrapText="1"/>
    </xf>
    <xf numFmtId="166" fontId="0" fillId="2" borderId="0" xfId="0" applyNumberFormat="1" applyFill="1"/>
    <xf numFmtId="0" fontId="0" fillId="5" borderId="0" xfId="0" applyFill="1" applyBorder="1"/>
    <xf numFmtId="0" fontId="0" fillId="5" borderId="3" xfId="0" applyFill="1" applyBorder="1"/>
    <xf numFmtId="166" fontId="0" fillId="5" borderId="0" xfId="0" applyNumberFormat="1" applyFill="1" applyBorder="1"/>
    <xf numFmtId="166" fontId="0" fillId="2" borderId="0" xfId="0" applyNumberFormat="1" applyFill="1" applyAlignment="1">
      <alignment horizontal="center"/>
    </xf>
    <xf numFmtId="168" fontId="0" fillId="8" borderId="0" xfId="0" applyNumberFormat="1" applyFill="1"/>
    <xf numFmtId="0" fontId="0" fillId="0" borderId="0" xfId="0" quotePrefix="1"/>
    <xf numFmtId="166" fontId="0" fillId="0" borderId="0" xfId="0" applyNumberFormat="1" applyFill="1" applyAlignment="1">
      <alignment horizontal="center"/>
    </xf>
    <xf numFmtId="2" fontId="0" fillId="4" borderId="8" xfId="0" applyNumberFormat="1" applyFill="1" applyBorder="1"/>
    <xf numFmtId="0" fontId="0" fillId="9" borderId="0" xfId="0" applyFill="1"/>
    <xf numFmtId="0" fontId="0" fillId="9" borderId="0" xfId="0" applyFill="1" applyBorder="1"/>
    <xf numFmtId="168" fontId="0" fillId="9" borderId="4" xfId="0" applyNumberFormat="1" applyFill="1" applyBorder="1"/>
    <xf numFmtId="168" fontId="0" fillId="9" borderId="0" xfId="0" applyNumberFormat="1" applyFill="1" applyBorder="1"/>
    <xf numFmtId="1" fontId="0" fillId="9" borderId="3" xfId="0" applyNumberFormat="1" applyFill="1" applyBorder="1" applyAlignment="1">
      <alignment horizontal="left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CalPhotonTurnigy!$O$8:$O$15</c:f>
              <c:numCache>
                <c:formatCode>0</c:formatCode>
                <c:ptCount val="8"/>
                <c:pt idx="0">
                  <c:v>18404.907975460123</c:v>
                </c:pt>
                <c:pt idx="1">
                  <c:v>22388.059701492537</c:v>
                </c:pt>
                <c:pt idx="2">
                  <c:v>27906.976744186049</c:v>
                </c:pt>
                <c:pt idx="3">
                  <c:v>29702.970297029704</c:v>
                </c:pt>
                <c:pt idx="4">
                  <c:v>33898.305084745763</c:v>
                </c:pt>
                <c:pt idx="5">
                  <c:v>39473.68421052632</c:v>
                </c:pt>
                <c:pt idx="6">
                  <c:v>43988.269794721404</c:v>
                </c:pt>
                <c:pt idx="7">
                  <c:v>45592.705167173255</c:v>
                </c:pt>
              </c:numCache>
            </c:numRef>
          </c:xVal>
          <c:yVal>
            <c:numRef>
              <c:f>CalPhotonTurnigy!$P$8:$P$15</c:f>
              <c:numCache>
                <c:formatCode>0</c:formatCode>
                <c:ptCount val="8"/>
                <c:pt idx="0">
                  <c:v>8902.077151335312</c:v>
                </c:pt>
                <c:pt idx="1">
                  <c:v>13239.187996469551</c:v>
                </c:pt>
                <c:pt idx="2">
                  <c:v>18867.92452830189</c:v>
                </c:pt>
                <c:pt idx="3">
                  <c:v>20905.923344947736</c:v>
                </c:pt>
                <c:pt idx="4">
                  <c:v>25000</c:v>
                </c:pt>
                <c:pt idx="5">
                  <c:v>30000.000000000004</c:v>
                </c:pt>
                <c:pt idx="6">
                  <c:v>34482.758620689652</c:v>
                </c:pt>
                <c:pt idx="7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82872"/>
        <c:axId val="199584832"/>
      </c:scatterChart>
      <c:valAx>
        <c:axId val="199582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84832"/>
        <c:crosses val="autoZero"/>
        <c:crossBetween val="midCat"/>
      </c:valAx>
      <c:valAx>
        <c:axId val="19958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82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 Verified Constant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CalPhotonTurnigy!$P$8:$P$15</c:f>
              <c:numCache>
                <c:formatCode>0</c:formatCode>
                <c:ptCount val="8"/>
                <c:pt idx="0">
                  <c:v>8902.077151335312</c:v>
                </c:pt>
                <c:pt idx="1">
                  <c:v>13239.187996469551</c:v>
                </c:pt>
                <c:pt idx="2">
                  <c:v>18867.92452830189</c:v>
                </c:pt>
                <c:pt idx="3">
                  <c:v>20905.923344947736</c:v>
                </c:pt>
                <c:pt idx="4">
                  <c:v>25000</c:v>
                </c:pt>
                <c:pt idx="5">
                  <c:v>30000.000000000004</c:v>
                </c:pt>
                <c:pt idx="6">
                  <c:v>34482.758620689652</c:v>
                </c:pt>
                <c:pt idx="7">
                  <c:v>35714.285714285717</c:v>
                </c:pt>
              </c:numCache>
            </c:numRef>
          </c:xVal>
          <c:yVal>
            <c:numRef>
              <c:f>CalPhotonTurnigy!$AE$8:$AE$15</c:f>
              <c:numCache>
                <c:formatCode>0.00</c:formatCode>
                <c:ptCount val="8"/>
                <c:pt idx="0">
                  <c:v>2.422234512037992</c:v>
                </c:pt>
                <c:pt idx="1">
                  <c:v>2.6851093320346444</c:v>
                </c:pt>
                <c:pt idx="2">
                  <c:v>2.7496679652965481</c:v>
                </c:pt>
                <c:pt idx="3">
                  <c:v>2.7745646039961329</c:v>
                </c:pt>
                <c:pt idx="4">
                  <c:v>2.7214373564501444</c:v>
                </c:pt>
                <c:pt idx="5" formatCode="0.000">
                  <c:v>2.5988730787182082</c:v>
                </c:pt>
                <c:pt idx="6">
                  <c:v>2.5393466511471257</c:v>
                </c:pt>
                <c:pt idx="7" formatCode="0.000">
                  <c:v>2.4924372674683695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82552"/>
        <c:axId val="199587968"/>
      </c:scatterChart>
      <c:valAx>
        <c:axId val="200582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87968"/>
        <c:crosses val="autoZero"/>
        <c:crossBetween val="midCat"/>
      </c:valAx>
      <c:valAx>
        <c:axId val="199587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82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Fan Difference</a:t>
            </a:r>
            <a:r>
              <a:rPr lang="en-US" baseline="0"/>
              <a:t> to Bare:  </a:t>
            </a:r>
            <a:r>
              <a:rPr lang="en-US"/>
              <a:t>0.127</a:t>
            </a:r>
            <a:r>
              <a:rPr lang="en-US" baseline="0"/>
              <a:t> time constant at 36%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TauPhotonTurnigy!$S$1</c:f>
              <c:strCache>
                <c:ptCount val="1"/>
                <c:pt idx="0">
                  <c:v>mdiffTur36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TauPhotonTurnigy!$D$2:$D$33</c:f>
              <c:numCache>
                <c:formatCode>General</c:formatCode>
                <c:ptCount val="32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TauPhotonTurnigy!$S$2:$S$33</c:f>
              <c:numCache>
                <c:formatCode>General</c:formatCode>
                <c:ptCount val="32"/>
                <c:pt idx="0">
                  <c:v>-0.28004345840454103</c:v>
                </c:pt>
                <c:pt idx="1">
                  <c:v>-0.14447978120096483</c:v>
                </c:pt>
                <c:pt idx="2">
                  <c:v>0.11718762597494603</c:v>
                </c:pt>
                <c:pt idx="3">
                  <c:v>3.0716727066691263E-2</c:v>
                </c:pt>
                <c:pt idx="4">
                  <c:v>7.3923574306573592E-2</c:v>
                </c:pt>
                <c:pt idx="5">
                  <c:v>0.17838593909858602</c:v>
                </c:pt>
                <c:pt idx="6">
                  <c:v>-0.20552022693407146</c:v>
                </c:pt>
                <c:pt idx="7">
                  <c:v>-0.12964012274212955</c:v>
                </c:pt>
                <c:pt idx="8">
                  <c:v>-0.25895253633963211</c:v>
                </c:pt>
                <c:pt idx="9">
                  <c:v>-0.29824625864802901</c:v>
                </c:pt>
                <c:pt idx="10">
                  <c:v>-0.14181186728436668</c:v>
                </c:pt>
                <c:pt idx="11">
                  <c:v>-0.42778431903387926</c:v>
                </c:pt>
                <c:pt idx="12">
                  <c:v>-0.6888525090308999</c:v>
                </c:pt>
                <c:pt idx="13">
                  <c:v>-0.96393654788330529</c:v>
                </c:pt>
                <c:pt idx="14">
                  <c:v>-1.5568900533920855</c:v>
                </c:pt>
                <c:pt idx="15">
                  <c:v>-2.0912966552988053</c:v>
                </c:pt>
                <c:pt idx="16">
                  <c:v>-2.3719759161074254</c:v>
                </c:pt>
                <c:pt idx="17">
                  <c:v>-3.1980177820711777</c:v>
                </c:pt>
                <c:pt idx="18">
                  <c:v>-4.2631838529760913</c:v>
                </c:pt>
                <c:pt idx="19">
                  <c:v>-5.2565493701677521</c:v>
                </c:pt>
                <c:pt idx="20">
                  <c:v>-6.6384650752097638</c:v>
                </c:pt>
                <c:pt idx="21">
                  <c:v>-8.0863539016637613</c:v>
                </c:pt>
                <c:pt idx="22">
                  <c:v>-9.7573766459499325</c:v>
                </c:pt>
                <c:pt idx="23">
                  <c:v>-13.181865505287394</c:v>
                </c:pt>
                <c:pt idx="24">
                  <c:v>-16.127051409465828</c:v>
                </c:pt>
                <c:pt idx="25">
                  <c:v>-20.254713665647827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00056"/>
        <c:axId val="198000448"/>
      </c:scatterChart>
      <c:scatterChart>
        <c:scatterStyle val="lineMarker"/>
        <c:varyColors val="0"/>
        <c:ser>
          <c:idx val="1"/>
          <c:order val="1"/>
          <c:tx>
            <c:strRef>
              <c:f>TauPhotonTurnigy!$T$1</c:f>
              <c:strCache>
                <c:ptCount val="1"/>
                <c:pt idx="0">
                  <c:v>pdiffTur36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TauPhotonTurnigy!$D$2:$D$33</c:f>
              <c:numCache>
                <c:formatCode>General</c:formatCode>
                <c:ptCount val="32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TauPhotonTurnigy!$T$2:$T$33</c:f>
              <c:numCache>
                <c:formatCode>General</c:formatCode>
                <c:ptCount val="32"/>
                <c:pt idx="0">
                  <c:v>-1.4254944257768984</c:v>
                </c:pt>
                <c:pt idx="1">
                  <c:v>-1.1493207969014088</c:v>
                </c:pt>
                <c:pt idx="2">
                  <c:v>-1.146901149942841</c:v>
                </c:pt>
                <c:pt idx="3">
                  <c:v>-2.8255278836488893</c:v>
                </c:pt>
                <c:pt idx="4">
                  <c:v>-3.91917484417894</c:v>
                </c:pt>
                <c:pt idx="5">
                  <c:v>-4.7782258085785099</c:v>
                </c:pt>
                <c:pt idx="6">
                  <c:v>-4.9267752349724052</c:v>
                </c:pt>
                <c:pt idx="7">
                  <c:v>-6.5425360626075104</c:v>
                </c:pt>
                <c:pt idx="8">
                  <c:v>-7.6089256998266954</c:v>
                </c:pt>
                <c:pt idx="9">
                  <c:v>-10.397034020471539</c:v>
                </c:pt>
                <c:pt idx="10">
                  <c:v>-12.963486739114096</c:v>
                </c:pt>
                <c:pt idx="11">
                  <c:v>-15.559140401559933</c:v>
                </c:pt>
                <c:pt idx="12">
                  <c:v>-20.175182113974135</c:v>
                </c:pt>
                <c:pt idx="13">
                  <c:v>-24.380466918655117</c:v>
                </c:pt>
                <c:pt idx="14">
                  <c:v>-30.097408810980106</c:v>
                </c:pt>
                <c:pt idx="15">
                  <c:v>-35.901643653081052</c:v>
                </c:pt>
                <c:pt idx="16">
                  <c:v>-38.150979726573055</c:v>
                </c:pt>
                <c:pt idx="17">
                  <c:v>-45.439486922733877</c:v>
                </c:pt>
                <c:pt idx="18">
                  <c:v>-52.625991799434942</c:v>
                </c:pt>
                <c:pt idx="19">
                  <c:v>-59.063813109917447</c:v>
                </c:pt>
                <c:pt idx="20">
                  <c:v>-66.970126734646144</c:v>
                </c:pt>
                <c:pt idx="21">
                  <c:v>-75.818901097218045</c:v>
                </c:pt>
                <c:pt idx="22">
                  <c:v>-86.443733333995709</c:v>
                </c:pt>
                <c:pt idx="23">
                  <c:v>-84.878042525724425</c:v>
                </c:pt>
                <c:pt idx="24">
                  <c:v>-126.55986260538964</c:v>
                </c:pt>
                <c:pt idx="25">
                  <c:v>-182.76060982331359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99664"/>
        <c:axId val="197998488"/>
      </c:scatterChart>
      <c:valAx>
        <c:axId val="198000056"/>
        <c:scaling>
          <c:logBase val="10"/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00448"/>
        <c:crosses val="autoZero"/>
        <c:crossBetween val="midCat"/>
      </c:valAx>
      <c:valAx>
        <c:axId val="198000448"/>
        <c:scaling>
          <c:orientation val="minMax"/>
          <c:max val="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00056"/>
        <c:crossesAt val="0.1"/>
        <c:crossBetween val="midCat"/>
      </c:valAx>
      <c:valAx>
        <c:axId val="197998488"/>
        <c:scaling>
          <c:orientation val="minMax"/>
          <c:max val="10"/>
          <c:min val="-9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99664"/>
        <c:crosses val="max"/>
        <c:crossBetween val="midCat"/>
      </c:valAx>
      <c:valAx>
        <c:axId val="197999664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99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Fan Difference</a:t>
            </a:r>
            <a:r>
              <a:rPr lang="en-US" baseline="0"/>
              <a:t> to Bare:  </a:t>
            </a:r>
            <a:r>
              <a:rPr lang="en-US"/>
              <a:t>0.074</a:t>
            </a:r>
            <a:r>
              <a:rPr lang="en-US" baseline="0"/>
              <a:t> time constant at 50% Speed</a:t>
            </a:r>
            <a:endParaRPr lang="en-US"/>
          </a:p>
        </c:rich>
      </c:tx>
      <c:layout>
        <c:manualLayout>
          <c:xMode val="edge"/>
          <c:yMode val="edge"/>
          <c:x val="0.11600251055574573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5344925634295715E-2"/>
          <c:y val="0.21379629629629629"/>
          <c:w val="0.85153237095363077"/>
          <c:h val="0.59233741615631375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TauPhotonTurnigy!$AC$1</c:f>
              <c:strCache>
                <c:ptCount val="1"/>
                <c:pt idx="0">
                  <c:v>mdiffTur50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TauPhotonTurnigy!$D$2:$D$33</c:f>
              <c:numCache>
                <c:formatCode>General</c:formatCode>
                <c:ptCount val="32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TauPhotonTurnigy!$AC$2:$AC$27</c:f>
              <c:numCache>
                <c:formatCode>General</c:formatCode>
                <c:ptCount val="26"/>
                <c:pt idx="0">
                  <c:v>-0.25743545840454196</c:v>
                </c:pt>
                <c:pt idx="1">
                  <c:v>-2.2653781200965284E-2</c:v>
                </c:pt>
                <c:pt idx="2">
                  <c:v>-0.20407937402505461</c:v>
                </c:pt>
                <c:pt idx="3">
                  <c:v>0.20005672706669131</c:v>
                </c:pt>
                <c:pt idx="4">
                  <c:v>-2.1997425693426109E-2</c:v>
                </c:pt>
                <c:pt idx="5">
                  <c:v>0.16787393909858572</c:v>
                </c:pt>
                <c:pt idx="6">
                  <c:v>3.9008773065930313E-2</c:v>
                </c:pt>
                <c:pt idx="7">
                  <c:v>0.37267787725786938</c:v>
                </c:pt>
                <c:pt idx="8">
                  <c:v>7.2176463660367673E-2</c:v>
                </c:pt>
                <c:pt idx="9">
                  <c:v>0.22910074135197078</c:v>
                </c:pt>
                <c:pt idx="10">
                  <c:v>0.27364913271563296</c:v>
                </c:pt>
                <c:pt idx="11">
                  <c:v>-0.21187531903387935</c:v>
                </c:pt>
                <c:pt idx="12">
                  <c:v>-0.1888095090309001</c:v>
                </c:pt>
                <c:pt idx="13">
                  <c:v>-0.47731354788330549</c:v>
                </c:pt>
                <c:pt idx="14">
                  <c:v>-0.35896305339208467</c:v>
                </c:pt>
                <c:pt idx="15">
                  <c:v>-0.85743965529880484</c:v>
                </c:pt>
                <c:pt idx="16">
                  <c:v>-1.0654599161074252</c:v>
                </c:pt>
                <c:pt idx="17">
                  <c:v>-1.3333677820711767</c:v>
                </c:pt>
                <c:pt idx="18">
                  <c:v>-2.1680458529760891</c:v>
                </c:pt>
                <c:pt idx="19">
                  <c:v>-2.7367333701677534</c:v>
                </c:pt>
                <c:pt idx="20">
                  <c:v>-3.7535810752097643</c:v>
                </c:pt>
                <c:pt idx="21">
                  <c:v>-5.5242529016637629</c:v>
                </c:pt>
                <c:pt idx="22">
                  <c:v>-6.0051086459499352</c:v>
                </c:pt>
                <c:pt idx="23">
                  <c:v>-9.6458025052873957</c:v>
                </c:pt>
                <c:pt idx="24">
                  <c:v>-13.33120840946583</c:v>
                </c:pt>
                <c:pt idx="25">
                  <c:v>-18.506584665647829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96528"/>
        <c:axId val="198001232"/>
      </c:scatterChart>
      <c:scatterChart>
        <c:scatterStyle val="lineMarker"/>
        <c:varyColors val="0"/>
        <c:ser>
          <c:idx val="1"/>
          <c:order val="1"/>
          <c:tx>
            <c:strRef>
              <c:f>TauPhotonTurnigy!$AD$1</c:f>
              <c:strCache>
                <c:ptCount val="1"/>
                <c:pt idx="0">
                  <c:v>pdiffTur50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TauPhotonTurnigy!$D$2:$D$33</c:f>
              <c:numCache>
                <c:formatCode>General</c:formatCode>
                <c:ptCount val="32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TauPhotonTurnigy!$AD$2:$AD$27</c:f>
              <c:numCache>
                <c:formatCode>General</c:formatCode>
                <c:ptCount val="26"/>
                <c:pt idx="0">
                  <c:v>-1.3892424257768987</c:v>
                </c:pt>
                <c:pt idx="1">
                  <c:v>-1.9871067969014082</c:v>
                </c:pt>
                <c:pt idx="2">
                  <c:v>-2.8553011499428411</c:v>
                </c:pt>
                <c:pt idx="3">
                  <c:v>-2.2048408836488891</c:v>
                </c:pt>
                <c:pt idx="4">
                  <c:v>-3.1207828441789403</c:v>
                </c:pt>
                <c:pt idx="5">
                  <c:v>-2.9038168085785099</c:v>
                </c:pt>
                <c:pt idx="6">
                  <c:v>-4.756500234972405</c:v>
                </c:pt>
                <c:pt idx="7">
                  <c:v>-4.2411150626075091</c:v>
                </c:pt>
                <c:pt idx="8">
                  <c:v>-4.1147136998266962</c:v>
                </c:pt>
                <c:pt idx="9">
                  <c:v>-9.5879280204715389</c:v>
                </c:pt>
                <c:pt idx="10">
                  <c:v>-6.5536127391140937</c:v>
                </c:pt>
                <c:pt idx="11">
                  <c:v>-11.808566401559933</c:v>
                </c:pt>
                <c:pt idx="12">
                  <c:v>-13.244609113974139</c:v>
                </c:pt>
                <c:pt idx="13">
                  <c:v>-15.199309918655118</c:v>
                </c:pt>
                <c:pt idx="14">
                  <c:v>-19.647190810980099</c:v>
                </c:pt>
                <c:pt idx="15">
                  <c:v>-24.189752653081058</c:v>
                </c:pt>
                <c:pt idx="16">
                  <c:v>-26.635633726573062</c:v>
                </c:pt>
                <c:pt idx="17">
                  <c:v>-34.452728922733868</c:v>
                </c:pt>
                <c:pt idx="18">
                  <c:v>-39.848196799434945</c:v>
                </c:pt>
                <c:pt idx="19">
                  <c:v>-44.271055109917455</c:v>
                </c:pt>
                <c:pt idx="20">
                  <c:v>-53.336337734646136</c:v>
                </c:pt>
                <c:pt idx="21">
                  <c:v>-63.138631097218067</c:v>
                </c:pt>
                <c:pt idx="22">
                  <c:v>-71.131218333995719</c:v>
                </c:pt>
                <c:pt idx="23">
                  <c:v>-69.827973525724417</c:v>
                </c:pt>
                <c:pt idx="24">
                  <c:v>-106.42123060538967</c:v>
                </c:pt>
                <c:pt idx="25">
                  <c:v>-189.16281482331357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01624"/>
        <c:axId val="198003192"/>
      </c:scatterChart>
      <c:valAx>
        <c:axId val="197996528"/>
        <c:scaling>
          <c:logBase val="10"/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01232"/>
        <c:crosses val="autoZero"/>
        <c:crossBetween val="midCat"/>
      </c:valAx>
      <c:valAx>
        <c:axId val="198001232"/>
        <c:scaling>
          <c:orientation val="minMax"/>
          <c:max val="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96528"/>
        <c:crossesAt val="0.1"/>
        <c:crossBetween val="midCat"/>
      </c:valAx>
      <c:valAx>
        <c:axId val="198003192"/>
        <c:scaling>
          <c:orientation val="minMax"/>
          <c:max val="0"/>
          <c:min val="-9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01624"/>
        <c:crosses val="max"/>
        <c:crossBetween val="midCat"/>
        <c:majorUnit val="15"/>
      </c:valAx>
      <c:valAx>
        <c:axId val="198001624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003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Fan Difference</a:t>
            </a:r>
            <a:r>
              <a:rPr lang="en-US" baseline="0"/>
              <a:t> to Bare:  </a:t>
            </a:r>
            <a:r>
              <a:rPr lang="en-US"/>
              <a:t>0.263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time constant at 20%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07303918680986"/>
          <c:y val="0.24862085086489014"/>
          <c:w val="0.77785392162638023"/>
          <c:h val="0.58833511869922295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TauPhotonTurnigy!$H$1</c:f>
              <c:strCache>
                <c:ptCount val="1"/>
                <c:pt idx="0">
                  <c:v>mdiffTur20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TauPhotonTurnigy!$D$2:$D$33</c:f>
              <c:numCache>
                <c:formatCode>General</c:formatCode>
                <c:ptCount val="32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TauPhotonTurnigy!$H$2:$H$33</c:f>
              <c:numCache>
                <c:formatCode>General</c:formatCode>
                <c:ptCount val="32"/>
                <c:pt idx="0">
                  <c:v>-0.42774745840454065</c:v>
                </c:pt>
                <c:pt idx="1">
                  <c:v>-0.22957178120096469</c:v>
                </c:pt>
                <c:pt idx="2">
                  <c:v>-0.25575137402505432</c:v>
                </c:pt>
                <c:pt idx="3">
                  <c:v>-0.13385327293330865</c:v>
                </c:pt>
                <c:pt idx="4">
                  <c:v>-5.8180425693426539E-2</c:v>
                </c:pt>
                <c:pt idx="5">
                  <c:v>-0.11031906090141437</c:v>
                </c:pt>
                <c:pt idx="6">
                  <c:v>-6.2339226934071103E-2</c:v>
                </c:pt>
                <c:pt idx="7">
                  <c:v>-0.2798761227421297</c:v>
                </c:pt>
                <c:pt idx="8">
                  <c:v>-0.24379853633963214</c:v>
                </c:pt>
                <c:pt idx="9">
                  <c:v>-0.48467725864802913</c:v>
                </c:pt>
                <c:pt idx="10">
                  <c:v>-0.66334086728436692</c:v>
                </c:pt>
                <c:pt idx="11">
                  <c:v>-1.0465983190338792</c:v>
                </c:pt>
                <c:pt idx="12">
                  <c:v>-1.6123905090309001</c:v>
                </c:pt>
                <c:pt idx="13">
                  <c:v>-2.3516205478833054</c:v>
                </c:pt>
                <c:pt idx="14">
                  <c:v>-3.2440880533920851</c:v>
                </c:pt>
                <c:pt idx="15">
                  <c:v>-4.4350576552988059</c:v>
                </c:pt>
                <c:pt idx="16">
                  <c:v>-5.7272179161074259</c:v>
                </c:pt>
                <c:pt idx="17">
                  <c:v>-7.1944817820711773</c:v>
                </c:pt>
                <c:pt idx="18">
                  <c:v>-8.8169818529760917</c:v>
                </c:pt>
                <c:pt idx="19">
                  <c:v>-10.475932370167753</c:v>
                </c:pt>
                <c:pt idx="20">
                  <c:v>-12.387575075209766</c:v>
                </c:pt>
                <c:pt idx="21">
                  <c:v>-14.546618901663761</c:v>
                </c:pt>
                <c:pt idx="22">
                  <c:v>-15.878274645949936</c:v>
                </c:pt>
                <c:pt idx="23">
                  <c:v>-19.843712505287396</c:v>
                </c:pt>
                <c:pt idx="24">
                  <c:v>-21.541158409465829</c:v>
                </c:pt>
                <c:pt idx="25">
                  <c:v>-25.722893665647831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02016"/>
        <c:axId val="197996920"/>
      </c:scatterChart>
      <c:scatterChart>
        <c:scatterStyle val="lineMarker"/>
        <c:varyColors val="0"/>
        <c:ser>
          <c:idx val="1"/>
          <c:order val="1"/>
          <c:tx>
            <c:strRef>
              <c:f>TauPhotonTurnigy!$I$1</c:f>
              <c:strCache>
                <c:ptCount val="1"/>
                <c:pt idx="0">
                  <c:v>pdiffTur20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TauPhotonTurnigy!$D$2:$D$33</c:f>
              <c:numCache>
                <c:formatCode>General</c:formatCode>
                <c:ptCount val="32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TauPhotonTurnigy!$I$2:$I$33</c:f>
              <c:numCache>
                <c:formatCode>General</c:formatCode>
                <c:ptCount val="32"/>
                <c:pt idx="0">
                  <c:v>-2.3704074257768983</c:v>
                </c:pt>
                <c:pt idx="1">
                  <c:v>-3.2706097969014087</c:v>
                </c:pt>
                <c:pt idx="2">
                  <c:v>-3.644347149942841</c:v>
                </c:pt>
                <c:pt idx="3">
                  <c:v>-5.3246188836488901</c:v>
                </c:pt>
                <c:pt idx="4">
                  <c:v>-5.5818568441789402</c:v>
                </c:pt>
                <c:pt idx="5">
                  <c:v>-7.5771948085785095</c:v>
                </c:pt>
                <c:pt idx="6">
                  <c:v>-9.473871234972405</c:v>
                </c:pt>
                <c:pt idx="7">
                  <c:v>-12.394239062607511</c:v>
                </c:pt>
                <c:pt idx="8">
                  <c:v>-14.830843699826694</c:v>
                </c:pt>
                <c:pt idx="9">
                  <c:v>-19.283148020471536</c:v>
                </c:pt>
                <c:pt idx="10">
                  <c:v>-23.548054739114093</c:v>
                </c:pt>
                <c:pt idx="11">
                  <c:v>-28.661327401559934</c:v>
                </c:pt>
                <c:pt idx="12">
                  <c:v>-35.324609113974134</c:v>
                </c:pt>
                <c:pt idx="13">
                  <c:v>-42.308529918655118</c:v>
                </c:pt>
                <c:pt idx="14">
                  <c:v>-50.068299810980101</c:v>
                </c:pt>
                <c:pt idx="15">
                  <c:v>-57.08956665308105</c:v>
                </c:pt>
                <c:pt idx="16">
                  <c:v>-63.770431726573065</c:v>
                </c:pt>
                <c:pt idx="17">
                  <c:v>-70.70824592273388</c:v>
                </c:pt>
                <c:pt idx="18">
                  <c:v>-77.258874799434963</c:v>
                </c:pt>
                <c:pt idx="19">
                  <c:v>-82.803006109917447</c:v>
                </c:pt>
                <c:pt idx="20">
                  <c:v>-90.637239734646144</c:v>
                </c:pt>
                <c:pt idx="21">
                  <c:v>-97.585260097218068</c:v>
                </c:pt>
                <c:pt idx="22">
                  <c:v>-103.11159033399574</c:v>
                </c:pt>
                <c:pt idx="23">
                  <c:v>-112.71496252572445</c:v>
                </c:pt>
                <c:pt idx="24">
                  <c:v>-142.02646960538965</c:v>
                </c:pt>
                <c:pt idx="25">
                  <c:v>-176.96022882331357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03976"/>
        <c:axId val="198002408"/>
      </c:scatterChart>
      <c:valAx>
        <c:axId val="198002016"/>
        <c:scaling>
          <c:logBase val="10"/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96920"/>
        <c:crosses val="autoZero"/>
        <c:crossBetween val="midCat"/>
      </c:valAx>
      <c:valAx>
        <c:axId val="197996920"/>
        <c:scaling>
          <c:orientation val="minMax"/>
          <c:max val="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02016"/>
        <c:crossesAt val="0.1"/>
        <c:crossBetween val="midCat"/>
      </c:valAx>
      <c:valAx>
        <c:axId val="198002408"/>
        <c:scaling>
          <c:orientation val="minMax"/>
          <c:max val="10"/>
          <c:min val="-9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03976"/>
        <c:crosses val="max"/>
        <c:crossBetween val="midCat"/>
      </c:valAx>
      <c:valAx>
        <c:axId val="19800397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002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Fan Difference</a:t>
            </a:r>
            <a:r>
              <a:rPr lang="en-US" baseline="0"/>
              <a:t> to Bare:  </a:t>
            </a:r>
            <a:r>
              <a:rPr lang="en-US"/>
              <a:t>0.200 </a:t>
            </a:r>
            <a:r>
              <a:rPr lang="en-US" baseline="0"/>
              <a:t>time constant at 25%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07303918680986"/>
          <c:y val="0.24862085086489014"/>
          <c:w val="0.77785392162638023"/>
          <c:h val="0.58833511869922295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TauPhotonTurnigy!$M$1</c:f>
              <c:strCache>
                <c:ptCount val="1"/>
                <c:pt idx="0">
                  <c:v>mdiffTur25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TauPhotonTurnigy!$D$2:$D$33</c:f>
              <c:numCache>
                <c:formatCode>General</c:formatCode>
                <c:ptCount val="32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TauPhotonTurnigy!$M$2:$M$33</c:f>
              <c:numCache>
                <c:formatCode>General</c:formatCode>
                <c:ptCount val="32"/>
                <c:pt idx="0">
                  <c:v>8.3705415954593576E-3</c:v>
                </c:pt>
                <c:pt idx="1">
                  <c:v>1.4483218799035136E-2</c:v>
                </c:pt>
                <c:pt idx="2">
                  <c:v>-7.535037402505429E-2</c:v>
                </c:pt>
                <c:pt idx="3">
                  <c:v>-3.5807272933308543E-2</c:v>
                </c:pt>
                <c:pt idx="4">
                  <c:v>5.1385574306573645E-2</c:v>
                </c:pt>
                <c:pt idx="5">
                  <c:v>-2.5545060901414285E-2</c:v>
                </c:pt>
                <c:pt idx="6">
                  <c:v>5.7697773065928715E-2</c:v>
                </c:pt>
                <c:pt idx="7">
                  <c:v>-0.19745312274213012</c:v>
                </c:pt>
                <c:pt idx="8">
                  <c:v>-0.16314753633963219</c:v>
                </c:pt>
                <c:pt idx="9">
                  <c:v>-0.23819025864802912</c:v>
                </c:pt>
                <c:pt idx="10">
                  <c:v>-0.37935486728436718</c:v>
                </c:pt>
                <c:pt idx="11">
                  <c:v>-0.71884331903387944</c:v>
                </c:pt>
                <c:pt idx="12">
                  <c:v>-0.90080450903090004</c:v>
                </c:pt>
                <c:pt idx="13">
                  <c:v>-1.5395485478833053</c:v>
                </c:pt>
                <c:pt idx="14">
                  <c:v>-2.1131700533920852</c:v>
                </c:pt>
                <c:pt idx="15">
                  <c:v>-2.932557655298806</c:v>
                </c:pt>
                <c:pt idx="16">
                  <c:v>-3.9306689161074257</c:v>
                </c:pt>
                <c:pt idx="17">
                  <c:v>-4.9062447820711768</c:v>
                </c:pt>
                <c:pt idx="18">
                  <c:v>-6.3980398529760922</c:v>
                </c:pt>
                <c:pt idx="19">
                  <c:v>-7.4285433701677519</c:v>
                </c:pt>
                <c:pt idx="20">
                  <c:v>-8.7204570752097652</c:v>
                </c:pt>
                <c:pt idx="21">
                  <c:v>-10.751488901663762</c:v>
                </c:pt>
                <c:pt idx="22">
                  <c:v>-13.115203645949938</c:v>
                </c:pt>
                <c:pt idx="23">
                  <c:v>-16.132074505287395</c:v>
                </c:pt>
                <c:pt idx="24">
                  <c:v>-18.618614409465835</c:v>
                </c:pt>
                <c:pt idx="25">
                  <c:v>-20.92897966564783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02800"/>
        <c:axId val="198003584"/>
      </c:scatterChart>
      <c:scatterChart>
        <c:scatterStyle val="lineMarker"/>
        <c:varyColors val="0"/>
        <c:ser>
          <c:idx val="1"/>
          <c:order val="1"/>
          <c:tx>
            <c:strRef>
              <c:f>TauPhotonTurnigy!$N$1</c:f>
              <c:strCache>
                <c:ptCount val="1"/>
                <c:pt idx="0">
                  <c:v>pdiffTur25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TauPhotonTurnigy!$D$2:$D$33</c:f>
              <c:numCache>
                <c:formatCode>General</c:formatCode>
                <c:ptCount val="32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TauPhotonTurnigy!$N$2:$N$33</c:f>
              <c:numCache>
                <c:formatCode>General</c:formatCode>
                <c:ptCount val="32"/>
                <c:pt idx="0">
                  <c:v>-1.0888454257768985</c:v>
                </c:pt>
                <c:pt idx="1">
                  <c:v>-1.7247767969014087</c:v>
                </c:pt>
                <c:pt idx="2">
                  <c:v>-2.1001351499428411</c:v>
                </c:pt>
                <c:pt idx="3">
                  <c:v>-2.5029928836488891</c:v>
                </c:pt>
                <c:pt idx="4">
                  <c:v>-3.3833018441789404</c:v>
                </c:pt>
                <c:pt idx="5">
                  <c:v>-6.3463828085785092</c:v>
                </c:pt>
                <c:pt idx="6">
                  <c:v>-7.7355782349724063</c:v>
                </c:pt>
                <c:pt idx="7">
                  <c:v>-8.3068980626075088</c:v>
                </c:pt>
                <c:pt idx="8">
                  <c:v>-11.076232699826697</c:v>
                </c:pt>
                <c:pt idx="9">
                  <c:v>-13.83390302047154</c:v>
                </c:pt>
                <c:pt idx="10">
                  <c:v>-17.399219739114095</c:v>
                </c:pt>
                <c:pt idx="11">
                  <c:v>-21.090488401559934</c:v>
                </c:pt>
                <c:pt idx="12">
                  <c:v>-26.688732113974137</c:v>
                </c:pt>
                <c:pt idx="13">
                  <c:v>-32.635526918655124</c:v>
                </c:pt>
                <c:pt idx="14">
                  <c:v>-38.462039810980095</c:v>
                </c:pt>
                <c:pt idx="15">
                  <c:v>-44.573752653081058</c:v>
                </c:pt>
                <c:pt idx="16">
                  <c:v>-52.062405726573061</c:v>
                </c:pt>
                <c:pt idx="17">
                  <c:v>-57.070100922733872</c:v>
                </c:pt>
                <c:pt idx="18">
                  <c:v>-64.137648799434956</c:v>
                </c:pt>
                <c:pt idx="19">
                  <c:v>-69.412751109917451</c:v>
                </c:pt>
                <c:pt idx="20">
                  <c:v>-74.21713373464614</c:v>
                </c:pt>
                <c:pt idx="21">
                  <c:v>-84.858510097218058</c:v>
                </c:pt>
                <c:pt idx="22">
                  <c:v>-97.198221333995718</c:v>
                </c:pt>
                <c:pt idx="23">
                  <c:v>-95.934691525724418</c:v>
                </c:pt>
                <c:pt idx="24">
                  <c:v>-135.37760360538965</c:v>
                </c:pt>
                <c:pt idx="25">
                  <c:v>-184.92706782331356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98096"/>
        <c:axId val="197997312"/>
      </c:scatterChart>
      <c:valAx>
        <c:axId val="198002800"/>
        <c:scaling>
          <c:logBase val="10"/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03584"/>
        <c:crosses val="autoZero"/>
        <c:crossBetween val="midCat"/>
      </c:valAx>
      <c:valAx>
        <c:axId val="198003584"/>
        <c:scaling>
          <c:orientation val="minMax"/>
          <c:max val="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02800"/>
        <c:crossesAt val="0.1"/>
        <c:crossBetween val="midCat"/>
      </c:valAx>
      <c:valAx>
        <c:axId val="197997312"/>
        <c:scaling>
          <c:orientation val="minMax"/>
          <c:max val="10"/>
          <c:min val="-9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98096"/>
        <c:crosses val="max"/>
        <c:crossBetween val="midCat"/>
      </c:valAx>
      <c:valAx>
        <c:axId val="19799809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99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Fan Difference</a:t>
            </a:r>
            <a:r>
              <a:rPr lang="en-US" baseline="0"/>
              <a:t> to Bare:  </a:t>
            </a:r>
            <a:r>
              <a:rPr lang="en-US"/>
              <a:t>0.10</a:t>
            </a:r>
            <a:r>
              <a:rPr lang="en-US" baseline="0"/>
              <a:t> time constant at 45%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TauPhotonTurnigy!$X$1</c:f>
              <c:strCache>
                <c:ptCount val="1"/>
                <c:pt idx="0">
                  <c:v>mdiffTur45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TauPhotonTurnigy!$D$2:$D$33</c:f>
              <c:numCache>
                <c:formatCode>General</c:formatCode>
                <c:ptCount val="32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TauPhotonTurnigy!$X$2:$X$33</c:f>
              <c:numCache>
                <c:formatCode>General</c:formatCode>
                <c:ptCount val="32"/>
                <c:pt idx="0">
                  <c:v>-4.7051458404540725E-2</c:v>
                </c:pt>
                <c:pt idx="1">
                  <c:v>-0.27767378120096531</c:v>
                </c:pt>
                <c:pt idx="2">
                  <c:v>-0.10958537402505453</c:v>
                </c:pt>
                <c:pt idx="3">
                  <c:v>-0.40604227293330819</c:v>
                </c:pt>
                <c:pt idx="4">
                  <c:v>5.9591574306574024E-2</c:v>
                </c:pt>
                <c:pt idx="5">
                  <c:v>-0.33145706090141402</c:v>
                </c:pt>
                <c:pt idx="6">
                  <c:v>-0.23694422693407091</c:v>
                </c:pt>
                <c:pt idx="7">
                  <c:v>-0.23528912274212921</c:v>
                </c:pt>
                <c:pt idx="8">
                  <c:v>-7.8282536339632003E-2</c:v>
                </c:pt>
                <c:pt idx="9">
                  <c:v>-0.42618225864802906</c:v>
                </c:pt>
                <c:pt idx="10">
                  <c:v>-0.32782786728436708</c:v>
                </c:pt>
                <c:pt idx="11">
                  <c:v>-0.63118031903387983</c:v>
                </c:pt>
                <c:pt idx="12">
                  <c:v>-0.49543550903089972</c:v>
                </c:pt>
                <c:pt idx="13">
                  <c:v>-0.71769454788330656</c:v>
                </c:pt>
                <c:pt idx="14">
                  <c:v>-1.0135270533920853</c:v>
                </c:pt>
                <c:pt idx="15">
                  <c:v>-1.4264586552988057</c:v>
                </c:pt>
                <c:pt idx="16">
                  <c:v>-1.876961916107426</c:v>
                </c:pt>
                <c:pt idx="17">
                  <c:v>-2.3882807820711776</c:v>
                </c:pt>
                <c:pt idx="18">
                  <c:v>-3.3591118529760919</c:v>
                </c:pt>
                <c:pt idx="19">
                  <c:v>-3.5885773701677532</c:v>
                </c:pt>
                <c:pt idx="20">
                  <c:v>-5.3970800752097663</c:v>
                </c:pt>
                <c:pt idx="21">
                  <c:v>-6.8538649016637603</c:v>
                </c:pt>
                <c:pt idx="22">
                  <c:v>-8.4843376459499353</c:v>
                </c:pt>
                <c:pt idx="23">
                  <c:v>-12.003314505287396</c:v>
                </c:pt>
                <c:pt idx="24">
                  <c:v>-15.502123409465831</c:v>
                </c:pt>
                <c:pt idx="25">
                  <c:v>-20.176065665647826</c:v>
                </c:pt>
                <c:pt idx="26">
                  <c:v>0.10526315789473684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235152"/>
        <c:axId val="516234368"/>
      </c:scatterChart>
      <c:scatterChart>
        <c:scatterStyle val="lineMarker"/>
        <c:varyColors val="0"/>
        <c:ser>
          <c:idx val="1"/>
          <c:order val="1"/>
          <c:tx>
            <c:strRef>
              <c:f>TauPhotonTurnigy!$Y$1</c:f>
              <c:strCache>
                <c:ptCount val="1"/>
                <c:pt idx="0">
                  <c:v>pdiffTur45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TauPhotonTurnigy!$D$2:$D$33</c:f>
              <c:numCache>
                <c:formatCode>General</c:formatCode>
                <c:ptCount val="32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TauPhotonTurnigy!$Y$2:$Y$33</c:f>
              <c:numCache>
                <c:formatCode>General</c:formatCode>
                <c:ptCount val="32"/>
                <c:pt idx="0">
                  <c:v>-0.2097814257768984</c:v>
                </c:pt>
                <c:pt idx="1">
                  <c:v>-1.4534607969014086</c:v>
                </c:pt>
                <c:pt idx="2">
                  <c:v>-1.1835681499428405</c:v>
                </c:pt>
                <c:pt idx="3">
                  <c:v>-2.182924883648889</c:v>
                </c:pt>
                <c:pt idx="4">
                  <c:v>-2.0169608441789402</c:v>
                </c:pt>
                <c:pt idx="5">
                  <c:v>-1.5345828085785094</c:v>
                </c:pt>
                <c:pt idx="6">
                  <c:v>-3.6107702349724047</c:v>
                </c:pt>
                <c:pt idx="7">
                  <c:v>-4.1743400626075093</c:v>
                </c:pt>
                <c:pt idx="8">
                  <c:v>-6.6908526998266957</c:v>
                </c:pt>
                <c:pt idx="9">
                  <c:v>-9.3020730204715409</c:v>
                </c:pt>
                <c:pt idx="10">
                  <c:v>-11.388428739114094</c:v>
                </c:pt>
                <c:pt idx="11">
                  <c:v>-12.423766401559934</c:v>
                </c:pt>
                <c:pt idx="12">
                  <c:v>-16.781541113974139</c:v>
                </c:pt>
                <c:pt idx="13">
                  <c:v>-19.828951918655115</c:v>
                </c:pt>
                <c:pt idx="14">
                  <c:v>-24.293293810980096</c:v>
                </c:pt>
                <c:pt idx="15">
                  <c:v>-29.375398653081049</c:v>
                </c:pt>
                <c:pt idx="16">
                  <c:v>-33.662578726573059</c:v>
                </c:pt>
                <c:pt idx="17">
                  <c:v>-40.648674922733875</c:v>
                </c:pt>
                <c:pt idx="18">
                  <c:v>-45.801381799434935</c:v>
                </c:pt>
                <c:pt idx="19">
                  <c:v>-49.696238109917431</c:v>
                </c:pt>
                <c:pt idx="20">
                  <c:v>-61.955762734646143</c:v>
                </c:pt>
                <c:pt idx="21">
                  <c:v>-70.999755097218056</c:v>
                </c:pt>
                <c:pt idx="22">
                  <c:v>-80.105378333995731</c:v>
                </c:pt>
                <c:pt idx="23">
                  <c:v>-79.796875525724431</c:v>
                </c:pt>
                <c:pt idx="24">
                  <c:v>-119.99816760538965</c:v>
                </c:pt>
                <c:pt idx="25">
                  <c:v>-195.25910182331359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236328"/>
        <c:axId val="516233192"/>
      </c:scatterChart>
      <c:valAx>
        <c:axId val="516235152"/>
        <c:scaling>
          <c:logBase val="10"/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34368"/>
        <c:crosses val="autoZero"/>
        <c:crossBetween val="midCat"/>
      </c:valAx>
      <c:valAx>
        <c:axId val="516234368"/>
        <c:scaling>
          <c:orientation val="minMax"/>
          <c:max val="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35152"/>
        <c:crossesAt val="0.1"/>
        <c:crossBetween val="midCat"/>
      </c:valAx>
      <c:valAx>
        <c:axId val="516233192"/>
        <c:scaling>
          <c:orientation val="minMax"/>
          <c:max val="10"/>
          <c:min val="-9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36328"/>
        <c:crosses val="max"/>
        <c:crossBetween val="midCat"/>
      </c:valAx>
      <c:valAx>
        <c:axId val="51623632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6233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Fan Difference</a:t>
            </a:r>
            <a:r>
              <a:rPr lang="en-US" baseline="0"/>
              <a:t> to Bare:  </a:t>
            </a:r>
            <a:r>
              <a:rPr lang="en-US"/>
              <a:t>0.071</a:t>
            </a:r>
            <a:r>
              <a:rPr lang="en-US" baseline="0"/>
              <a:t> time constant at 52% Speed</a:t>
            </a:r>
            <a:endParaRPr lang="en-US"/>
          </a:p>
        </c:rich>
      </c:tx>
      <c:layout>
        <c:manualLayout>
          <c:xMode val="edge"/>
          <c:yMode val="edge"/>
          <c:x val="0.11600256698681896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946965763894898E-2"/>
          <c:y val="0.20906145609639704"/>
          <c:w val="0.85153237095363077"/>
          <c:h val="0.59233741615631375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TauPhotonTurnigy!$AH$1</c:f>
              <c:strCache>
                <c:ptCount val="1"/>
                <c:pt idx="0">
                  <c:v>mdiffTur52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TauPhotonTurnigy!$D$2:$D$33</c:f>
              <c:numCache>
                <c:formatCode>General</c:formatCode>
                <c:ptCount val="32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TauPhotonTurnigy!$AH$2:$AH$27</c:f>
              <c:numCache>
                <c:formatCode>General</c:formatCode>
                <c:ptCount val="26"/>
                <c:pt idx="0">
                  <c:v>-0.48984845840454128</c:v>
                </c:pt>
                <c:pt idx="1">
                  <c:v>4.5220218799034484E-2</c:v>
                </c:pt>
                <c:pt idx="2">
                  <c:v>-1.6679374025054372E-2</c:v>
                </c:pt>
                <c:pt idx="3">
                  <c:v>-0.13211427293330935</c:v>
                </c:pt>
                <c:pt idx="4">
                  <c:v>-2.5347425693427184E-2</c:v>
                </c:pt>
                <c:pt idx="5">
                  <c:v>0.25592093909858527</c:v>
                </c:pt>
                <c:pt idx="6">
                  <c:v>2.5598773065929947E-2</c:v>
                </c:pt>
                <c:pt idx="7">
                  <c:v>-0.19767212274213009</c:v>
                </c:pt>
                <c:pt idx="8">
                  <c:v>-0.23126653633963201</c:v>
                </c:pt>
                <c:pt idx="9">
                  <c:v>9.9115741351971209E-2</c:v>
                </c:pt>
                <c:pt idx="10">
                  <c:v>-0.18143186728436689</c:v>
                </c:pt>
                <c:pt idx="11">
                  <c:v>-0.51751131903387915</c:v>
                </c:pt>
                <c:pt idx="12">
                  <c:v>-0.2419455090309004</c:v>
                </c:pt>
                <c:pt idx="13">
                  <c:v>-0.16869554788330632</c:v>
                </c:pt>
                <c:pt idx="14">
                  <c:v>-0.58618805339208535</c:v>
                </c:pt>
                <c:pt idx="15">
                  <c:v>-0.80528365529880475</c:v>
                </c:pt>
                <c:pt idx="16">
                  <c:v>-0.96821191610742652</c:v>
                </c:pt>
                <c:pt idx="17">
                  <c:v>-1.300054782071177</c:v>
                </c:pt>
                <c:pt idx="18">
                  <c:v>-2.0074828529760893</c:v>
                </c:pt>
                <c:pt idx="19">
                  <c:v>-1.9953313701677526</c:v>
                </c:pt>
                <c:pt idx="20">
                  <c:v>-3.5377070752097648</c:v>
                </c:pt>
                <c:pt idx="21">
                  <c:v>-4.4554739016637601</c:v>
                </c:pt>
                <c:pt idx="22">
                  <c:v>-6.4320406459499324</c:v>
                </c:pt>
                <c:pt idx="23">
                  <c:v>-8.6996325052873935</c:v>
                </c:pt>
                <c:pt idx="24">
                  <c:v>-13.883625409465829</c:v>
                </c:pt>
                <c:pt idx="25">
                  <c:v>-16.866823665647829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233584"/>
        <c:axId val="516232800"/>
      </c:scatterChart>
      <c:scatterChart>
        <c:scatterStyle val="lineMarker"/>
        <c:varyColors val="0"/>
        <c:ser>
          <c:idx val="1"/>
          <c:order val="1"/>
          <c:tx>
            <c:strRef>
              <c:f>TauPhotonTurnigy!$AI$1</c:f>
              <c:strCache>
                <c:ptCount val="1"/>
                <c:pt idx="0">
                  <c:v>pdiffTur52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TauPhotonTurnigy!$D$2:$D$33</c:f>
              <c:numCache>
                <c:formatCode>General</c:formatCode>
                <c:ptCount val="32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TauPhotonTurnigy!$AI$2:$AI$27</c:f>
              <c:numCache>
                <c:formatCode>General</c:formatCode>
                <c:ptCount val="26"/>
                <c:pt idx="0">
                  <c:v>-1.4387484257768983</c:v>
                </c:pt>
                <c:pt idx="1">
                  <c:v>-0.76440279690140844</c:v>
                </c:pt>
                <c:pt idx="2">
                  <c:v>-0.52780814994284064</c:v>
                </c:pt>
                <c:pt idx="3">
                  <c:v>-3.5992908836488891</c:v>
                </c:pt>
                <c:pt idx="4">
                  <c:v>-1.6114258441789397</c:v>
                </c:pt>
                <c:pt idx="5">
                  <c:v>-0.65475980857850935</c:v>
                </c:pt>
                <c:pt idx="6">
                  <c:v>-2.3542552349724062</c:v>
                </c:pt>
                <c:pt idx="7">
                  <c:v>-5.1526580626075091</c:v>
                </c:pt>
                <c:pt idx="8">
                  <c:v>-3.6712836998266951</c:v>
                </c:pt>
                <c:pt idx="9">
                  <c:v>-5.1582000204715417</c:v>
                </c:pt>
                <c:pt idx="10">
                  <c:v>-8.3797207391140951</c:v>
                </c:pt>
                <c:pt idx="11">
                  <c:v>-11.175823401559935</c:v>
                </c:pt>
                <c:pt idx="12">
                  <c:v>-10.652242113974136</c:v>
                </c:pt>
                <c:pt idx="13">
                  <c:v>-13.123210918655118</c:v>
                </c:pt>
                <c:pt idx="14">
                  <c:v>-16.776600810980099</c:v>
                </c:pt>
                <c:pt idx="15">
                  <c:v>-21.290016653081054</c:v>
                </c:pt>
                <c:pt idx="16">
                  <c:v>-24.478109726573066</c:v>
                </c:pt>
                <c:pt idx="17">
                  <c:v>-28.099152922733865</c:v>
                </c:pt>
                <c:pt idx="18">
                  <c:v>-35.677737799434951</c:v>
                </c:pt>
                <c:pt idx="19">
                  <c:v>-41.372167109917456</c:v>
                </c:pt>
                <c:pt idx="20">
                  <c:v>-49.513948734646149</c:v>
                </c:pt>
                <c:pt idx="21">
                  <c:v>-60.86090009721805</c:v>
                </c:pt>
                <c:pt idx="22">
                  <c:v>-68.778053333995729</c:v>
                </c:pt>
                <c:pt idx="23">
                  <c:v>-61.267210525724437</c:v>
                </c:pt>
                <c:pt idx="24">
                  <c:v>-106.62986860538967</c:v>
                </c:pt>
                <c:pt idx="25">
                  <c:v>-213.52295382331357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237896"/>
        <c:axId val="516235936"/>
      </c:scatterChart>
      <c:valAx>
        <c:axId val="516233584"/>
        <c:scaling>
          <c:logBase val="10"/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32800"/>
        <c:crosses val="autoZero"/>
        <c:crossBetween val="midCat"/>
      </c:valAx>
      <c:valAx>
        <c:axId val="516232800"/>
        <c:scaling>
          <c:orientation val="minMax"/>
          <c:max val="0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33584"/>
        <c:crossesAt val="0.1"/>
        <c:crossBetween val="midCat"/>
      </c:valAx>
      <c:valAx>
        <c:axId val="516235936"/>
        <c:scaling>
          <c:orientation val="minMax"/>
          <c:max val="10"/>
          <c:min val="-9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37896"/>
        <c:crosses val="max"/>
        <c:crossBetween val="midCat"/>
      </c:valAx>
      <c:valAx>
        <c:axId val="51623789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623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Fan Difference</a:t>
            </a:r>
            <a:r>
              <a:rPr lang="en-US" baseline="0"/>
              <a:t> to Bare:  </a:t>
            </a:r>
            <a:r>
              <a:rPr lang="en-US"/>
              <a:t>0.045</a:t>
            </a:r>
            <a:r>
              <a:rPr lang="en-US" baseline="0"/>
              <a:t> time constant at 55% Speed</a:t>
            </a:r>
            <a:endParaRPr lang="en-US"/>
          </a:p>
        </c:rich>
      </c:tx>
      <c:layout>
        <c:manualLayout>
          <c:xMode val="edge"/>
          <c:yMode val="edge"/>
          <c:x val="0.11600256698681896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946965763894898E-2"/>
          <c:y val="0.20906145609639704"/>
          <c:w val="0.85153237095363077"/>
          <c:h val="0.59233741615631375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TauPhotonTurnigy!$AM$1</c:f>
              <c:strCache>
                <c:ptCount val="1"/>
                <c:pt idx="0">
                  <c:v>mdiffTur55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TauPhotonTurnigy!$D$2:$D$33</c:f>
              <c:numCache>
                <c:formatCode>General</c:formatCode>
                <c:ptCount val="32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TauPhotonTurnigy!$AM$1:$AM$26</c:f>
              <c:numCache>
                <c:formatCode>General</c:formatCode>
                <c:ptCount val="26"/>
                <c:pt idx="0">
                  <c:v>0</c:v>
                </c:pt>
                <c:pt idx="1">
                  <c:v>-6.8179458404542315E-2</c:v>
                </c:pt>
                <c:pt idx="2">
                  <c:v>-0.35465478120096416</c:v>
                </c:pt>
                <c:pt idx="3">
                  <c:v>-0.16262637402505464</c:v>
                </c:pt>
                <c:pt idx="4">
                  <c:v>0.13114872706669023</c:v>
                </c:pt>
                <c:pt idx="5">
                  <c:v>0.13316157430657438</c:v>
                </c:pt>
                <c:pt idx="6">
                  <c:v>0.2921209390985855</c:v>
                </c:pt>
                <c:pt idx="7">
                  <c:v>0.34006677306592903</c:v>
                </c:pt>
                <c:pt idx="8">
                  <c:v>5.1930877257869712E-2</c:v>
                </c:pt>
                <c:pt idx="9">
                  <c:v>-0.11042353633963198</c:v>
                </c:pt>
                <c:pt idx="10">
                  <c:v>0.28606574135197005</c:v>
                </c:pt>
                <c:pt idx="11">
                  <c:v>0.26056813271563262</c:v>
                </c:pt>
                <c:pt idx="12">
                  <c:v>0.2223736809661212</c:v>
                </c:pt>
                <c:pt idx="13">
                  <c:v>0.20942849096910021</c:v>
                </c:pt>
                <c:pt idx="14">
                  <c:v>9.9793452116693659E-2</c:v>
                </c:pt>
                <c:pt idx="15">
                  <c:v>-0.12431905339208593</c:v>
                </c:pt>
                <c:pt idx="16">
                  <c:v>-0.24819065529880535</c:v>
                </c:pt>
                <c:pt idx="17">
                  <c:v>-0.3511179161074256</c:v>
                </c:pt>
                <c:pt idx="18">
                  <c:v>-0.52942778207117658</c:v>
                </c:pt>
                <c:pt idx="19">
                  <c:v>-1.3278218529760906</c:v>
                </c:pt>
                <c:pt idx="20">
                  <c:v>-1.1206793701677522</c:v>
                </c:pt>
                <c:pt idx="21">
                  <c:v>-2.371367075209764</c:v>
                </c:pt>
                <c:pt idx="22">
                  <c:v>-3.4327919016637614</c:v>
                </c:pt>
                <c:pt idx="23">
                  <c:v>-5.0200776459499368</c:v>
                </c:pt>
                <c:pt idx="24">
                  <c:v>-7.9991315052873952</c:v>
                </c:pt>
                <c:pt idx="25">
                  <c:v>-12.969590409465834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237112"/>
        <c:axId val="516237504"/>
      </c:scatterChart>
      <c:scatterChart>
        <c:scatterStyle val="lineMarker"/>
        <c:varyColors val="0"/>
        <c:ser>
          <c:idx val="1"/>
          <c:order val="1"/>
          <c:tx>
            <c:strRef>
              <c:f>TauPhotonTurnigy!$AN$1</c:f>
              <c:strCache>
                <c:ptCount val="1"/>
                <c:pt idx="0">
                  <c:v>pdiffTur55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TauPhotonTurnigy!$D$2:$D$33</c:f>
              <c:numCache>
                <c:formatCode>General</c:formatCode>
                <c:ptCount val="32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TauPhotonTurnigy!$AN$2:$AN$27</c:f>
              <c:numCache>
                <c:formatCode>General</c:formatCode>
                <c:ptCount val="26"/>
                <c:pt idx="0">
                  <c:v>0.88181657422310145</c:v>
                </c:pt>
                <c:pt idx="1">
                  <c:v>0.70065920309859142</c:v>
                </c:pt>
                <c:pt idx="2">
                  <c:v>-1.2176501499428412</c:v>
                </c:pt>
                <c:pt idx="3">
                  <c:v>-2.462960883648889</c:v>
                </c:pt>
                <c:pt idx="4">
                  <c:v>0.10011315582105951</c:v>
                </c:pt>
                <c:pt idx="5">
                  <c:v>1.3247221914214906</c:v>
                </c:pt>
                <c:pt idx="6">
                  <c:v>-1.7949442349724052</c:v>
                </c:pt>
                <c:pt idx="7">
                  <c:v>-1.8536620626075102</c:v>
                </c:pt>
                <c:pt idx="8">
                  <c:v>-6.5774346998266964</c:v>
                </c:pt>
                <c:pt idx="9">
                  <c:v>-5.3194070204715391</c:v>
                </c:pt>
                <c:pt idx="10">
                  <c:v>-6.4955987391140937</c:v>
                </c:pt>
                <c:pt idx="11">
                  <c:v>-9.1793354015599355</c:v>
                </c:pt>
                <c:pt idx="12">
                  <c:v>-8.8450791139741334</c:v>
                </c:pt>
                <c:pt idx="13">
                  <c:v>-12.812376918655119</c:v>
                </c:pt>
                <c:pt idx="14">
                  <c:v>-15.784836810980103</c:v>
                </c:pt>
                <c:pt idx="15">
                  <c:v>-18.000768653081053</c:v>
                </c:pt>
                <c:pt idx="16">
                  <c:v>-22.139785726573066</c:v>
                </c:pt>
                <c:pt idx="17">
                  <c:v>-27.693523922733874</c:v>
                </c:pt>
                <c:pt idx="18">
                  <c:v>-33.728613799434953</c:v>
                </c:pt>
                <c:pt idx="19">
                  <c:v>-37.424045109917444</c:v>
                </c:pt>
                <c:pt idx="20">
                  <c:v>-46.831390734646149</c:v>
                </c:pt>
                <c:pt idx="21">
                  <c:v>-53.754166097218061</c:v>
                </c:pt>
                <c:pt idx="22">
                  <c:v>-65.386296333995716</c:v>
                </c:pt>
                <c:pt idx="23">
                  <c:v>-56.058195525724415</c:v>
                </c:pt>
                <c:pt idx="24">
                  <c:v>-102.33747060538965</c:v>
                </c:pt>
                <c:pt idx="25">
                  <c:v>-217.40518182331357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235544"/>
        <c:axId val="516233976"/>
      </c:scatterChart>
      <c:valAx>
        <c:axId val="516237112"/>
        <c:scaling>
          <c:logBase val="10"/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37504"/>
        <c:crosses val="autoZero"/>
        <c:crossBetween val="midCat"/>
      </c:valAx>
      <c:valAx>
        <c:axId val="516237504"/>
        <c:scaling>
          <c:orientation val="minMax"/>
          <c:max val="2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37112"/>
        <c:crossesAt val="0.1"/>
        <c:crossBetween val="midCat"/>
      </c:valAx>
      <c:valAx>
        <c:axId val="516233976"/>
        <c:scaling>
          <c:orientation val="minMax"/>
          <c:max val="10"/>
          <c:min val="-9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35544"/>
        <c:crosses val="max"/>
        <c:crossBetween val="midCat"/>
      </c:valAx>
      <c:valAx>
        <c:axId val="516235544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6233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Fan Difference</a:t>
            </a:r>
            <a:r>
              <a:rPr lang="en-US" baseline="0"/>
              <a:t> to Bare:  0.03 time constant at 62% Speed</a:t>
            </a:r>
            <a:endParaRPr lang="en-US"/>
          </a:p>
        </c:rich>
      </c:tx>
      <c:layout>
        <c:manualLayout>
          <c:xMode val="edge"/>
          <c:yMode val="edge"/>
          <c:x val="0.11142381240806437"/>
          <c:y val="1.89393939393939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946965763894898E-2"/>
          <c:y val="0.20906145609639704"/>
          <c:w val="0.85153237095363077"/>
          <c:h val="0.59233741615631375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TauPhotonTurnigy!$AR$1</c:f>
              <c:strCache>
                <c:ptCount val="1"/>
                <c:pt idx="0">
                  <c:v>mdiffTur62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TauPhotonTurnigy!$D$2:$D$33</c:f>
              <c:numCache>
                <c:formatCode>General</c:formatCode>
                <c:ptCount val="32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TauPhotonTurnigy!$AR$2:$AR$27</c:f>
              <c:numCache>
                <c:formatCode>General</c:formatCode>
                <c:ptCount val="26"/>
                <c:pt idx="0">
                  <c:v>-0.1083574584045417</c:v>
                </c:pt>
                <c:pt idx="1">
                  <c:v>-0.10418778120096572</c:v>
                </c:pt>
                <c:pt idx="2">
                  <c:v>0.38617662597494462</c:v>
                </c:pt>
                <c:pt idx="3">
                  <c:v>0.23792072706669121</c:v>
                </c:pt>
                <c:pt idx="4">
                  <c:v>0.23645457430657313</c:v>
                </c:pt>
                <c:pt idx="5">
                  <c:v>0.15677593909858434</c:v>
                </c:pt>
                <c:pt idx="6">
                  <c:v>0.74401577306592981</c:v>
                </c:pt>
                <c:pt idx="7">
                  <c:v>0.26872287725786936</c:v>
                </c:pt>
                <c:pt idx="8">
                  <c:v>2.7704636603678168E-3</c:v>
                </c:pt>
                <c:pt idx="9">
                  <c:v>0.10901474135197109</c:v>
                </c:pt>
                <c:pt idx="10">
                  <c:v>5.8816132715633351E-2</c:v>
                </c:pt>
                <c:pt idx="11">
                  <c:v>3.9536680966119953E-2</c:v>
                </c:pt>
                <c:pt idx="12">
                  <c:v>7.2612490969098609E-2</c:v>
                </c:pt>
                <c:pt idx="13">
                  <c:v>-0.20486654788330672</c:v>
                </c:pt>
                <c:pt idx="14">
                  <c:v>-3.4754053392085815E-2</c:v>
                </c:pt>
                <c:pt idx="15">
                  <c:v>-0.49878065529880633</c:v>
                </c:pt>
                <c:pt idx="16">
                  <c:v>0.17929208389257401</c:v>
                </c:pt>
                <c:pt idx="17">
                  <c:v>0.18505421792882348</c:v>
                </c:pt>
                <c:pt idx="18">
                  <c:v>-6.917785297609047E-2</c:v>
                </c:pt>
                <c:pt idx="19">
                  <c:v>0.22154262983224715</c:v>
                </c:pt>
                <c:pt idx="20">
                  <c:v>-0.44518907520976381</c:v>
                </c:pt>
                <c:pt idx="21">
                  <c:v>-2.2126799016637611</c:v>
                </c:pt>
                <c:pt idx="22">
                  <c:v>-2.3830236459499377</c:v>
                </c:pt>
                <c:pt idx="23">
                  <c:v>-3.3683775052873921</c:v>
                </c:pt>
                <c:pt idx="24">
                  <c:v>-11.244595409465834</c:v>
                </c:pt>
                <c:pt idx="25">
                  <c:v>-14.924416665647829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232408"/>
        <c:axId val="516234760"/>
      </c:scatterChart>
      <c:scatterChart>
        <c:scatterStyle val="lineMarker"/>
        <c:varyColors val="0"/>
        <c:ser>
          <c:idx val="1"/>
          <c:order val="1"/>
          <c:tx>
            <c:strRef>
              <c:f>TauPhotonTurnigy!$AS$1</c:f>
              <c:strCache>
                <c:ptCount val="1"/>
                <c:pt idx="0">
                  <c:v>pdiffTur62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TauPhotonTurnigy!$D$2:$D$33</c:f>
              <c:numCache>
                <c:formatCode>General</c:formatCode>
                <c:ptCount val="32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TauPhotonTurnigy!$AS$2:$AS$27</c:f>
              <c:numCache>
                <c:formatCode>General</c:formatCode>
                <c:ptCount val="26"/>
                <c:pt idx="0">
                  <c:v>-0.71401642577689839</c:v>
                </c:pt>
                <c:pt idx="1">
                  <c:v>-4.2790647969014088</c:v>
                </c:pt>
                <c:pt idx="2">
                  <c:v>-5.0893971499428412</c:v>
                </c:pt>
                <c:pt idx="3">
                  <c:v>-3.8651388836488891</c:v>
                </c:pt>
                <c:pt idx="4">
                  <c:v>-9.2895698441789403</c:v>
                </c:pt>
                <c:pt idx="5">
                  <c:v>-2.9627218085785092</c:v>
                </c:pt>
                <c:pt idx="6">
                  <c:v>-2.9406402349724061</c:v>
                </c:pt>
                <c:pt idx="7">
                  <c:v>-4.6708140626075103</c:v>
                </c:pt>
                <c:pt idx="8">
                  <c:v>-9.022379699826697</c:v>
                </c:pt>
                <c:pt idx="9">
                  <c:v>-12.018447020471539</c:v>
                </c:pt>
                <c:pt idx="10">
                  <c:v>-9.9929097391140935</c:v>
                </c:pt>
                <c:pt idx="11">
                  <c:v>-7.6974834015599356</c:v>
                </c:pt>
                <c:pt idx="12">
                  <c:v>-9.9075291139741388</c:v>
                </c:pt>
                <c:pt idx="13">
                  <c:v>-15.042386918655119</c:v>
                </c:pt>
                <c:pt idx="14">
                  <c:v>-13.202205810980104</c:v>
                </c:pt>
                <c:pt idx="15">
                  <c:v>-18.914200653081053</c:v>
                </c:pt>
                <c:pt idx="16">
                  <c:v>-15.070754726573057</c:v>
                </c:pt>
                <c:pt idx="17">
                  <c:v>-20.189873922733867</c:v>
                </c:pt>
                <c:pt idx="18">
                  <c:v>-22.948065799434943</c:v>
                </c:pt>
                <c:pt idx="19">
                  <c:v>-28.026364109917438</c:v>
                </c:pt>
                <c:pt idx="20">
                  <c:v>-32.505056734646146</c:v>
                </c:pt>
                <c:pt idx="21">
                  <c:v>-43.209769097218057</c:v>
                </c:pt>
                <c:pt idx="22">
                  <c:v>-52.452306333995722</c:v>
                </c:pt>
                <c:pt idx="23">
                  <c:v>-39.091281525724412</c:v>
                </c:pt>
                <c:pt idx="24">
                  <c:v>-31.792107605389646</c:v>
                </c:pt>
                <c:pt idx="25">
                  <c:v>-29.393535823313584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231232"/>
        <c:axId val="516238680"/>
      </c:scatterChart>
      <c:valAx>
        <c:axId val="516232408"/>
        <c:scaling>
          <c:logBase val="10"/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34760"/>
        <c:crosses val="autoZero"/>
        <c:crossBetween val="midCat"/>
      </c:valAx>
      <c:valAx>
        <c:axId val="516234760"/>
        <c:scaling>
          <c:orientation val="minMax"/>
          <c:max val="2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32408"/>
        <c:crossesAt val="0.1"/>
        <c:crossBetween val="midCat"/>
      </c:valAx>
      <c:valAx>
        <c:axId val="516238680"/>
        <c:scaling>
          <c:orientation val="minMax"/>
          <c:max val="10"/>
          <c:min val="-9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31232"/>
        <c:crosses val="max"/>
        <c:crossBetween val="midCat"/>
      </c:valAx>
      <c:valAx>
        <c:axId val="516231232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6238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53149606299214E-2"/>
          <c:y val="5.0925925925925923E-2"/>
          <c:w val="0.8648768591426071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TauPhotonTurnigy!$AW$1</c:f>
              <c:strCache>
                <c:ptCount val="1"/>
                <c:pt idx="0">
                  <c:v>Measured TauT,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8364855062987107"/>
                  <c:y val="-0.2159556490121789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TauPhotonTurnigy!$AV$2:$AV$10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62</c:v>
                </c:pt>
              </c:numCache>
            </c:numRef>
          </c:xVal>
          <c:yVal>
            <c:numRef>
              <c:f>TauPhotonTurnigy!$AW$2:$AW$10</c:f>
              <c:numCache>
                <c:formatCode>General</c:formatCode>
                <c:ptCount val="9"/>
                <c:pt idx="0">
                  <c:v>0.33</c:v>
                </c:pt>
                <c:pt idx="1">
                  <c:v>0.26300000000000001</c:v>
                </c:pt>
                <c:pt idx="2">
                  <c:v>0.2</c:v>
                </c:pt>
                <c:pt idx="3">
                  <c:v>0.127</c:v>
                </c:pt>
                <c:pt idx="4">
                  <c:v>0.1</c:v>
                </c:pt>
                <c:pt idx="5">
                  <c:v>7.3999999999999996E-2</c:v>
                </c:pt>
                <c:pt idx="6">
                  <c:v>7.0999999999999994E-2</c:v>
                </c:pt>
                <c:pt idx="7">
                  <c:v>4.4999999999999998E-2</c:v>
                </c:pt>
                <c:pt idx="8">
                  <c:v>0.03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TauPhotonTurnigy!$BI$2</c:f>
              <c:strCache>
                <c:ptCount val="1"/>
                <c:pt idx="0">
                  <c:v>Model TauG</c:v>
                </c:pt>
              </c:strCache>
            </c:strRef>
          </c:tx>
          <c:spPr>
            <a:ln w="19050"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TauPhotonTurnigy!$BH$6:$BH$14</c:f>
              <c:numCache>
                <c:formatCode>General</c:formatCode>
                <c:ptCount val="9"/>
                <c:pt idx="0">
                  <c:v>15.047408792585415</c:v>
                </c:pt>
                <c:pt idx="1">
                  <c:v>37.649471024806083</c:v>
                </c:pt>
                <c:pt idx="2">
                  <c:v>48.010895849896535</c:v>
                </c:pt>
                <c:pt idx="3">
                  <c:v>61.364409667042004</c:v>
                </c:pt>
                <c:pt idx="4">
                  <c:v>69.444433699664401</c:v>
                </c:pt>
                <c:pt idx="5">
                  <c:v>76.75084997835306</c:v>
                </c:pt>
                <c:pt idx="6">
                  <c:v>87.210974546743557</c:v>
                </c:pt>
                <c:pt idx="7">
                  <c:v>93.835177516070971</c:v>
                </c:pt>
                <c:pt idx="8">
                  <c:v>95.760447741647312</c:v>
                </c:pt>
              </c:numCache>
            </c:numRef>
          </c:xVal>
          <c:yVal>
            <c:numRef>
              <c:f>TauPhotonTurnigy!$BI$6:$BI$14</c:f>
              <c:numCache>
                <c:formatCode>General</c:formatCode>
                <c:ptCount val="9"/>
                <c:pt idx="0">
                  <c:v>0.70091118459969781</c:v>
                </c:pt>
                <c:pt idx="1">
                  <c:v>8.8118975354312457E-2</c:v>
                </c:pt>
                <c:pt idx="2">
                  <c:v>6.2906429754981188E-2</c:v>
                </c:pt>
                <c:pt idx="3">
                  <c:v>4.5959283219000051E-2</c:v>
                </c:pt>
                <c:pt idx="4">
                  <c:v>3.9517474546856557E-2</c:v>
                </c:pt>
                <c:pt idx="5">
                  <c:v>3.5072283984146982E-2</c:v>
                </c:pt>
                <c:pt idx="6">
                  <c:v>3.0207645977385542E-2</c:v>
                </c:pt>
                <c:pt idx="7">
                  <c:v>2.7768510934620131E-2</c:v>
                </c:pt>
                <c:pt idx="8">
                  <c:v>2.7131780912102672E-2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TauPhotonTurnigy!$BK$2</c:f>
              <c:strCache>
                <c:ptCount val="1"/>
                <c:pt idx="0">
                  <c:v>Model TauT Wind</c:v>
                </c:pt>
              </c:strCache>
            </c:strRef>
          </c:tx>
          <c:spPr>
            <a:ln w="1905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TauPhotonTurnigy!$BJ$7:$BJ$14</c:f>
              <c:numCache>
                <c:formatCode>General</c:formatCode>
                <c:ptCount val="8"/>
                <c:pt idx="0">
                  <c:v>26.777112036937371</c:v>
                </c:pt>
                <c:pt idx="1">
                  <c:v>40.487898572106765</c:v>
                </c:pt>
                <c:pt idx="2">
                  <c:v>48.784103318462122</c:v>
                </c:pt>
                <c:pt idx="3">
                  <c:v>56.286002466951672</c:v>
                </c:pt>
                <c:pt idx="4">
                  <c:v>67.025987241920845</c:v>
                </c:pt>
                <c:pt idx="5">
                  <c:v>73.827420491757252</c:v>
                </c:pt>
                <c:pt idx="6">
                  <c:v>75.804201243764425</c:v>
                </c:pt>
                <c:pt idx="7">
                  <c:v>78.555343808258939</c:v>
                </c:pt>
              </c:numCache>
            </c:numRef>
          </c:xVal>
          <c:yVal>
            <c:numRef>
              <c:f>TauPhotonTurnigy!$BK$7:$BK$14</c:f>
              <c:numCache>
                <c:formatCode>General</c:formatCode>
                <c:ptCount val="8"/>
                <c:pt idx="0">
                  <c:v>0.10083432521867587</c:v>
                </c:pt>
                <c:pt idx="1">
                  <c:v>7.5159552784658801E-2</c:v>
                </c:pt>
                <c:pt idx="2">
                  <c:v>5.4005710759342448E-2</c:v>
                </c:pt>
                <c:pt idx="3">
                  <c:v>4.9182324444230256E-2</c:v>
                </c:pt>
                <c:pt idx="4">
                  <c:v>4.0340557499362599E-2</c:v>
                </c:pt>
                <c:pt idx="5">
                  <c:v>3.2103130054017714E-2</c:v>
                </c:pt>
                <c:pt idx="6">
                  <c:v>2.7290001009117874E-2</c:v>
                </c:pt>
                <c:pt idx="7">
                  <c:v>2.5862221691228097E-2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050304"/>
        <c:axId val="516049520"/>
      </c:scatterChart>
      <c:valAx>
        <c:axId val="51605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49520"/>
        <c:crosses val="autoZero"/>
        <c:crossBetween val="midCat"/>
      </c:valAx>
      <c:valAx>
        <c:axId val="516049520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5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452643176491105"/>
          <c:y val="7.7256124234470688E-2"/>
          <c:w val="0.45895931758530184"/>
          <c:h val="0.32870807815689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CalPhotonTurnigy!$K$8:$K$15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CalPhotonTurnigy!$Q$8:$Q$15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88360"/>
        <c:axId val="199589928"/>
      </c:scatterChart>
      <c:scatterChart>
        <c:scatterStyle val="lineMarker"/>
        <c:varyColors val="0"/>
        <c:ser>
          <c:idx val="1"/>
          <c:order val="1"/>
          <c:tx>
            <c:strRef>
              <c:f>CalPhotonTurnigy!$T$1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CalPhotonTurnigy!$K$4:$K$15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CalPhotonTurnigy!$T$4:$T$15</c:f>
              <c:numCache>
                <c:formatCode>General</c:formatCode>
                <c:ptCount val="12"/>
                <c:pt idx="0">
                  <c:v>7.6664000000000003</c:v>
                </c:pt>
                <c:pt idx="1">
                  <c:v>8.3174399999999995</c:v>
                </c:pt>
                <c:pt idx="2">
                  <c:v>9.063600000000001</c:v>
                </c:pt>
                <c:pt idx="3">
                  <c:v>9.3844799999999999</c:v>
                </c:pt>
                <c:pt idx="4">
                  <c:v>20.3796</c:v>
                </c:pt>
                <c:pt idx="5">
                  <c:v>29.981099999999998</c:v>
                </c:pt>
                <c:pt idx="6">
                  <c:v>53.526600000000002</c:v>
                </c:pt>
                <c:pt idx="7">
                  <c:v>62.419400000000003</c:v>
                </c:pt>
                <c:pt idx="8">
                  <c:v>88.904499999999999</c:v>
                </c:pt>
                <c:pt idx="9">
                  <c:v>135.96</c:v>
                </c:pt>
                <c:pt idx="10">
                  <c:v>192.75</c:v>
                </c:pt>
                <c:pt idx="11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85224"/>
        <c:axId val="199583264"/>
      </c:scatterChart>
      <c:valAx>
        <c:axId val="19958836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89928"/>
        <c:crossesAt val="-40"/>
        <c:crossBetween val="midCat"/>
        <c:majorUnit val="20"/>
      </c:valAx>
      <c:valAx>
        <c:axId val="19958992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88360"/>
        <c:crosses val="autoZero"/>
        <c:crossBetween val="midCat"/>
      </c:valAx>
      <c:valAx>
        <c:axId val="199583264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85224"/>
        <c:crosses val="max"/>
        <c:crossBetween val="midCat"/>
        <c:majorUnit val="40"/>
      </c:valAx>
      <c:valAx>
        <c:axId val="199585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8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% For Correlating</a:t>
            </a:r>
            <a:r>
              <a:rPr lang="en-US" baseline="0"/>
              <a:t> to Linear Design Results to Produce Gain Schedule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163516163359527"/>
          <c:y val="7.1467032924155016E-2"/>
          <c:w val="0.80741808185597919"/>
          <c:h val="0.83714881031347788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TauPhotonTurnigy!$AY$1</c:f>
              <c:strCache>
                <c:ptCount val="1"/>
                <c:pt idx="0">
                  <c:v>Nt, %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xVal>
            <c:numRef>
              <c:f>TauPhotonTurnigy!$AW$3:$AW$10</c:f>
              <c:numCache>
                <c:formatCode>General</c:formatCode>
                <c:ptCount val="8"/>
                <c:pt idx="0">
                  <c:v>0.26300000000000001</c:v>
                </c:pt>
                <c:pt idx="1">
                  <c:v>0.2</c:v>
                </c:pt>
                <c:pt idx="2">
                  <c:v>0.127</c:v>
                </c:pt>
                <c:pt idx="3">
                  <c:v>0.1</c:v>
                </c:pt>
                <c:pt idx="4">
                  <c:v>7.3999999999999996E-2</c:v>
                </c:pt>
                <c:pt idx="5">
                  <c:v>7.0999999999999994E-2</c:v>
                </c:pt>
                <c:pt idx="6">
                  <c:v>4.4999999999999998E-2</c:v>
                </c:pt>
                <c:pt idx="7">
                  <c:v>0.03</c:v>
                </c:pt>
              </c:numCache>
            </c:numRef>
          </c:xVal>
          <c:yVal>
            <c:numRef>
              <c:f>TauPhotonTurnigy!$AY$3:$AY$10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36</c:v>
                </c:pt>
                <c:pt idx="3">
                  <c:v>45</c:v>
                </c:pt>
                <c:pt idx="4">
                  <c:v>50</c:v>
                </c:pt>
                <c:pt idx="5">
                  <c:v>52</c:v>
                </c:pt>
                <c:pt idx="6">
                  <c:v>55</c:v>
                </c:pt>
                <c:pt idx="7">
                  <c:v>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045600"/>
        <c:axId val="516044816"/>
      </c:scatterChart>
      <c:valAx>
        <c:axId val="51604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6044816"/>
        <c:crosses val="autoZero"/>
        <c:crossBetween val="midCat"/>
      </c:valAx>
      <c:valAx>
        <c:axId val="51604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6045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CalArduinoTurnigy!$P$1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CalArduinoTurnigy!$P$5:$P$13</c:f>
              <c:numCache>
                <c:formatCode>0</c:formatCode>
                <c:ptCount val="9"/>
                <c:pt idx="0">
                  <c:v>0.6</c:v>
                </c:pt>
                <c:pt idx="1">
                  <c:v>9360.3744149765989</c:v>
                </c:pt>
                <c:pt idx="2">
                  <c:v>13239.187996469551</c:v>
                </c:pt>
                <c:pt idx="3">
                  <c:v>18867.92452830189</c:v>
                </c:pt>
                <c:pt idx="4">
                  <c:v>21052.631578947367</c:v>
                </c:pt>
                <c:pt idx="5">
                  <c:v>25000</c:v>
                </c:pt>
                <c:pt idx="6">
                  <c:v>30000.000000000004</c:v>
                </c:pt>
                <c:pt idx="7">
                  <c:v>34482.758620689652</c:v>
                </c:pt>
                <c:pt idx="8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047168"/>
        <c:axId val="516045992"/>
      </c:scatterChart>
      <c:valAx>
        <c:axId val="5160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45992"/>
        <c:crosses val="autoZero"/>
        <c:crossBetween val="midCat"/>
      </c:valAx>
      <c:valAx>
        <c:axId val="51604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CalArduinoTurnigy!$K$6:$K$13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CalArduinoTurnigy!$Q$6:$Q$13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048344"/>
        <c:axId val="516049128"/>
      </c:scatterChart>
      <c:scatterChart>
        <c:scatterStyle val="lineMarker"/>
        <c:varyColors val="0"/>
        <c:ser>
          <c:idx val="1"/>
          <c:order val="1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042856"/>
        <c:axId val="516049912"/>
      </c:scatterChart>
      <c:valAx>
        <c:axId val="51604834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49128"/>
        <c:crossesAt val="-40"/>
        <c:crossBetween val="midCat"/>
        <c:majorUnit val="20"/>
      </c:valAx>
      <c:valAx>
        <c:axId val="51604912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48344"/>
        <c:crosses val="autoZero"/>
        <c:crossBetween val="midCat"/>
      </c:valAx>
      <c:valAx>
        <c:axId val="516049912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42856"/>
        <c:crosses val="max"/>
        <c:crossBetween val="midCat"/>
        <c:majorUnit val="40"/>
      </c:valAx>
      <c:valAx>
        <c:axId val="516042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6049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intercept val="20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CalArduinoTurnigy!$Q$4:$Q$13</c:f>
              <c:numCache>
                <c:formatCode>0</c:formatCode>
                <c:ptCount val="10"/>
                <c:pt idx="0">
                  <c:v>19.434079601990049</c:v>
                </c:pt>
                <c:pt idx="1">
                  <c:v>28.183621933621932</c:v>
                </c:pt>
                <c:pt idx="2">
                  <c:v>39.941206543967276</c:v>
                </c:pt>
                <c:pt idx="3">
                  <c:v>48.585199004975124</c:v>
                </c:pt>
                <c:pt idx="4">
                  <c:v>60.562015503875976</c:v>
                </c:pt>
                <c:pt idx="5">
                  <c:v>64.459570957095707</c:v>
                </c:pt>
                <c:pt idx="6">
                  <c:v>73.56403013182674</c:v>
                </c:pt>
                <c:pt idx="7">
                  <c:v>85.663377192982466</c:v>
                </c:pt>
                <c:pt idx="8">
                  <c:v>95.460654936461381</c:v>
                </c:pt>
                <c:pt idx="9">
                  <c:v>98.942502532928074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044032"/>
        <c:axId val="516044424"/>
      </c:scatterChart>
      <c:valAx>
        <c:axId val="51604403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16044424"/>
        <c:crosses val="autoZero"/>
        <c:crossBetween val="midCat"/>
      </c:valAx>
      <c:valAx>
        <c:axId val="516044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6044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CalArduinoTurnigy!$O$4:$O$13</c:f>
              <c:numCache>
                <c:formatCode>0</c:formatCode>
                <c:ptCount val="10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43988.269794721404</c:v>
                </c:pt>
                <c:pt idx="9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CalArduinoTurnigy!$AH$1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CalArduinoTurnigy!$C$4:$C$13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CalArduinoTurnigy!$AH$4:$AH$13</c:f>
              <c:numCache>
                <c:formatCode>0.00</c:formatCode>
                <c:ptCount val="10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046384"/>
        <c:axId val="516046776"/>
      </c:scatterChart>
      <c:valAx>
        <c:axId val="51604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46776"/>
        <c:crosses val="autoZero"/>
        <c:crossBetween val="midCat"/>
      </c:valAx>
      <c:valAx>
        <c:axId val="5160467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4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CalArduinoTurnigy!$V$1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backward val="12000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CalArduinoTurnigy!$V$5:$V$13</c:f>
              <c:numCache>
                <c:formatCode>0.00000</c:formatCode>
                <c:ptCount val="9"/>
                <c:pt idx="0">
                  <c:v>4.011393083656359E-3</c:v>
                </c:pt>
                <c:pt idx="1">
                  <c:v>7.7987073838718312E-3</c:v>
                </c:pt>
                <c:pt idx="2">
                  <c:v>9.4317379682233565E-3</c:v>
                </c:pt>
                <c:pt idx="3">
                  <c:v>1.3508822260627353E-2</c:v>
                </c:pt>
                <c:pt idx="4">
                  <c:v>1.4800634329554439E-2</c:v>
                </c:pt>
                <c:pt idx="5">
                  <c:v>1.8471679301078667E-2</c:v>
                </c:pt>
                <c:pt idx="6">
                  <c:v>2.4258509516750081E-2</c:v>
                </c:pt>
                <c:pt idx="7">
                  <c:v>3.0861577880676404E-2</c:v>
                </c:pt>
                <c:pt idx="8">
                  <c:v>3.2301247229145437E-2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27384"/>
        <c:axId val="200426208"/>
      </c:scatterChart>
      <c:valAx>
        <c:axId val="20042738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00426208"/>
        <c:crosses val="autoZero"/>
        <c:crossBetween val="midCat"/>
      </c:valAx>
      <c:valAx>
        <c:axId val="200426208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200427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marker>
            <c:symbol val="none"/>
          </c:marker>
          <c:xVal>
            <c:numRef>
              <c:f>CalArduinoTurnigy!$AH$4:$AH$14</c:f>
              <c:numCache>
                <c:formatCode>0.00</c:formatCode>
                <c:ptCount val="11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  <c:pt idx="10">
                  <c:v>45361.106669554021</c:v>
                </c:pt>
              </c:numCache>
            </c:numRef>
          </c:xVal>
          <c:yVal>
            <c:numRef>
              <c:f>CalArduinoTurnigy!$AQ$4:$AQ$14</c:f>
              <c:numCache>
                <c:formatCode>0.000</c:formatCode>
                <c:ptCount val="11"/>
                <c:pt idx="2">
                  <c:v>8.6869543123372139E-2</c:v>
                </c:pt>
                <c:pt idx="3">
                  <c:v>5.5097378875630716E-2</c:v>
                </c:pt>
                <c:pt idx="4">
                  <c:v>4.2737664274397333E-2</c:v>
                </c:pt>
                <c:pt idx="5">
                  <c:v>3.9071151704477884E-2</c:v>
                </c:pt>
                <c:pt idx="6">
                  <c:v>3.6789291938147554E-2</c:v>
                </c:pt>
                <c:pt idx="7">
                  <c:v>3.4492824747713272E-2</c:v>
                </c:pt>
                <c:pt idx="8">
                  <c:v>3.3412481322885462E-2</c:v>
                </c:pt>
                <c:pt idx="9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32872"/>
        <c:axId val="200433264"/>
      </c:scatterChart>
      <c:valAx>
        <c:axId val="20043287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00433264"/>
        <c:crosses val="autoZero"/>
        <c:crossBetween val="midCat"/>
        <c:dispUnits>
          <c:builtInUnit val="thousands"/>
          <c:dispUnitsLbl/>
        </c:dispUnits>
      </c:valAx>
      <c:valAx>
        <c:axId val="20043326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0432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586240804406493"/>
          <c:y val="5.3635483210810325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CalArduinoTurnigy!$AU$1</c:f>
              <c:strCache>
                <c:ptCount val="1"/>
                <c:pt idx="0">
                  <c:v>Model TauT</c:v>
                </c:pt>
              </c:strCache>
            </c:strRef>
          </c:tx>
          <c:marker>
            <c:symbol val="none"/>
          </c:marker>
          <c:xVal>
            <c:numRef>
              <c:f>CalArduinoTurnigy!$AM$2:$AM$14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7530.1403922218742</c:v>
                </c:pt>
                <c:pt idx="5">
                  <c:v>12418.064446267355</c:v>
                </c:pt>
                <c:pt idx="6">
                  <c:v>18717.4839271479</c:v>
                </c:pt>
                <c:pt idx="7">
                  <c:v>22529.174355155788</c:v>
                </c:pt>
                <c:pt idx="8">
                  <c:v>25975.921156907556</c:v>
                </c:pt>
                <c:pt idx="9">
                  <c:v>30910.406070829777</c:v>
                </c:pt>
                <c:pt idx="10">
                  <c:v>34035.323886596707</c:v>
                </c:pt>
                <c:pt idx="11">
                  <c:v>34943.555602310582</c:v>
                </c:pt>
                <c:pt idx="12">
                  <c:v>36207.567774114286</c:v>
                </c:pt>
              </c:numCache>
            </c:numRef>
          </c:xVal>
          <c:yVal>
            <c:numRef>
              <c:f>CalArduinoTurnigy!$AU$2:$AU$14</c:f>
              <c:numCache>
                <c:formatCode>General</c:formatCode>
                <c:ptCount val="13"/>
                <c:pt idx="6" formatCode="0.000">
                  <c:v>7.2671409023472425E-2</c:v>
                </c:pt>
                <c:pt idx="7" formatCode="0.000">
                  <c:v>5.3809443100703722E-2</c:v>
                </c:pt>
                <c:pt idx="8" formatCode="0.000">
                  <c:v>4.6025645503427672E-2</c:v>
                </c:pt>
                <c:pt idx="9" formatCode="0.000">
                  <c:v>3.9989592730882637E-2</c:v>
                </c:pt>
                <c:pt idx="10" formatCode="0.000">
                  <c:v>3.7605917038728308E-2</c:v>
                </c:pt>
                <c:pt idx="11" formatCode="0.000">
                  <c:v>3.7038310956584011E-2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CalArduinoTurnigy!$AQ$2:$AQ$14</c:f>
              <c:numCache>
                <c:formatCode>General</c:formatCode>
                <c:ptCount val="13"/>
                <c:pt idx="4" formatCode="0.000">
                  <c:v>8.6869543123372139E-2</c:v>
                </c:pt>
                <c:pt idx="5" formatCode="0.000">
                  <c:v>5.5097378875630716E-2</c:v>
                </c:pt>
                <c:pt idx="6" formatCode="0.000">
                  <c:v>4.2737664274397333E-2</c:v>
                </c:pt>
                <c:pt idx="7" formatCode="0.000">
                  <c:v>3.9071151704477884E-2</c:v>
                </c:pt>
                <c:pt idx="8" formatCode="0.000">
                  <c:v>3.6789291938147554E-2</c:v>
                </c:pt>
                <c:pt idx="9" formatCode="0.000">
                  <c:v>3.4492824747713272E-2</c:v>
                </c:pt>
                <c:pt idx="10" formatCode="0.000">
                  <c:v>3.3412481322885462E-2</c:v>
                </c:pt>
                <c:pt idx="11" formatCode="0.000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29736"/>
        <c:axId val="200427776"/>
      </c:scatterChart>
      <c:valAx>
        <c:axId val="200429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 or Nf, 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427776"/>
        <c:crosses val="autoZero"/>
        <c:crossBetween val="midCat"/>
      </c:valAx>
      <c:valAx>
        <c:axId val="20042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429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50615504047905"/>
          <c:y val="0.18075814391907774"/>
          <c:w val="0.2779323348304612"/>
          <c:h val="0.174714537748574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CalArduinoTurnigy!$AO$1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CalArduinoTurnigy!$AO$2:$AO$14</c:f>
              <c:numCache>
                <c:formatCode>0.00000</c:formatCode>
                <c:ptCount val="13"/>
                <c:pt idx="2">
                  <c:v>0</c:v>
                </c:pt>
                <c:pt idx="3">
                  <c:v>0</c:v>
                </c:pt>
                <c:pt idx="4">
                  <c:v>4.4935163873351426E-3</c:v>
                </c:pt>
                <c:pt idx="5">
                  <c:v>9.0344945318604156E-3</c:v>
                </c:pt>
                <c:pt idx="6">
                  <c:v>1.488677985167834E-2</c:v>
                </c:pt>
                <c:pt idx="7">
                  <c:v>1.8427915666371371E-2</c:v>
                </c:pt>
                <c:pt idx="8">
                  <c:v>2.1630011632554215E-2</c:v>
                </c:pt>
                <c:pt idx="9">
                  <c:v>2.621424573702338E-2</c:v>
                </c:pt>
                <c:pt idx="10">
                  <c:v>2.911735620844955E-2</c:v>
                </c:pt>
                <c:pt idx="11">
                  <c:v>2.996112143999155E-2</c:v>
                </c:pt>
                <c:pt idx="12">
                  <c:v>3.1135413753683283E-2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26600"/>
        <c:axId val="200430128"/>
      </c:scatterChart>
      <c:valAx>
        <c:axId val="2004266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00430128"/>
        <c:crosses val="autoZero"/>
        <c:crossBetween val="midCat"/>
      </c:valAx>
      <c:valAx>
        <c:axId val="200430128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200426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373914799111651"/>
          <c:y val="0.27703703886686909"/>
          <c:w val="0.44643175853018374"/>
          <c:h val="0.139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CalArduinoHiTec!$J$2:$J$34</c:f>
              <c:numCache>
                <c:formatCode>0.0</c:formatCode>
                <c:ptCount val="33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xVal>
          <c:yVal>
            <c:numRef>
              <c:f>CalArduinoHiTec!$P$2:$P$34</c:f>
              <c:numCache>
                <c:formatCode>0</c:formatCode>
                <c:ptCount val="33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28560"/>
        <c:axId val="200429344"/>
      </c:scatterChart>
      <c:valAx>
        <c:axId val="20042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29344"/>
        <c:crosses val="autoZero"/>
        <c:crossBetween val="midCat"/>
      </c:valAx>
      <c:valAx>
        <c:axId val="2004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2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CalPhotonTurnigy!$V$1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CalPhotonTurnigy!$Q$4:$Q$15</c:f>
              <c:numCache>
                <c:formatCode>0</c:formatCode>
                <c:ptCount val="12"/>
                <c:pt idx="0">
                  <c:v>16.52390016920474</c:v>
                </c:pt>
                <c:pt idx="1">
                  <c:v>17.885760073260073</c:v>
                </c:pt>
                <c:pt idx="2">
                  <c:v>19.728535353535356</c:v>
                </c:pt>
                <c:pt idx="3">
                  <c:v>21.001344086021508</c:v>
                </c:pt>
                <c:pt idx="4">
                  <c:v>39.941206543967276</c:v>
                </c:pt>
                <c:pt idx="5">
                  <c:v>48.585199004975124</c:v>
                </c:pt>
                <c:pt idx="6">
                  <c:v>60.562015503875976</c:v>
                </c:pt>
                <c:pt idx="7">
                  <c:v>64.459570957095707</c:v>
                </c:pt>
                <c:pt idx="8">
                  <c:v>73.56403013182674</c:v>
                </c:pt>
                <c:pt idx="9">
                  <c:v>85.663377192982466</c:v>
                </c:pt>
                <c:pt idx="10">
                  <c:v>95.460654936461381</c:v>
                </c:pt>
                <c:pt idx="11">
                  <c:v>98.942502532928074</c:v>
                </c:pt>
              </c:numCache>
            </c:numRef>
          </c:xVal>
          <c:yVal>
            <c:numRef>
              <c:f>CalPhotonTurnigy!$V$4:$V$15</c:f>
              <c:numCache>
                <c:formatCode>General</c:formatCode>
                <c:ptCount val="12"/>
                <c:pt idx="0">
                  <c:v>4.3132095199200004E-3</c:v>
                </c:pt>
                <c:pt idx="1">
                  <c:v>5.1862684827999987E-3</c:v>
                </c:pt>
                <c:pt idx="2">
                  <c:v>6.1868854583200013E-3</c:v>
                </c:pt>
                <c:pt idx="3">
                  <c:v>6.6171925976800001E-3</c:v>
                </c:pt>
                <c:pt idx="4">
                  <c:v>2.1361890410319998E-2</c:v>
                </c:pt>
                <c:pt idx="5">
                  <c:v>3.4237713143319998E-2</c:v>
                </c:pt>
                <c:pt idx="6">
                  <c:v>6.5812746644320005E-2</c:v>
                </c:pt>
                <c:pt idx="7">
                  <c:v>7.7738187085920007E-2</c:v>
                </c:pt>
                <c:pt idx="8">
                  <c:v>0.11325528885812</c:v>
                </c:pt>
                <c:pt idx="9">
                  <c:v>0.17635774957912001</c:v>
                </c:pt>
                <c:pt idx="10">
                  <c:v>0.25251438895912004</c:v>
                </c:pt>
                <c:pt idx="11">
                  <c:v>0.27444009865912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90320"/>
        <c:axId val="199585616"/>
      </c:scatterChart>
      <c:valAx>
        <c:axId val="19959032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9585616"/>
        <c:crosses val="autoZero"/>
        <c:crossBetween val="midCat"/>
      </c:valAx>
      <c:valAx>
        <c:axId val="199585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590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CalArduinoHiTec!$O$1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CalArduinoHiTec!$N$3:$N$9</c:f>
              <c:numCache>
                <c:formatCode>0</c:formatCode>
                <c:ptCount val="7"/>
                <c:pt idx="0">
                  <c:v>7812.5000000000009</c:v>
                </c:pt>
                <c:pt idx="1">
                  <c:v>9433.962264150945</c:v>
                </c:pt>
                <c:pt idx="2">
                  <c:v>12244.897959183674</c:v>
                </c:pt>
                <c:pt idx="3">
                  <c:v>15000.000000000002</c:v>
                </c:pt>
                <c:pt idx="4">
                  <c:v>15544.041450777202</c:v>
                </c:pt>
                <c:pt idx="5">
                  <c:v>18633.540372670806</c:v>
                </c:pt>
                <c:pt idx="6">
                  <c:v>21306.818181818184</c:v>
                </c:pt>
              </c:numCache>
            </c:numRef>
          </c:xVal>
          <c:yVal>
            <c:numRef>
              <c:f>CalArduinoHiTec!$O$3:$O$9</c:f>
              <c:numCache>
                <c:formatCode>0</c:formatCode>
                <c:ptCount val="7"/>
                <c:pt idx="0">
                  <c:v>3278.688524590164</c:v>
                </c:pt>
                <c:pt idx="1">
                  <c:v>4950.4950495049507</c:v>
                </c:pt>
                <c:pt idx="2">
                  <c:v>7812.5000000000009</c:v>
                </c:pt>
                <c:pt idx="3">
                  <c:v>10067.114093959732</c:v>
                </c:pt>
                <c:pt idx="4">
                  <c:v>10869.565217391306</c:v>
                </c:pt>
                <c:pt idx="5">
                  <c:v>13761.467889908257</c:v>
                </c:pt>
                <c:pt idx="6">
                  <c:v>15957.44680851064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32088"/>
        <c:axId val="200432480"/>
      </c:scatterChart>
      <c:valAx>
        <c:axId val="200432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32480"/>
        <c:crosses val="autoZero"/>
        <c:crossBetween val="midCat"/>
      </c:valAx>
      <c:valAx>
        <c:axId val="20043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32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6602897731953912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26992"/>
        <c:axId val="517062976"/>
      </c:scatterChart>
      <c:scatterChart>
        <c:scatterStyle val="lineMarker"/>
        <c:varyColors val="0"/>
        <c:ser>
          <c:idx val="1"/>
          <c:order val="1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68464"/>
        <c:axId val="517064544"/>
      </c:scatterChart>
      <c:valAx>
        <c:axId val="20042699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62976"/>
        <c:crosses val="autoZero"/>
        <c:crossBetween val="midCat"/>
      </c:valAx>
      <c:valAx>
        <c:axId val="5170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26992"/>
        <c:crosses val="autoZero"/>
        <c:crossBetween val="midCat"/>
      </c:valAx>
      <c:valAx>
        <c:axId val="5170645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68464"/>
        <c:crosses val="max"/>
        <c:crossBetween val="midCat"/>
      </c:valAx>
      <c:valAx>
        <c:axId val="517068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706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915115991666955E-2"/>
          <c:y val="0.82389355699646971"/>
          <c:w val="0.75743135247107563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66896"/>
        <c:axId val="517071208"/>
      </c:scatterChart>
      <c:valAx>
        <c:axId val="51706689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17071208"/>
        <c:crosses val="autoZero"/>
        <c:crossBetween val="midCat"/>
      </c:valAx>
      <c:valAx>
        <c:axId val="517071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7066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252674358798312"/>
          <c:y val="0.24957033840520826"/>
          <c:w val="0.85584877842541363"/>
          <c:h val="0.601843341646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CalArduinoHiTec!$AB$1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CalArduinoHiTec!$P$3:$P$9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xVal>
          <c:yVal>
            <c:numRef>
              <c:f>CalArduinoHiTec!$AB$3:$AB$9</c:f>
              <c:numCache>
                <c:formatCode>General</c:formatCode>
                <c:ptCount val="7"/>
                <c:pt idx="1">
                  <c:v>0.18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61016"/>
        <c:axId val="517067288"/>
      </c:scatterChart>
      <c:valAx>
        <c:axId val="517061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17067288"/>
        <c:crosses val="autoZero"/>
        <c:crossBetween val="midCat"/>
      </c:valAx>
      <c:valAx>
        <c:axId val="517067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7061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CalArduinoHiTec!$T$1</c:f>
              <c:strCache>
                <c:ptCount val="1"/>
                <c:pt idx="0">
                  <c:v>Calc Ng from Nt,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32"/>
            <c:dispRSqr val="0"/>
            <c:dispEq val="0"/>
          </c:trendline>
          <c:xVal>
            <c:numRef>
              <c:f>CalArduinoHiTec!$Q$2:$Q$9</c:f>
              <c:numCache>
                <c:formatCode>0</c:formatCode>
                <c:ptCount val="8"/>
                <c:pt idx="0">
                  <c:v>1.3541666666666668E-11</c:v>
                </c:pt>
                <c:pt idx="1">
                  <c:v>14.799635701275045</c:v>
                </c:pt>
                <c:pt idx="2">
                  <c:v>22.345984598459847</c:v>
                </c:pt>
                <c:pt idx="3">
                  <c:v>35.26475694444445</c:v>
                </c:pt>
                <c:pt idx="4">
                  <c:v>45.44183445190157</c:v>
                </c:pt>
                <c:pt idx="5">
                  <c:v>49.064009661835762</c:v>
                </c:pt>
                <c:pt idx="6">
                  <c:v>62.117737003058117</c:v>
                </c:pt>
                <c:pt idx="7">
                  <c:v>72.030141843971634</c:v>
                </c:pt>
              </c:numCache>
            </c:numRef>
          </c:xVal>
          <c:yVal>
            <c:numRef>
              <c:f>CalArduinoHiTec!$T$2:$T$9</c:f>
              <c:numCache>
                <c:formatCode>0</c:formatCode>
                <c:ptCount val="8"/>
                <c:pt idx="0">
                  <c:v>18.869943356217771</c:v>
                </c:pt>
                <c:pt idx="1">
                  <c:v>34.560601222019052</c:v>
                </c:pt>
                <c:pt idx="2">
                  <c:v>42.561283203103258</c:v>
                </c:pt>
                <c:pt idx="3">
                  <c:v>56.257839052092237</c:v>
                </c:pt>
                <c:pt idx="4">
                  <c:v>67.047634454261498</c:v>
                </c:pt>
                <c:pt idx="5">
                  <c:v>70.887885193961779</c:v>
                </c:pt>
                <c:pt idx="6">
                  <c:v>84.727521095750703</c:v>
                </c:pt>
                <c:pt idx="7">
                  <c:v>95.236709032912501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67680"/>
        <c:axId val="517071600"/>
      </c:scatterChart>
      <c:valAx>
        <c:axId val="517067680"/>
        <c:scaling>
          <c:orientation val="minMax"/>
          <c:max val="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71600"/>
        <c:crosses val="autoZero"/>
        <c:crossBetween val="midCat"/>
      </c:valAx>
      <c:valAx>
        <c:axId val="51707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67680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CalArduinoHiTec!$S$1</c:f>
              <c:strCache>
                <c:ptCount val="1"/>
                <c:pt idx="0">
                  <c:v>Throttle, deg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7500"/>
            <c:intercept val="0"/>
            <c:dispRSqr val="0"/>
            <c:dispEq val="1"/>
            <c:trendlineLbl>
              <c:layout>
                <c:manualLayout>
                  <c:x val="-0.11207458442694664"/>
                  <c:y val="3.4240303295421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xVal>
          <c:yVal>
            <c:numRef>
              <c:f>CalArduinoHiTec!$S$2:$S$9</c:f>
              <c:numCache>
                <c:formatCode>0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70032"/>
        <c:axId val="517063760"/>
      </c:scatterChart>
      <c:valAx>
        <c:axId val="51707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63760"/>
        <c:crosses val="autoZero"/>
        <c:crossBetween val="midCat"/>
      </c:valAx>
      <c:valAx>
        <c:axId val="5170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7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6708333333333336"/>
          <c:w val="0.9033958880139982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CalArduinoHiTec!$N$1</c:f>
              <c:strCache>
                <c:ptCount val="1"/>
                <c:pt idx="0">
                  <c:v>Ng,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65720"/>
        <c:axId val="517064936"/>
      </c:scatterChart>
      <c:valAx>
        <c:axId val="51706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64936"/>
        <c:crosses val="autoZero"/>
        <c:crossBetween val="midCat"/>
      </c:valAx>
      <c:valAx>
        <c:axId val="51706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65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CalPhotonHiTec!$J$2:$J$31</c:f>
              <c:numCache>
                <c:formatCode>0.0</c:formatCode>
                <c:ptCount val="30"/>
                <c:pt idx="0">
                  <c:v>0</c:v>
                </c:pt>
                <c:pt idx="1">
                  <c:v>18.954000000000001</c:v>
                </c:pt>
                <c:pt idx="2">
                  <c:v>23.065999999999999</c:v>
                </c:pt>
                <c:pt idx="3">
                  <c:v>44.176200000000001</c:v>
                </c:pt>
                <c:pt idx="4">
                  <c:v>77.8596</c:v>
                </c:pt>
                <c:pt idx="5">
                  <c:v>100.6914</c:v>
                </c:pt>
                <c:pt idx="6">
                  <c:v>155.69400000000002</c:v>
                </c:pt>
              </c:numCache>
            </c:numRef>
          </c:xVal>
          <c:yVal>
            <c:numRef>
              <c:f>CalPhotonHiTec!$P$2:$P$31</c:f>
              <c:numCache>
                <c:formatCode>0</c:formatCode>
                <c:ptCount val="30"/>
                <c:pt idx="0">
                  <c:v>0</c:v>
                </c:pt>
                <c:pt idx="1">
                  <c:v>35.535006556692458</c:v>
                </c:pt>
                <c:pt idx="2">
                  <c:v>41.694986197572746</c:v>
                </c:pt>
                <c:pt idx="3">
                  <c:v>58.497191347429769</c:v>
                </c:pt>
                <c:pt idx="4">
                  <c:v>71.633456576421381</c:v>
                </c:pt>
                <c:pt idx="5">
                  <c:v>78.025081169228997</c:v>
                </c:pt>
                <c:pt idx="6">
                  <c:v>87.695216353429245</c:v>
                </c:pt>
                <c:pt idx="7">
                  <c:v>99.436452599869568</c:v>
                </c:pt>
                <c:pt idx="10">
                  <c:v>0</c:v>
                </c:pt>
                <c:pt idx="11">
                  <c:v>262.41235611095965</c:v>
                </c:pt>
                <c:pt idx="12">
                  <c:v>307.90143653592179</c:v>
                </c:pt>
                <c:pt idx="13">
                  <c:v>431.97925918101981</c:v>
                </c:pt>
                <c:pt idx="14">
                  <c:v>528.98552548741941</c:v>
                </c:pt>
                <c:pt idx="15">
                  <c:v>576.18521478815251</c:v>
                </c:pt>
                <c:pt idx="16">
                  <c:v>647.59544384070819</c:v>
                </c:pt>
                <c:pt idx="17">
                  <c:v>734.29995766057539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68072"/>
        <c:axId val="517069640"/>
      </c:scatterChart>
      <c:valAx>
        <c:axId val="517068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69640"/>
        <c:crosses val="autoZero"/>
        <c:crossBetween val="midCat"/>
      </c:valAx>
      <c:valAx>
        <c:axId val="5170696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68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CalPhotonTurnigy!$K$4:$K$15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CalPhotonTurnigy!$O$4:$O$15</c:f>
              <c:numCache>
                <c:formatCode>0</c:formatCode>
                <c:ptCount val="12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39473.68421052632</c:v>
                </c:pt>
                <c:pt idx="10">
                  <c:v>43988.269794721404</c:v>
                </c:pt>
                <c:pt idx="11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CalPhotonTurnigy!$AI$1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CalPhotonTurnigy!$C$4:$C$15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CalPhotonTurnigy!$AI$4:$AI$15</c:f>
              <c:numCache>
                <c:formatCode>0.00</c:formatCode>
                <c:ptCount val="12"/>
                <c:pt idx="0">
                  <c:v>2851.6343524568838</c:v>
                </c:pt>
                <c:pt idx="1">
                  <c:v>4346.701172416062</c:v>
                </c:pt>
                <c:pt idx="2">
                  <c:v>5699.1536214204207</c:v>
                </c:pt>
                <c:pt idx="3">
                  <c:v>6933.8459716233592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6672"/>
        <c:axId val="200579024"/>
      </c:scatterChart>
      <c:valAx>
        <c:axId val="20057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9024"/>
        <c:crosses val="autoZero"/>
        <c:crossBetween val="midCat"/>
      </c:valAx>
      <c:valAx>
        <c:axId val="200579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CalPhotonTurnigy!$X$1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CalPhotonTurnigy!$O$4:$O$15</c:f>
              <c:numCache>
                <c:formatCode>0</c:formatCode>
                <c:ptCount val="12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39473.68421052632</c:v>
                </c:pt>
                <c:pt idx="10">
                  <c:v>43988.269794721404</c:v>
                </c:pt>
                <c:pt idx="11">
                  <c:v>45592.705167173255</c:v>
                </c:pt>
              </c:numCache>
            </c:numRef>
          </c:xVal>
          <c:yVal>
            <c:numRef>
              <c:f>CalPhotonTurnigy!$X$4:$X$15</c:f>
              <c:numCache>
                <c:formatCode>0.00000</c:formatCode>
                <c:ptCount val="12"/>
                <c:pt idx="0">
                  <c:v>0</c:v>
                </c:pt>
                <c:pt idx="1">
                  <c:v>3.2982065767668631E-4</c:v>
                </c:pt>
                <c:pt idx="2">
                  <c:v>5.9919656662855807E-4</c:v>
                </c:pt>
                <c:pt idx="3">
                  <c:v>6.1610363702618159E-4</c:v>
                </c:pt>
                <c:pt idx="4">
                  <c:v>3.1207096646162949E-3</c:v>
                </c:pt>
                <c:pt idx="5">
                  <c:v>5.0567114007972706E-3</c:v>
                </c:pt>
                <c:pt idx="6">
                  <c:v>9.4106486422868042E-3</c:v>
                </c:pt>
                <c:pt idx="7">
                  <c:v>1.0770368038348075E-2</c:v>
                </c:pt>
                <c:pt idx="8">
                  <c:v>1.457200402359189E-2</c:v>
                </c:pt>
                <c:pt idx="9">
                  <c:v>2.0489425252982894E-2</c:v>
                </c:pt>
                <c:pt idx="10">
                  <c:v>2.7173982409470245E-2</c:v>
                </c:pt>
                <c:pt idx="11">
                  <c:v>2.863872523257344E-2</c:v>
                </c:pt>
              </c:numCache>
            </c:numRef>
          </c:yVal>
          <c:smooth val="0"/>
        </c:ser>
        <c:ser>
          <c:idx val="1"/>
          <c:order val="1"/>
          <c:tx>
            <c:v>Ng Torque Reverse/Connected, ft-lbf</c:v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1254728112664504"/>
                  <c:y val="0.36491527667138457"/>
                </c:manualLayout>
              </c:layout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CalPhotonTurnigy!$O$67:$O$84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CalPhotonTurnigy!$X$67:$X$84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80984"/>
        <c:axId val="200581376"/>
      </c:scatterChart>
      <c:valAx>
        <c:axId val="20058098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00581376"/>
        <c:crosses val="autoZero"/>
        <c:crossBetween val="midCat"/>
      </c:valAx>
      <c:valAx>
        <c:axId val="200581376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00580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286230741401213"/>
          <c:y val="0.32773112655595427"/>
          <c:w val="0.4327040528006007"/>
          <c:h val="0.27266766221754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layout>
        <c:manualLayout>
          <c:xMode val="edge"/>
          <c:yMode val="edge"/>
          <c:x val="0.28008145615470625"/>
          <c:y val="4.850158694025900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500213379813911"/>
          <c:y val="6.9786266186933704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CalPhotonTurnigy!$AV$1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CalPhotonTurnigy!$AN$8:$AN$15</c:f>
              <c:numCache>
                <c:formatCode>General</c:formatCode>
                <c:ptCount val="8"/>
                <c:pt idx="0">
                  <c:v>8455.3722510014177</c:v>
                </c:pt>
                <c:pt idx="1">
                  <c:v>13113.210822435807</c:v>
                </c:pt>
                <c:pt idx="2">
                  <c:v>19116.102584104236</c:v>
                </c:pt>
                <c:pt idx="3">
                  <c:v>22748.368245688755</c:v>
                </c:pt>
                <c:pt idx="4">
                  <c:v>26032.868991128955</c:v>
                </c:pt>
                <c:pt idx="5">
                  <c:v>30735.076698960533</c:v>
                </c:pt>
                <c:pt idx="6">
                  <c:v>33712.897666288161</c:v>
                </c:pt>
                <c:pt idx="7">
                  <c:v>34578.376890285275</c:v>
                </c:pt>
              </c:numCache>
            </c:numRef>
          </c:xVal>
          <c:yVal>
            <c:numRef>
              <c:f>CalPhotonTurnigy!$AV$8:$AV$15</c:f>
              <c:numCache>
                <c:formatCode>0.000</c:formatCode>
                <c:ptCount val="8"/>
                <c:pt idx="0">
                  <c:v>0.2622861097452871</c:v>
                </c:pt>
                <c:pt idx="1">
                  <c:v>0.15327768207325029</c:v>
                </c:pt>
                <c:pt idx="2">
                  <c:v>9.3499270545763416E-2</c:v>
                </c:pt>
                <c:pt idx="3">
                  <c:v>8.2313306461443872E-2</c:v>
                </c:pt>
                <c:pt idx="4">
                  <c:v>6.3631390354086409E-2</c:v>
                </c:pt>
                <c:pt idx="5">
                  <c:v>4.8062113370621579E-2</c:v>
                </c:pt>
                <c:pt idx="6">
                  <c:v>3.9676981378982325E-2</c:v>
                </c:pt>
                <c:pt idx="7">
                  <c:v>3.7281900353922377E-2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CalPhotonTurnigy!$AR$1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CalPhotonTurnigy!$AI$8:$AI$16</c:f>
              <c:numCache>
                <c:formatCode>0.00</c:formatCode>
                <c:ptCount val="9"/>
                <c:pt idx="0">
                  <c:v>17348.876248230645</c:v>
                </c:pt>
                <c:pt idx="1">
                  <c:v>22123.420807632323</c:v>
                </c:pt>
                <c:pt idx="2">
                  <c:v>28276.719974572956</c:v>
                </c:pt>
                <c:pt idx="3">
                  <c:v>31999.995048805355</c:v>
                </c:pt>
                <c:pt idx="4">
                  <c:v>35366.791670025093</c:v>
                </c:pt>
                <c:pt idx="5">
                  <c:v>40186.817071139434</c:v>
                </c:pt>
                <c:pt idx="6">
                  <c:v>43239.249799405501</c:v>
                </c:pt>
                <c:pt idx="7">
                  <c:v>44126.414319351083</c:v>
                </c:pt>
              </c:numCache>
            </c:numRef>
          </c:xVal>
          <c:yVal>
            <c:numRef>
              <c:f>CalPhotonTurnigy!$AR$8:$AR$16</c:f>
              <c:numCache>
                <c:formatCode>0.000</c:formatCode>
                <c:ptCount val="9"/>
                <c:pt idx="0">
                  <c:v>8.8118975354312457E-2</c:v>
                </c:pt>
                <c:pt idx="1">
                  <c:v>6.2906429754981188E-2</c:v>
                </c:pt>
                <c:pt idx="2">
                  <c:v>4.5959283219000058E-2</c:v>
                </c:pt>
                <c:pt idx="3">
                  <c:v>3.9517474546856564E-2</c:v>
                </c:pt>
                <c:pt idx="4">
                  <c:v>3.5072283984146989E-2</c:v>
                </c:pt>
                <c:pt idx="5">
                  <c:v>3.0207645977385553E-2</c:v>
                </c:pt>
                <c:pt idx="6">
                  <c:v>2.7768510934620141E-2</c:v>
                </c:pt>
                <c:pt idx="7">
                  <c:v>2.7131780912102679E-2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CalPhotonTurnigy!$AQ$19</c:f>
              <c:strCache>
                <c:ptCount val="1"/>
                <c:pt idx="0">
                  <c:v>Measured TauT, s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CalPhotonTurnigy!$AM$21:$AM$29</c:f>
              <c:numCache>
                <c:formatCode>General</c:formatCode>
                <c:ptCount val="9"/>
                <c:pt idx="0">
                  <c:v>7372.8</c:v>
                </c:pt>
                <c:pt idx="1">
                  <c:v>9216</c:v>
                </c:pt>
                <c:pt idx="2">
                  <c:v>11520</c:v>
                </c:pt>
                <c:pt idx="3">
                  <c:v>16588.8</c:v>
                </c:pt>
                <c:pt idx="4">
                  <c:v>20736</c:v>
                </c:pt>
                <c:pt idx="5">
                  <c:v>23040</c:v>
                </c:pt>
                <c:pt idx="6">
                  <c:v>23961.600000000002</c:v>
                </c:pt>
                <c:pt idx="7">
                  <c:v>25344</c:v>
                </c:pt>
                <c:pt idx="8">
                  <c:v>28569.600000000002</c:v>
                </c:pt>
              </c:numCache>
            </c:numRef>
          </c:xVal>
          <c:yVal>
            <c:numRef>
              <c:f>CalPhotonTurnigy!$AQ$21:$AQ$29</c:f>
              <c:numCache>
                <c:formatCode>General</c:formatCode>
                <c:ptCount val="9"/>
                <c:pt idx="0">
                  <c:v>0.33</c:v>
                </c:pt>
                <c:pt idx="1">
                  <c:v>0.26300000000000001</c:v>
                </c:pt>
                <c:pt idx="2">
                  <c:v>0.2</c:v>
                </c:pt>
                <c:pt idx="3">
                  <c:v>0.127</c:v>
                </c:pt>
                <c:pt idx="4">
                  <c:v>0.1</c:v>
                </c:pt>
                <c:pt idx="5">
                  <c:v>7.3999999999999996E-2</c:v>
                </c:pt>
                <c:pt idx="6">
                  <c:v>7.0999999999999994E-2</c:v>
                </c:pt>
                <c:pt idx="7">
                  <c:v>4.4999999999999998E-2</c:v>
                </c:pt>
                <c:pt idx="8">
                  <c:v>0.03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9808"/>
        <c:axId val="200582944"/>
      </c:scatterChart>
      <c:valAx>
        <c:axId val="200579808"/>
        <c:scaling>
          <c:orientation val="minMax"/>
          <c:max val="35000"/>
          <c:min val="5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0582944"/>
        <c:crosses val="autoZero"/>
        <c:crossBetween val="midCat"/>
      </c:valAx>
      <c:valAx>
        <c:axId val="200582944"/>
        <c:scaling>
          <c:orientation val="minMax"/>
          <c:max val="0.3000000000000000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00579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0056097661026189"/>
          <c:y val="0.19383879942556673"/>
          <c:w val="0.49502511605216815"/>
          <c:h val="0.191101442221053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CalPhotonTurnigy!$AO$1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CalPhotonTurnigy!$AI$2:$AI$16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2851.6343524568838</c:v>
                </c:pt>
                <c:pt idx="3">
                  <c:v>4346.701172416062</c:v>
                </c:pt>
                <c:pt idx="4">
                  <c:v>5699.1536214204207</c:v>
                </c:pt>
                <c:pt idx="5">
                  <c:v>6933.8459716233592</c:v>
                </c:pt>
                <c:pt idx="6">
                  <c:v>17348.876248230645</c:v>
                </c:pt>
                <c:pt idx="7">
                  <c:v>22123.420807632323</c:v>
                </c:pt>
                <c:pt idx="8">
                  <c:v>28276.719974572956</c:v>
                </c:pt>
                <c:pt idx="9">
                  <c:v>31999.995048805355</c:v>
                </c:pt>
                <c:pt idx="10">
                  <c:v>35366.791670025093</c:v>
                </c:pt>
                <c:pt idx="11">
                  <c:v>40186.817071139434</c:v>
                </c:pt>
                <c:pt idx="12">
                  <c:v>43239.249799405501</c:v>
                </c:pt>
                <c:pt idx="13">
                  <c:v>44126.414319351083</c:v>
                </c:pt>
              </c:numCache>
            </c:numRef>
          </c:xVal>
          <c:yVal>
            <c:numRef>
              <c:f>CalPhotonTurnigy!$AO$2:$AO$16</c:f>
              <c:numCache>
                <c:formatCode>0.00000</c:formatCode>
                <c:ptCount val="15"/>
                <c:pt idx="2">
                  <c:v>2.8885232311502262E-4</c:v>
                </c:pt>
                <c:pt idx="3">
                  <c:v>1.9093165395329351E-4</c:v>
                </c:pt>
                <c:pt idx="4">
                  <c:v>1.7100500229004468E-4</c:v>
                </c:pt>
                <c:pt idx="5">
                  <c:v>2.0975801042066519E-4</c:v>
                </c:pt>
                <c:pt idx="6">
                  <c:v>2.6996162202028583E-3</c:v>
                </c:pt>
                <c:pt idx="7">
                  <c:v>5.1338954187745353E-3</c:v>
                </c:pt>
                <c:pt idx="8">
                  <c:v>9.4698404838995734E-3</c:v>
                </c:pt>
                <c:pt idx="9">
                  <c:v>1.2749008265139302E-2</c:v>
                </c:pt>
                <c:pt idx="10">
                  <c:v>1.6139758156510163E-2</c:v>
                </c:pt>
                <c:pt idx="11">
                  <c:v>2.1697533384729531E-2</c:v>
                </c:pt>
                <c:pt idx="12">
                  <c:v>2.5645549843300849E-2</c:v>
                </c:pt>
                <c:pt idx="13">
                  <c:v>2.6855314322647372E-2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CalPhotonTurnigy!$AS$1</c:f>
              <c:strCache>
                <c:ptCount val="1"/>
                <c:pt idx="0">
                  <c:v>Model Qt from Model Nt, ft-lbf</c:v>
                </c:pt>
              </c:strCache>
            </c:strRef>
          </c:tx>
          <c:marker>
            <c:symbol val="none"/>
          </c:marker>
          <c:xVal>
            <c:numRef>
              <c:f>CalPhotonTurnigy!$AN$8:$AN$16</c:f>
              <c:numCache>
                <c:formatCode>General</c:formatCode>
                <c:ptCount val="9"/>
                <c:pt idx="0">
                  <c:v>8455.3722510014177</c:v>
                </c:pt>
                <c:pt idx="1">
                  <c:v>13113.210822435807</c:v>
                </c:pt>
                <c:pt idx="2">
                  <c:v>19116.102584104236</c:v>
                </c:pt>
                <c:pt idx="3">
                  <c:v>22748.368245688755</c:v>
                </c:pt>
                <c:pt idx="4">
                  <c:v>26032.868991128955</c:v>
                </c:pt>
                <c:pt idx="5">
                  <c:v>30735.076698960533</c:v>
                </c:pt>
                <c:pt idx="6">
                  <c:v>33712.897666288161</c:v>
                </c:pt>
                <c:pt idx="7">
                  <c:v>34578.376890285275</c:v>
                </c:pt>
              </c:numCache>
            </c:numRef>
          </c:xVal>
          <c:yVal>
            <c:numRef>
              <c:f>CalPhotonTurnigy!$AS$8:$AS$16</c:f>
              <c:numCache>
                <c:formatCode>0.00000</c:formatCode>
                <c:ptCount val="9"/>
                <c:pt idx="0">
                  <c:v>4.3873503556671905E-4</c:v>
                </c:pt>
                <c:pt idx="1">
                  <c:v>4.4749381157226293E-4</c:v>
                </c:pt>
                <c:pt idx="2">
                  <c:v>1.3755224878909979E-3</c:v>
                </c:pt>
                <c:pt idx="3">
                  <c:v>2.438403168041258E-3</c:v>
                </c:pt>
                <c:pt idx="4">
                  <c:v>3.7249606052333559E-3</c:v>
                </c:pt>
                <c:pt idx="5">
                  <c:v>6.1048249521557778E-3</c:v>
                </c:pt>
                <c:pt idx="6">
                  <c:v>7.9395613939336682E-3</c:v>
                </c:pt>
                <c:pt idx="7">
                  <c:v>8.5204621586561918E-3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7456"/>
        <c:axId val="200578240"/>
      </c:scatterChart>
      <c:valAx>
        <c:axId val="200577456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crossAx val="200578240"/>
        <c:crosses val="autoZero"/>
        <c:crossBetween val="midCat"/>
      </c:valAx>
      <c:valAx>
        <c:axId val="200578240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0057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856846781577544"/>
          <c:y val="0.2770371879860597"/>
          <c:w val="0.72068043455019248"/>
          <c:h val="0.136787493657830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7108486439195"/>
          <c:y val="0.17171296296296296"/>
          <c:w val="0.7980669291338582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CalPhotonTurnigy!$V$66</c:f>
              <c:strCache>
                <c:ptCount val="1"/>
                <c:pt idx="0">
                  <c:v>pwr conn, shp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CalPhotonTurnigy!$O$67:$O$84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CalPhotonTurnigy!$V$67:$V$84</c:f>
              <c:numCache>
                <c:formatCode>General</c:formatCode>
                <c:ptCount val="18"/>
                <c:pt idx="0">
                  <c:v>5.0395070351200002E-3</c:v>
                </c:pt>
                <c:pt idx="1">
                  <c:v>5.9576511576400013E-3</c:v>
                </c:pt>
                <c:pt idx="2">
                  <c:v>6.4615267639200015E-3</c:v>
                </c:pt>
                <c:pt idx="3">
                  <c:v>7.52844386712E-3</c:v>
                </c:pt>
                <c:pt idx="4">
                  <c:v>8.3539636001000016E-3</c:v>
                </c:pt>
                <c:pt idx="5">
                  <c:v>1.1187194420379999E-2</c:v>
                </c:pt>
                <c:pt idx="6">
                  <c:v>1.7248707731919999E-2</c:v>
                </c:pt>
                <c:pt idx="7">
                  <c:v>2.5935955529680001E-2</c:v>
                </c:pt>
                <c:pt idx="8">
                  <c:v>3.2824101622459995E-2</c:v>
                </c:pt>
                <c:pt idx="9">
                  <c:v>3.7446912891520003E-2</c:v>
                </c:pt>
                <c:pt idx="10">
                  <c:v>5.0569885979119995E-2</c:v>
                </c:pt>
                <c:pt idx="11">
                  <c:v>6.4741806475119998E-2</c:v>
                </c:pt>
                <c:pt idx="12">
                  <c:v>8.1123731227120008E-2</c:v>
                </c:pt>
                <c:pt idx="13">
                  <c:v>0.10326829571752001</c:v>
                </c:pt>
                <c:pt idx="14">
                  <c:v>0.12008994158332</c:v>
                </c:pt>
                <c:pt idx="15">
                  <c:v>0.15119588558872002</c:v>
                </c:pt>
                <c:pt idx="16">
                  <c:v>0.18158773537912004</c:v>
                </c:pt>
                <c:pt idx="17">
                  <c:v>0.23169502240912002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CalPhotonTurnigy!$V$87</c:f>
              <c:strCache>
                <c:ptCount val="1"/>
                <c:pt idx="0">
                  <c:v>pwr unconn, shp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CalPhotonTurnigy!$O$88:$O$102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CalPhotonTurnigy!$V$88:$V$102</c:f>
              <c:numCache>
                <c:formatCode>General</c:formatCode>
                <c:ptCount val="15"/>
                <c:pt idx="0">
                  <c:v>1.0667239960320001E-2</c:v>
                </c:pt>
                <c:pt idx="1">
                  <c:v>1.4397748600800004E-2</c:v>
                </c:pt>
                <c:pt idx="2">
                  <c:v>1.92184544864E-2</c:v>
                </c:pt>
                <c:pt idx="3">
                  <c:v>2.5150706687360001E-2</c:v>
                </c:pt>
                <c:pt idx="4">
                  <c:v>3.0770822607600001E-2</c:v>
                </c:pt>
                <c:pt idx="5">
                  <c:v>3.7809578881200012E-2</c:v>
                </c:pt>
                <c:pt idx="6">
                  <c:v>4.2255603219999993E-2</c:v>
                </c:pt>
                <c:pt idx="7">
                  <c:v>5.5280949906E-2</c:v>
                </c:pt>
                <c:pt idx="8">
                  <c:v>6.9486395952000013E-2</c:v>
                </c:pt>
                <c:pt idx="9">
                  <c:v>8.9153019990799998E-2</c:v>
                </c:pt>
                <c:pt idx="10">
                  <c:v>0.10838139804000002</c:v>
                </c:pt>
                <c:pt idx="11">
                  <c:v>0.13277727026400002</c:v>
                </c:pt>
                <c:pt idx="12">
                  <c:v>0.15861742318200001</c:v>
                </c:pt>
                <c:pt idx="13">
                  <c:v>0.20448439864800003</c:v>
                </c:pt>
                <c:pt idx="14">
                  <c:v>0.24552610875360001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81768"/>
        <c:axId val="200582160"/>
      </c:scatterChart>
      <c:valAx>
        <c:axId val="200581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82160"/>
        <c:crosses val="autoZero"/>
        <c:crossBetween val="midCat"/>
      </c:valAx>
      <c:valAx>
        <c:axId val="20058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81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3888888888888891"/>
          <c:y val="0.2805898221055701"/>
          <c:w val="0.31780664916885387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80446194225724"/>
          <c:y val="5.0925925925925923E-2"/>
          <c:w val="0.8055166444665509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CalPhotonTurnigy!$X$66</c:f>
              <c:strCache>
                <c:ptCount val="1"/>
                <c:pt idx="0">
                  <c:v>Ng Aero Torque Backwards conn, ft-lbf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677383526051688"/>
                  <c:y val="0.4054631946568114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CalPhotonTurnigy!$O$67:$O$84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CalPhotonTurnigy!$X$67:$X$84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CalPhotonTurnigy!$X$87</c:f>
              <c:strCache>
                <c:ptCount val="1"/>
                <c:pt idx="0">
                  <c:v>Ng Torque Backwards unconn,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CalPhotonTurnigy!$O$88:$O$102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CalPhotonTurnigy!$X$88:$X$102</c:f>
              <c:numCache>
                <c:formatCode>0.00000</c:formatCode>
                <c:ptCount val="15"/>
                <c:pt idx="0">
                  <c:v>0</c:v>
                </c:pt>
                <c:pt idx="1">
                  <c:v>3.5845674991758555E-4</c:v>
                </c:pt>
                <c:pt idx="2">
                  <c:v>9.2750588020960346E-4</c:v>
                </c:pt>
                <c:pt idx="3">
                  <c:v>1.7617306337128517E-3</c:v>
                </c:pt>
                <c:pt idx="4">
                  <c:v>2.5541211873215492E-3</c:v>
                </c:pt>
                <c:pt idx="5">
                  <c:v>3.3863896639389794E-3</c:v>
                </c:pt>
                <c:pt idx="6">
                  <c:v>3.765594386755478E-3</c:v>
                </c:pt>
                <c:pt idx="7">
                  <c:v>5.1695942209379333E-3</c:v>
                </c:pt>
                <c:pt idx="8">
                  <c:v>6.8782199474934731E-3</c:v>
                </c:pt>
                <c:pt idx="9">
                  <c:v>8.1636467895171635E-3</c:v>
                </c:pt>
                <c:pt idx="10">
                  <c:v>9.8635705960638427E-3</c:v>
                </c:pt>
                <c:pt idx="11">
                  <c:v>1.1598540841957713E-2</c:v>
                </c:pt>
                <c:pt idx="12">
                  <c:v>1.418717422999342E-2</c:v>
                </c:pt>
                <c:pt idx="13">
                  <c:v>1.8354330648828129E-2</c:v>
                </c:pt>
                <c:pt idx="14">
                  <c:v>2.2007117669958966E-2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CalPhotonTurnigy!$X$1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CalPhotonTurnigy!$O$4:$O$15</c:f>
              <c:numCache>
                <c:formatCode>0</c:formatCode>
                <c:ptCount val="12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39473.68421052632</c:v>
                </c:pt>
                <c:pt idx="10">
                  <c:v>43988.269794721404</c:v>
                </c:pt>
                <c:pt idx="11">
                  <c:v>45592.705167173255</c:v>
                </c:pt>
              </c:numCache>
            </c:numRef>
          </c:xVal>
          <c:yVal>
            <c:numRef>
              <c:f>CalPhotonTurnigy!$X$4:$X$15</c:f>
              <c:numCache>
                <c:formatCode>0.00000</c:formatCode>
                <c:ptCount val="12"/>
                <c:pt idx="0">
                  <c:v>0</c:v>
                </c:pt>
                <c:pt idx="1">
                  <c:v>3.2982065767668631E-4</c:v>
                </c:pt>
                <c:pt idx="2">
                  <c:v>5.9919656662855807E-4</c:v>
                </c:pt>
                <c:pt idx="3">
                  <c:v>6.1610363702618159E-4</c:v>
                </c:pt>
                <c:pt idx="4">
                  <c:v>3.1207096646162949E-3</c:v>
                </c:pt>
                <c:pt idx="5">
                  <c:v>5.0567114007972706E-3</c:v>
                </c:pt>
                <c:pt idx="6">
                  <c:v>9.4106486422868042E-3</c:v>
                </c:pt>
                <c:pt idx="7">
                  <c:v>1.0770368038348075E-2</c:v>
                </c:pt>
                <c:pt idx="8">
                  <c:v>1.457200402359189E-2</c:v>
                </c:pt>
                <c:pt idx="9">
                  <c:v>2.0489425252982894E-2</c:v>
                </c:pt>
                <c:pt idx="10">
                  <c:v>2.7173982409470245E-2</c:v>
                </c:pt>
                <c:pt idx="11">
                  <c:v>2.863872523257344E-2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7064"/>
        <c:axId val="200580592"/>
      </c:scatterChart>
      <c:valAx>
        <c:axId val="20057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80592"/>
        <c:crosses val="autoZero"/>
        <c:crossBetween val="midCat"/>
      </c:valAx>
      <c:valAx>
        <c:axId val="2005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541508596222046"/>
          <c:y val="5.7642494087036714E-2"/>
          <c:w val="0.56731963108465833"/>
          <c:h val="0.26791641024831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15239</xdr:rowOff>
    </xdr:from>
    <xdr:to>
      <xdr:col>5</xdr:col>
      <xdr:colOff>423333</xdr:colOff>
      <xdr:row>64</xdr:row>
      <xdr:rowOff>135466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293371</xdr:colOff>
      <xdr:row>27</xdr:row>
      <xdr:rowOff>68580</xdr:rowOff>
    </xdr:from>
    <xdr:to>
      <xdr:col>21</xdr:col>
      <xdr:colOff>381000</xdr:colOff>
      <xdr:row>40</xdr:row>
      <xdr:rowOff>98214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331683</xdr:colOff>
      <xdr:row>42</xdr:row>
      <xdr:rowOff>172091</xdr:rowOff>
    </xdr:from>
    <xdr:to>
      <xdr:col>11</xdr:col>
      <xdr:colOff>101600</xdr:colOff>
      <xdr:row>55</xdr:row>
      <xdr:rowOff>126999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100753</xdr:colOff>
      <xdr:row>42</xdr:row>
      <xdr:rowOff>170186</xdr:rowOff>
    </xdr:from>
    <xdr:to>
      <xdr:col>18</xdr:col>
      <xdr:colOff>306493</xdr:colOff>
      <xdr:row>58</xdr:row>
      <xdr:rowOff>193040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21802</xdr:colOff>
      <xdr:row>27</xdr:row>
      <xdr:rowOff>93133</xdr:rowOff>
    </xdr:from>
    <xdr:to>
      <xdr:col>13</xdr:col>
      <xdr:colOff>228599</xdr:colOff>
      <xdr:row>40</xdr:row>
      <xdr:rowOff>24558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732367</xdr:colOff>
      <xdr:row>18</xdr:row>
      <xdr:rowOff>4239</xdr:rowOff>
    </xdr:from>
    <xdr:to>
      <xdr:col>52</xdr:col>
      <xdr:colOff>74990</xdr:colOff>
      <xdr:row>34</xdr:row>
      <xdr:rowOff>169334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101600</xdr:colOff>
      <xdr:row>31</xdr:row>
      <xdr:rowOff>169333</xdr:rowOff>
    </xdr:from>
    <xdr:to>
      <xdr:col>43</xdr:col>
      <xdr:colOff>33867</xdr:colOff>
      <xdr:row>45</xdr:row>
      <xdr:rowOff>160867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395816</xdr:colOff>
      <xdr:row>65</xdr:row>
      <xdr:rowOff>28786</xdr:rowOff>
    </xdr:from>
    <xdr:to>
      <xdr:col>32</xdr:col>
      <xdr:colOff>39369</xdr:colOff>
      <xdr:row>80</xdr:row>
      <xdr:rowOff>29633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180802</xdr:colOff>
      <xdr:row>79</xdr:row>
      <xdr:rowOff>86590</xdr:rowOff>
    </xdr:from>
    <xdr:to>
      <xdr:col>33</xdr:col>
      <xdr:colOff>142702</xdr:colOff>
      <xdr:row>94</xdr:row>
      <xdr:rowOff>132310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516465</xdr:colOff>
      <xdr:row>46</xdr:row>
      <xdr:rowOff>84665</xdr:rowOff>
    </xdr:from>
    <xdr:to>
      <xdr:col>49</xdr:col>
      <xdr:colOff>304800</xdr:colOff>
      <xdr:row>56</xdr:row>
      <xdr:rowOff>110066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4</xdr:row>
      <xdr:rowOff>125730</xdr:rowOff>
    </xdr:from>
    <xdr:to>
      <xdr:col>20</xdr:col>
      <xdr:colOff>251460</xdr:colOff>
      <xdr:row>19</xdr:row>
      <xdr:rowOff>99060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563880</xdr:colOff>
      <xdr:row>5</xdr:row>
      <xdr:rowOff>7620</xdr:rowOff>
    </xdr:from>
    <xdr:to>
      <xdr:col>30</xdr:col>
      <xdr:colOff>289560</xdr:colOff>
      <xdr:row>19</xdr:row>
      <xdr:rowOff>129540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167640</xdr:colOff>
      <xdr:row>4</xdr:row>
      <xdr:rowOff>106680</xdr:rowOff>
    </xdr:from>
    <xdr:to>
      <xdr:col>9</xdr:col>
      <xdr:colOff>175260</xdr:colOff>
      <xdr:row>19</xdr:row>
      <xdr:rowOff>80010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449580</xdr:colOff>
      <xdr:row>4</xdr:row>
      <xdr:rowOff>38100</xdr:rowOff>
    </xdr:from>
    <xdr:to>
      <xdr:col>14</xdr:col>
      <xdr:colOff>457200</xdr:colOff>
      <xdr:row>19</xdr:row>
      <xdr:rowOff>11430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45720</xdr:colOff>
      <xdr:row>4</xdr:row>
      <xdr:rowOff>129540</xdr:rowOff>
    </xdr:from>
    <xdr:to>
      <xdr:col>25</xdr:col>
      <xdr:colOff>563880</xdr:colOff>
      <xdr:row>19</xdr:row>
      <xdr:rowOff>102870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30480</xdr:colOff>
      <xdr:row>4</xdr:row>
      <xdr:rowOff>152400</xdr:rowOff>
    </xdr:from>
    <xdr:to>
      <xdr:col>35</xdr:col>
      <xdr:colOff>365760</xdr:colOff>
      <xdr:row>19</xdr:row>
      <xdr:rowOff>91440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99060</xdr:colOff>
      <xdr:row>5</xdr:row>
      <xdr:rowOff>45720</xdr:rowOff>
    </xdr:from>
    <xdr:to>
      <xdr:col>40</xdr:col>
      <xdr:colOff>434340</xdr:colOff>
      <xdr:row>19</xdr:row>
      <xdr:rowOff>167640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83820</xdr:colOff>
      <xdr:row>4</xdr:row>
      <xdr:rowOff>60960</xdr:rowOff>
    </xdr:from>
    <xdr:to>
      <xdr:col>45</xdr:col>
      <xdr:colOff>419100</xdr:colOff>
      <xdr:row>19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13335</xdr:colOff>
      <xdr:row>14</xdr:row>
      <xdr:rowOff>175260</xdr:rowOff>
    </xdr:from>
    <xdr:to>
      <xdr:col>53</xdr:col>
      <xdr:colOff>259080</xdr:colOff>
      <xdr:row>29</xdr:row>
      <xdr:rowOff>175260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56</xdr:col>
      <xdr:colOff>539432</xdr:colOff>
      <xdr:row>15</xdr:row>
      <xdr:rowOff>80645</xdr:rowOff>
    </xdr:from>
    <xdr:to>
      <xdr:col>63</xdr:col>
      <xdr:colOff>182880</xdr:colOff>
      <xdr:row>32</xdr:row>
      <xdr:rowOff>175260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15240</xdr:rowOff>
    </xdr:from>
    <xdr:to>
      <xdr:col>5</xdr:col>
      <xdr:colOff>190500</xdr:colOff>
      <xdr:row>61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217170</xdr:colOff>
      <xdr:row>24</xdr:row>
      <xdr:rowOff>144780</xdr:rowOff>
    </xdr:from>
    <xdr:to>
      <xdr:col>18</xdr:col>
      <xdr:colOff>228600</xdr:colOff>
      <xdr:row>37</xdr:row>
      <xdr:rowOff>342900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272415</xdr:colOff>
      <xdr:row>42</xdr:row>
      <xdr:rowOff>146691</xdr:rowOff>
    </xdr:from>
    <xdr:to>
      <xdr:col>13</xdr:col>
      <xdr:colOff>251460</xdr:colOff>
      <xdr:row>56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</xdr:colOff>
      <xdr:row>40</xdr:row>
      <xdr:rowOff>144786</xdr:rowOff>
    </xdr:from>
    <xdr:to>
      <xdr:col>20</xdr:col>
      <xdr:colOff>137160</xdr:colOff>
      <xdr:row>56</xdr:row>
      <xdr:rowOff>167640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219075</xdr:colOff>
      <xdr:row>18</xdr:row>
      <xdr:rowOff>6</xdr:rowOff>
    </xdr:from>
    <xdr:to>
      <xdr:col>16</xdr:col>
      <xdr:colOff>0</xdr:colOff>
      <xdr:row>33</xdr:row>
      <xdr:rowOff>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704850</xdr:colOff>
      <xdr:row>18</xdr:row>
      <xdr:rowOff>85731</xdr:rowOff>
    </xdr:from>
    <xdr:to>
      <xdr:col>40</xdr:col>
      <xdr:colOff>219075</xdr:colOff>
      <xdr:row>33</xdr:row>
      <xdr:rowOff>76206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495300</xdr:colOff>
      <xdr:row>18</xdr:row>
      <xdr:rowOff>114307</xdr:rowOff>
    </xdr:from>
    <xdr:to>
      <xdr:col>46</xdr:col>
      <xdr:colOff>447675</xdr:colOff>
      <xdr:row>32</xdr:row>
      <xdr:rowOff>180976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342900</xdr:colOff>
      <xdr:row>34</xdr:row>
      <xdr:rowOff>95251</xdr:rowOff>
    </xdr:from>
    <xdr:to>
      <xdr:col>41</xdr:col>
      <xdr:colOff>381000</xdr:colOff>
      <xdr:row>46</xdr:row>
      <xdr:rowOff>76207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11</xdr:row>
      <xdr:rowOff>83820</xdr:rowOff>
    </xdr:from>
    <xdr:to>
      <xdr:col>12</xdr:col>
      <xdr:colOff>83820</xdr:colOff>
      <xdr:row>28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28</xdr:row>
      <xdr:rowOff>175260</xdr:rowOff>
    </xdr:from>
    <xdr:to>
      <xdr:col>11</xdr:col>
      <xdr:colOff>0</xdr:colOff>
      <xdr:row>39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13</xdr:row>
      <xdr:rowOff>45726</xdr:rowOff>
    </xdr:from>
    <xdr:to>
      <xdr:col>24</xdr:col>
      <xdr:colOff>403860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127635</xdr:colOff>
      <xdr:row>29</xdr:row>
      <xdr:rowOff>55251</xdr:rowOff>
    </xdr:from>
    <xdr:to>
      <xdr:col>21</xdr:col>
      <xdr:colOff>38100</xdr:colOff>
      <xdr:row>42</xdr:row>
      <xdr:rowOff>91440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154305</xdr:colOff>
      <xdr:row>0</xdr:row>
      <xdr:rowOff>1</xdr:rowOff>
    </xdr:from>
    <xdr:to>
      <xdr:col>37</xdr:col>
      <xdr:colOff>152400</xdr:colOff>
      <xdr:row>13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</xdr:colOff>
      <xdr:row>41</xdr:row>
      <xdr:rowOff>15246</xdr:rowOff>
    </xdr:from>
    <xdr:to>
      <xdr:col>13</xdr:col>
      <xdr:colOff>304800</xdr:colOff>
      <xdr:row>58</xdr:row>
      <xdr:rowOff>160020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236220</xdr:colOff>
      <xdr:row>14</xdr:row>
      <xdr:rowOff>83826</xdr:rowOff>
    </xdr:from>
    <xdr:to>
      <xdr:col>15</xdr:col>
      <xdr:colOff>243840</xdr:colOff>
      <xdr:row>27</xdr:row>
      <xdr:rowOff>137160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381000</xdr:colOff>
      <xdr:row>42</xdr:row>
      <xdr:rowOff>152406</xdr:rowOff>
    </xdr:from>
    <xdr:to>
      <xdr:col>24</xdr:col>
      <xdr:colOff>464820</xdr:colOff>
      <xdr:row>57</xdr:row>
      <xdr:rowOff>152406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10</xdr:row>
      <xdr:rowOff>60960</xdr:rowOff>
    </xdr:from>
    <xdr:to>
      <xdr:col>15</xdr:col>
      <xdr:colOff>53340</xdr:colOff>
      <xdr:row>24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4"/>
  <sheetViews>
    <sheetView tabSelected="1" topLeftCell="L1" zoomScale="90" zoomScaleNormal="90" workbookViewId="0">
      <pane ySplit="1" topLeftCell="A5" activePane="bottomLeft" state="frozen"/>
      <selection pane="bottomLeft" activeCell="AA19" sqref="AA19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6" width="6.33203125" style="1" customWidth="1"/>
    <col min="7" max="7" width="9.109375" style="1" bestFit="1" customWidth="1"/>
    <col min="8" max="8" width="8.5546875" style="1" bestFit="1" customWidth="1"/>
    <col min="9" max="9" width="5.88671875" style="1" bestFit="1" customWidth="1"/>
    <col min="10" max="10" width="10" style="1" bestFit="1" customWidth="1"/>
    <col min="11" max="12" width="5.109375" style="1" customWidth="1"/>
    <col min="13" max="13" width="6.6640625" style="1" customWidth="1"/>
    <col min="14" max="14" width="7.88671875" style="1" customWidth="1"/>
    <col min="15" max="15" width="7.33203125" style="1" bestFit="1" customWidth="1"/>
    <col min="16" max="16" width="7.44140625" style="1" customWidth="1"/>
    <col min="17" max="17" width="6.33203125" style="1" customWidth="1"/>
    <col min="18" max="18" width="5.6640625" style="1" customWidth="1"/>
    <col min="19" max="19" width="8" style="1" customWidth="1"/>
    <col min="20" max="21" width="7.6640625" customWidth="1"/>
    <col min="23" max="23" width="9.88671875" bestFit="1" customWidth="1"/>
    <col min="24" max="24" width="10.6640625" customWidth="1"/>
    <col min="25" max="25" width="8.5546875" bestFit="1" customWidth="1"/>
    <col min="26" max="26" width="9.6640625" customWidth="1"/>
    <col min="27" max="27" width="7.5546875" customWidth="1"/>
    <col min="28" max="28" width="7.88671875" customWidth="1"/>
    <col min="29" max="29" width="10" customWidth="1"/>
    <col min="30" max="30" width="10.88671875" customWidth="1"/>
    <col min="31" max="31" width="10" customWidth="1"/>
    <col min="32" max="32" width="10.6640625" customWidth="1"/>
    <col min="33" max="33" width="11.88671875" customWidth="1"/>
    <col min="34" max="35" width="11.5546875" customWidth="1"/>
    <col min="36" max="36" width="8.6640625" customWidth="1"/>
    <col min="37" max="37" width="11.5546875" bestFit="1" customWidth="1"/>
    <col min="38" max="38" width="9.6640625" customWidth="1"/>
    <col min="43" max="43" width="9.88671875" bestFit="1" customWidth="1"/>
    <col min="45" max="45" width="13.109375" bestFit="1" customWidth="1"/>
    <col min="46" max="46" width="12" bestFit="1" customWidth="1"/>
    <col min="47" max="47" width="10.44140625" bestFit="1" customWidth="1"/>
    <col min="48" max="48" width="10.33203125" customWidth="1"/>
    <col min="49" max="49" width="9.33203125" bestFit="1" customWidth="1"/>
    <col min="50" max="50" width="10.33203125" bestFit="1" customWidth="1"/>
  </cols>
  <sheetData>
    <row r="1" spans="1:50" ht="86.4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115</v>
      </c>
      <c r="O1" s="4" t="s">
        <v>25</v>
      </c>
      <c r="P1" s="4" t="s">
        <v>136</v>
      </c>
      <c r="Q1" s="4" t="s">
        <v>26</v>
      </c>
      <c r="R1" s="4" t="s">
        <v>100</v>
      </c>
      <c r="S1" s="4" t="s">
        <v>7</v>
      </c>
      <c r="T1" s="4" t="str">
        <f t="shared" ref="T1:T15" si="0">J1</f>
        <v>Charger Pwr, W</v>
      </c>
      <c r="U1" s="4" t="s">
        <v>172</v>
      </c>
      <c r="V1" s="4" t="s">
        <v>137</v>
      </c>
      <c r="W1" s="4" t="s">
        <v>150</v>
      </c>
      <c r="X1" s="4" t="s">
        <v>46</v>
      </c>
      <c r="Y1" s="4" t="s">
        <v>158</v>
      </c>
      <c r="Z1" s="4" t="s">
        <v>160</v>
      </c>
      <c r="AA1" s="4" t="s">
        <v>173</v>
      </c>
      <c r="AB1" s="4" t="s">
        <v>166</v>
      </c>
      <c r="AC1" s="4" t="s">
        <v>167</v>
      </c>
      <c r="AD1" s="4" t="s">
        <v>168</v>
      </c>
      <c r="AE1" s="4" t="s">
        <v>171</v>
      </c>
      <c r="AF1" s="4" t="s">
        <v>174</v>
      </c>
      <c r="AG1" s="4" t="s">
        <v>66</v>
      </c>
      <c r="AH1" s="4" t="s">
        <v>63</v>
      </c>
      <c r="AI1" s="4" t="s">
        <v>67</v>
      </c>
      <c r="AJ1" s="4" t="s">
        <v>64</v>
      </c>
      <c r="AK1" s="4" t="s">
        <v>107</v>
      </c>
      <c r="AL1" s="4" t="s">
        <v>108</v>
      </c>
      <c r="AM1" s="4" t="s">
        <v>101</v>
      </c>
      <c r="AN1" s="4" t="s">
        <v>102</v>
      </c>
      <c r="AO1" s="4" t="s">
        <v>85</v>
      </c>
      <c r="AP1" s="4" t="s">
        <v>138</v>
      </c>
      <c r="AQ1" s="4" t="s">
        <v>84</v>
      </c>
      <c r="AR1" s="4" t="s">
        <v>81</v>
      </c>
      <c r="AS1" s="4" t="s">
        <v>104</v>
      </c>
      <c r="AT1" s="4" t="s">
        <v>139</v>
      </c>
      <c r="AU1" s="4" t="s">
        <v>105</v>
      </c>
      <c r="AV1" s="4" t="s">
        <v>187</v>
      </c>
      <c r="AW1" s="4" t="s">
        <v>82</v>
      </c>
      <c r="AX1" s="4" t="s">
        <v>83</v>
      </c>
    </row>
    <row r="2" spans="1:50" x14ac:dyDescent="0.3">
      <c r="B2" s="113">
        <f t="shared" ref="B2:B7" si="1"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5" si="2">C2</f>
        <v>1E-3</v>
      </c>
      <c r="L2" s="1">
        <f t="shared" ref="L2:L7" si="3">LN(K2)</f>
        <v>-6.9077552789821368</v>
      </c>
      <c r="M2" s="3"/>
      <c r="N2" s="4"/>
      <c r="O2" s="4">
        <v>0</v>
      </c>
      <c r="P2" s="4">
        <v>0</v>
      </c>
      <c r="Q2" s="3">
        <f t="shared" ref="Q2:Q15" si="4">O2/$X$40*100</f>
        <v>0</v>
      </c>
      <c r="R2" s="3">
        <f t="shared" ref="R2:R15" si="5">P2/$X$40*100</f>
        <v>0</v>
      </c>
      <c r="S2" s="3">
        <f t="shared" ref="S2:S15" si="6">K2</f>
        <v>1E-3</v>
      </c>
      <c r="T2" s="4">
        <f t="shared" si="0"/>
        <v>0</v>
      </c>
      <c r="U2" s="4"/>
      <c r="AC2" s="4"/>
      <c r="AD2" s="4"/>
      <c r="AE2" s="4"/>
      <c r="AG2" s="95">
        <f t="shared" ref="AG2:AG10" si="7">C2/$AE$27*$AE$22</f>
        <v>2.7777777777777779E-5</v>
      </c>
      <c r="AH2" s="95">
        <f t="shared" ref="AH2:AH10" si="8">AG2/$AE$22*$AE$27</f>
        <v>1E-3</v>
      </c>
      <c r="AI2" s="96">
        <f t="shared" ref="AI2:AI15" si="9">MAX(($AE$30+$AF$30*LN($AH2)),0)</f>
        <v>0</v>
      </c>
      <c r="AJ2" s="96">
        <f>MAX(($AE$30+$AF$30*LN($AH2))/$AE$26,0)</f>
        <v>0</v>
      </c>
      <c r="AK2" s="96">
        <f t="shared" ref="AK2:AK15" si="10">($AE$31+$AF$31*AJ2*$AE$26)/$AE$26</f>
        <v>-18.379858705839208</v>
      </c>
      <c r="AL2" s="96">
        <f t="shared" ref="AL2:AL15" si="11">($AE$32+$AF$32*AK2*$AE$26)/$AE$26</f>
        <v>7.9564345991660124E-2</v>
      </c>
      <c r="AN2">
        <f t="shared" ref="AN2:AN15" si="12">MAX($AE$31+$AF$31*AI2, 0)</f>
        <v>0</v>
      </c>
      <c r="AO2" s="127"/>
      <c r="AP2" s="127"/>
      <c r="AS2" s="127"/>
      <c r="AU2" s="127"/>
    </row>
    <row r="3" spans="1:50" x14ac:dyDescent="0.3">
      <c r="B3" s="113">
        <f t="shared" si="1"/>
        <v>1.0408972290491105</v>
      </c>
      <c r="C3" s="111">
        <f>EXP((0-$AE$30)/$AF$30)</f>
        <v>7.361501228839896</v>
      </c>
      <c r="D3" s="109"/>
      <c r="E3" s="109">
        <v>13.82</v>
      </c>
      <c r="F3" s="109">
        <v>0.32200000000000001</v>
      </c>
      <c r="G3" s="149">
        <v>1.0000000000000001E+32</v>
      </c>
      <c r="H3" s="105">
        <v>1.0000000000000001E+32</v>
      </c>
      <c r="I3" s="115">
        <v>0</v>
      </c>
      <c r="J3" s="2">
        <f t="shared" ref="J3:J8" si="13">E3*F3</f>
        <v>4.4500400000000004</v>
      </c>
      <c r="K3" s="1">
        <f>C3</f>
        <v>7.361501228839896</v>
      </c>
      <c r="L3" s="1">
        <f t="shared" si="3"/>
        <v>1.9962638832512341</v>
      </c>
      <c r="M3" s="3">
        <f t="shared" ref="M3:N7" si="14">1/G3/0.000001</f>
        <v>9.999999999999999E-27</v>
      </c>
      <c r="N3" s="3">
        <f t="shared" si="14"/>
        <v>9.999999999999999E-27</v>
      </c>
      <c r="O3" s="3">
        <f t="shared" ref="O3:O15" si="15">M3*60/$X$29</f>
        <v>5.9999999999999995E-25</v>
      </c>
      <c r="P3" s="4">
        <v>0</v>
      </c>
      <c r="Q3" s="3">
        <f t="shared" si="4"/>
        <v>1.3020833333333332E-27</v>
      </c>
      <c r="R3" s="3">
        <f t="shared" si="5"/>
        <v>0</v>
      </c>
      <c r="S3" s="3">
        <f t="shared" si="6"/>
        <v>7.361501228839896</v>
      </c>
      <c r="T3" s="4">
        <f t="shared" si="0"/>
        <v>4.4500400000000004</v>
      </c>
      <c r="U3">
        <f>($T3-$T$3)</f>
        <v>0</v>
      </c>
      <c r="V3">
        <f>($T3-$T$3)*0.001341022</f>
        <v>0</v>
      </c>
      <c r="W3" s="127">
        <v>0</v>
      </c>
      <c r="X3" s="127">
        <v>0</v>
      </c>
      <c r="Y3" s="95">
        <f t="shared" ref="Y3:Y14" si="16">$Y$15*(O3/$O$15)^3</f>
        <v>1.0085009471365632E-86</v>
      </c>
      <c r="Z3" s="127">
        <f t="shared" ref="Z3:Z13" si="17">SQRT(Y3^3/4/$X$42/$X$43)</f>
        <v>9.9336577480632889E-129</v>
      </c>
      <c r="AB3">
        <f t="shared" ref="AB3:AB15" si="18">SQRT(Y3/$X$43/$X$42)</f>
        <v>1.9699848128587132E-42</v>
      </c>
      <c r="AC3" s="4">
        <f t="shared" ref="AC3:AC14" si="19">AB3*1/1.6/1000*3600</f>
        <v>4.4324658289321046E-42</v>
      </c>
      <c r="AD3" s="4">
        <f t="shared" ref="AD3:AD15" si="20">P3/60*PI()*$AA$43/1000</f>
        <v>0</v>
      </c>
      <c r="AE3" s="162">
        <f>AD3/AB3</f>
        <v>0</v>
      </c>
      <c r="AG3" s="95">
        <f t="shared" si="7"/>
        <v>0.20448614524555267</v>
      </c>
      <c r="AH3" s="95">
        <f t="shared" si="8"/>
        <v>7.361501228839896</v>
      </c>
      <c r="AI3" s="96">
        <f t="shared" si="9"/>
        <v>0</v>
      </c>
      <c r="AJ3" s="96">
        <f t="shared" ref="AJ3:AJ15" si="21">MAX(($AE$30+$AF$30*LN(AH3))/$AE$26,0)</f>
        <v>0</v>
      </c>
      <c r="AK3" s="96">
        <f t="shared" si="10"/>
        <v>-18.379858705839208</v>
      </c>
      <c r="AL3" s="96">
        <f t="shared" si="11"/>
        <v>7.9564345991660124E-2</v>
      </c>
      <c r="AN3">
        <f t="shared" si="12"/>
        <v>0</v>
      </c>
      <c r="AO3" s="127"/>
      <c r="AP3" s="127"/>
      <c r="AQ3" s="127"/>
      <c r="AS3" s="127"/>
      <c r="AU3" s="127"/>
    </row>
    <row r="4" spans="1:50" ht="15" customHeight="1" x14ac:dyDescent="0.3">
      <c r="B4" s="113">
        <f t="shared" si="1"/>
        <v>1.05</v>
      </c>
      <c r="C4" s="73">
        <v>9</v>
      </c>
      <c r="D4" s="109"/>
      <c r="E4" s="73">
        <v>13.69</v>
      </c>
      <c r="F4" s="106">
        <v>0.56000000000000005</v>
      </c>
      <c r="G4" s="73">
        <v>7880</v>
      </c>
      <c r="H4" s="105">
        <v>1.0000000000000001E+32</v>
      </c>
      <c r="I4" s="78">
        <v>0</v>
      </c>
      <c r="J4" s="2">
        <f t="shared" si="13"/>
        <v>7.6664000000000003</v>
      </c>
      <c r="K4" s="1">
        <f>C4</f>
        <v>9</v>
      </c>
      <c r="L4" s="1">
        <f t="shared" si="3"/>
        <v>2.1972245773362196</v>
      </c>
      <c r="M4" s="3">
        <f t="shared" si="14"/>
        <v>126.9035532994924</v>
      </c>
      <c r="N4" s="3">
        <f t="shared" si="14"/>
        <v>9.999999999999999E-27</v>
      </c>
      <c r="O4" s="3">
        <f t="shared" si="15"/>
        <v>7614.2131979695441</v>
      </c>
      <c r="P4" s="3">
        <f t="shared" ref="P4:P15" si="22">N4*60/$X$29</f>
        <v>5.9999999999999995E-25</v>
      </c>
      <c r="Q4" s="3">
        <f t="shared" si="4"/>
        <v>16.52390016920474</v>
      </c>
      <c r="R4" s="3">
        <f t="shared" si="5"/>
        <v>1.3020833333333332E-27</v>
      </c>
      <c r="S4" s="3">
        <f>K4</f>
        <v>9</v>
      </c>
      <c r="T4" s="4">
        <f>J4</f>
        <v>7.6664000000000003</v>
      </c>
      <c r="U4">
        <f t="shared" ref="U4:U15" si="23">($T4-$T$3)</f>
        <v>3.2163599999999999</v>
      </c>
      <c r="V4">
        <f t="shared" ref="V4:V15" si="24">($T4-$T$3)*0.001341022</f>
        <v>4.3132095199200004E-3</v>
      </c>
      <c r="W4" s="152">
        <f>$V4/$O4*5252</f>
        <v>2.9750909003520725E-3</v>
      </c>
      <c r="X4" s="152">
        <f>W4-$W$4</f>
        <v>0</v>
      </c>
      <c r="Y4" s="147">
        <f t="shared" si="16"/>
        <v>2.0610933304377455E-2</v>
      </c>
      <c r="Z4" s="127">
        <f t="shared" si="17"/>
        <v>2.9022927311282597E-2</v>
      </c>
      <c r="AA4" s="97">
        <f>Z4/U4*100</f>
        <v>0.90235319775406353</v>
      </c>
      <c r="AB4">
        <f t="shared" si="18"/>
        <v>2.8162652202769061</v>
      </c>
      <c r="AC4" s="4">
        <f t="shared" si="19"/>
        <v>6.3365967456230381</v>
      </c>
      <c r="AD4" s="4">
        <f t="shared" si="20"/>
        <v>1.7278759594743859E-27</v>
      </c>
      <c r="AE4" s="162">
        <f t="shared" ref="AE4:AE15" si="25">AD4/AB4</f>
        <v>6.1353453042483493E-28</v>
      </c>
      <c r="AG4" s="95">
        <f t="shared" si="7"/>
        <v>0.25</v>
      </c>
      <c r="AH4" s="95">
        <f t="shared" si="8"/>
        <v>9</v>
      </c>
      <c r="AI4" s="96">
        <f t="shared" si="9"/>
        <v>2851.6343524568838</v>
      </c>
      <c r="AJ4" s="96">
        <f t="shared" si="21"/>
        <v>6.1884426051581674</v>
      </c>
      <c r="AK4" s="96">
        <f t="shared" si="10"/>
        <v>-12.342682530228062</v>
      </c>
      <c r="AL4" s="96">
        <f t="shared" si="11"/>
        <v>6.2588081558872348</v>
      </c>
      <c r="AN4">
        <f t="shared" si="12"/>
        <v>0</v>
      </c>
      <c r="AO4" s="127">
        <f t="shared" ref="AO4:AO15" si="26">MAX($AE$33+$AI4*($AF$33+$AI4*$AG$33), 0)</f>
        <v>2.8885232311502262E-4</v>
      </c>
      <c r="AP4" s="127">
        <f>AI4*AO4/5252</f>
        <v>1.568357211313355E-4</v>
      </c>
      <c r="AQ4" s="146">
        <f t="shared" ref="AQ4:AQ15" si="27">MAX($AF$33+$AG$33*2*AI4,1E-32)</f>
        <v>1.0000000000000001E-32</v>
      </c>
      <c r="AR4" s="95"/>
      <c r="AS4" s="127"/>
      <c r="AV4" s="95"/>
      <c r="AW4" s="128">
        <f t="shared" ref="AW4:AW15" si="28">$X$33/$X$32</f>
        <v>1.0526315789473683E-4</v>
      </c>
      <c r="AX4" s="96"/>
    </row>
    <row r="5" spans="1:50" ht="15" customHeight="1" x14ac:dyDescent="0.3">
      <c r="B5" s="113">
        <f t="shared" si="1"/>
        <v>1.0555555555555556</v>
      </c>
      <c r="C5" s="73">
        <v>10</v>
      </c>
      <c r="D5" s="109"/>
      <c r="E5" s="73">
        <v>13.68</v>
      </c>
      <c r="F5" s="106">
        <v>0.60799999999999998</v>
      </c>
      <c r="G5" s="73">
        <v>7280</v>
      </c>
      <c r="H5" s="105">
        <v>1.0000000000000001E+32</v>
      </c>
      <c r="I5" s="78">
        <v>0</v>
      </c>
      <c r="J5" s="2">
        <f t="shared" si="13"/>
        <v>8.3174399999999995</v>
      </c>
      <c r="K5" s="1">
        <f>C5</f>
        <v>10</v>
      </c>
      <c r="L5" s="1">
        <f t="shared" si="3"/>
        <v>2.3025850929940459</v>
      </c>
      <c r="M5" s="3">
        <f t="shared" si="14"/>
        <v>137.36263736263737</v>
      </c>
      <c r="N5" s="3">
        <f t="shared" si="14"/>
        <v>9.999999999999999E-27</v>
      </c>
      <c r="O5" s="3">
        <f t="shared" si="15"/>
        <v>8241.7582417582416</v>
      </c>
      <c r="P5" s="3">
        <f t="shared" si="22"/>
        <v>5.9999999999999995E-25</v>
      </c>
      <c r="Q5" s="3">
        <f t="shared" si="4"/>
        <v>17.885760073260073</v>
      </c>
      <c r="R5" s="3">
        <f t="shared" si="5"/>
        <v>1.3020833333333332E-27</v>
      </c>
      <c r="S5" s="3">
        <f>K5</f>
        <v>10</v>
      </c>
      <c r="T5" s="4">
        <f>J5</f>
        <v>8.3174399999999995</v>
      </c>
      <c r="U5">
        <f t="shared" si="23"/>
        <v>3.8673999999999991</v>
      </c>
      <c r="V5">
        <f t="shared" si="24"/>
        <v>5.1862684827999987E-3</v>
      </c>
      <c r="W5" s="152">
        <f>$V5/$O5*5252</f>
        <v>3.3049115580287588E-3</v>
      </c>
      <c r="X5" s="152">
        <f t="shared" ref="X5:X15" si="29">W5-$W$4</f>
        <v>3.2982065767668631E-4</v>
      </c>
      <c r="Y5" s="147">
        <f t="shared" si="16"/>
        <v>2.6138590953952594E-2</v>
      </c>
      <c r="Z5" s="127">
        <f t="shared" si="17"/>
        <v>4.1449374957952846E-2</v>
      </c>
      <c r="AA5" s="97">
        <f t="shared" ref="AA5:AA15" si="30">Z5/U5*100</f>
        <v>1.0717633282813481</v>
      </c>
      <c r="AB5">
        <f t="shared" si="18"/>
        <v>3.1715079845713725</v>
      </c>
      <c r="AC5" s="4">
        <f t="shared" si="19"/>
        <v>7.1358929652855876</v>
      </c>
      <c r="AD5" s="4">
        <f t="shared" si="20"/>
        <v>1.7278759594743859E-27</v>
      </c>
      <c r="AE5" s="162">
        <f t="shared" si="25"/>
        <v>5.4481211079400998E-28</v>
      </c>
      <c r="AG5" s="95">
        <f t="shared" si="7"/>
        <v>0.27777777777777779</v>
      </c>
      <c r="AH5" s="95">
        <f t="shared" si="8"/>
        <v>10</v>
      </c>
      <c r="AI5" s="96">
        <f t="shared" si="9"/>
        <v>4346.701172416062</v>
      </c>
      <c r="AJ5" s="96">
        <f t="shared" si="21"/>
        <v>9.4329452526390227</v>
      </c>
      <c r="AK5" s="96">
        <f t="shared" si="10"/>
        <v>-9.1774864809422372</v>
      </c>
      <c r="AL5" s="96">
        <f t="shared" si="11"/>
        <v>9.4984880204019451</v>
      </c>
      <c r="AN5">
        <f t="shared" si="12"/>
        <v>0</v>
      </c>
      <c r="AO5" s="127">
        <f t="shared" si="26"/>
        <v>1.9093165395329351E-4</v>
      </c>
      <c r="AP5" s="127">
        <f t="shared" ref="AP5:AP15" si="31">AI5*AO5/5252</f>
        <v>1.5802034350535392E-4</v>
      </c>
      <c r="AQ5" s="146">
        <f t="shared" si="27"/>
        <v>1.0000000000000001E-32</v>
      </c>
      <c r="AR5" s="95"/>
      <c r="AS5" s="127"/>
      <c r="AV5" s="95"/>
      <c r="AW5" s="128">
        <f t="shared" si="28"/>
        <v>1.0526315789473683E-4</v>
      </c>
      <c r="AX5" s="96"/>
    </row>
    <row r="6" spans="1:50" ht="15" customHeight="1" x14ac:dyDescent="0.3">
      <c r="B6" s="113">
        <f t="shared" si="1"/>
        <v>1.0611111111111111</v>
      </c>
      <c r="C6" s="73">
        <v>11</v>
      </c>
      <c r="D6" s="109"/>
      <c r="E6" s="73">
        <v>13.65</v>
      </c>
      <c r="F6" s="106">
        <v>0.66400000000000003</v>
      </c>
      <c r="G6" s="73">
        <v>6600</v>
      </c>
      <c r="H6" s="105">
        <v>1.0000000000000001E+32</v>
      </c>
      <c r="I6" s="78">
        <v>0</v>
      </c>
      <c r="J6" s="2">
        <f t="shared" si="13"/>
        <v>9.063600000000001</v>
      </c>
      <c r="K6" s="1">
        <f>C6</f>
        <v>11</v>
      </c>
      <c r="L6" s="1">
        <f t="shared" si="3"/>
        <v>2.3978952727983707</v>
      </c>
      <c r="M6" s="3">
        <f t="shared" si="14"/>
        <v>151.51515151515153</v>
      </c>
      <c r="N6" s="3">
        <f t="shared" si="14"/>
        <v>9.999999999999999E-27</v>
      </c>
      <c r="O6" s="3">
        <f t="shared" si="15"/>
        <v>9090.9090909090919</v>
      </c>
      <c r="P6" s="3">
        <f t="shared" si="22"/>
        <v>5.9999999999999995E-25</v>
      </c>
      <c r="Q6" s="3">
        <f t="shared" si="4"/>
        <v>19.728535353535356</v>
      </c>
      <c r="R6" s="3">
        <f t="shared" si="5"/>
        <v>1.3020833333333332E-27</v>
      </c>
      <c r="S6" s="3">
        <f>K6</f>
        <v>11</v>
      </c>
      <c r="T6" s="4">
        <f>J6</f>
        <v>9.063600000000001</v>
      </c>
      <c r="U6">
        <f t="shared" si="23"/>
        <v>4.6135600000000005</v>
      </c>
      <c r="V6">
        <f t="shared" si="24"/>
        <v>6.1868854583200013E-3</v>
      </c>
      <c r="W6" s="152">
        <f t="shared" ref="W6:W15" si="32">$V6/$O6*5252</f>
        <v>3.5742874669806306E-3</v>
      </c>
      <c r="X6" s="152">
        <f t="shared" si="29"/>
        <v>5.9919656662855807E-4</v>
      </c>
      <c r="Y6" s="147">
        <f t="shared" si="16"/>
        <v>3.5078781866062975E-2</v>
      </c>
      <c r="Z6" s="127">
        <f t="shared" si="17"/>
        <v>6.4440883029282331E-2</v>
      </c>
      <c r="AA6" s="97">
        <f t="shared" si="30"/>
        <v>1.3967713225639706</v>
      </c>
      <c r="AB6">
        <f t="shared" si="18"/>
        <v>3.6740661791124376</v>
      </c>
      <c r="AC6" s="4">
        <f t="shared" si="19"/>
        <v>8.2666489030029844</v>
      </c>
      <c r="AD6" s="4">
        <f t="shared" si="20"/>
        <v>1.7278759594743859E-27</v>
      </c>
      <c r="AE6" s="162">
        <f t="shared" si="25"/>
        <v>4.7028983018803367E-28</v>
      </c>
      <c r="AG6" s="95">
        <f t="shared" si="7"/>
        <v>0.30555555555555552</v>
      </c>
      <c r="AH6" s="95">
        <f t="shared" si="8"/>
        <v>10.999999999999998</v>
      </c>
      <c r="AI6" s="96">
        <f t="shared" si="9"/>
        <v>5699.1536214204207</v>
      </c>
      <c r="AJ6" s="96">
        <f t="shared" si="21"/>
        <v>12.367954907596399</v>
      </c>
      <c r="AK6" s="96">
        <f t="shared" si="10"/>
        <v>-6.3142183705895407</v>
      </c>
      <c r="AL6" s="96">
        <f t="shared" si="11"/>
        <v>12.429134937489346</v>
      </c>
      <c r="AN6">
        <f t="shared" si="12"/>
        <v>0</v>
      </c>
      <c r="AO6" s="127">
        <f t="shared" si="26"/>
        <v>1.7100500229004468E-4</v>
      </c>
      <c r="AP6" s="127">
        <f t="shared" si="31"/>
        <v>1.8556431418170516E-4</v>
      </c>
      <c r="AQ6" s="146">
        <f t="shared" si="27"/>
        <v>9.3761701698468599E-9</v>
      </c>
      <c r="AR6" s="95">
        <f>$X$36/AQ6</f>
        <v>3.9916956312459519</v>
      </c>
      <c r="AS6" s="127"/>
      <c r="AV6" s="95"/>
      <c r="AW6" s="128">
        <f t="shared" si="28"/>
        <v>1.0526315789473683E-4</v>
      </c>
      <c r="AX6" s="96">
        <f t="shared" ref="AX6:AX15" si="33">$X$35/$X$32/$X$30/AQ6</f>
        <v>7755.1208650508042</v>
      </c>
    </row>
    <row r="7" spans="1:50" ht="15" customHeight="1" x14ac:dyDescent="0.3">
      <c r="B7" s="113">
        <f t="shared" si="1"/>
        <v>1.0666666666666667</v>
      </c>
      <c r="C7" s="73">
        <v>12</v>
      </c>
      <c r="D7" s="109"/>
      <c r="E7" s="73">
        <v>13.68</v>
      </c>
      <c r="F7" s="106">
        <v>0.68600000000000005</v>
      </c>
      <c r="G7" s="73">
        <v>6200</v>
      </c>
      <c r="H7" s="105">
        <v>1.0000000000000001E+32</v>
      </c>
      <c r="I7" s="78">
        <v>0</v>
      </c>
      <c r="J7" s="2">
        <f t="shared" si="13"/>
        <v>9.3844799999999999</v>
      </c>
      <c r="K7" s="1">
        <f>C7</f>
        <v>12</v>
      </c>
      <c r="L7" s="1">
        <f t="shared" si="3"/>
        <v>2.4849066497880004</v>
      </c>
      <c r="M7" s="3">
        <f t="shared" si="14"/>
        <v>161.29032258064518</v>
      </c>
      <c r="N7" s="3">
        <f t="shared" si="14"/>
        <v>9.999999999999999E-27</v>
      </c>
      <c r="O7" s="3">
        <f t="shared" si="15"/>
        <v>9677.4193548387102</v>
      </c>
      <c r="P7" s="3">
        <f t="shared" si="22"/>
        <v>5.9999999999999995E-25</v>
      </c>
      <c r="Q7" s="3">
        <f t="shared" si="4"/>
        <v>21.001344086021508</v>
      </c>
      <c r="R7" s="3">
        <f t="shared" si="5"/>
        <v>1.3020833333333332E-27</v>
      </c>
      <c r="S7" s="3">
        <f>K7</f>
        <v>12</v>
      </c>
      <c r="T7" s="4">
        <f>J7</f>
        <v>9.3844799999999999</v>
      </c>
      <c r="U7">
        <f t="shared" si="23"/>
        <v>4.9344399999999995</v>
      </c>
      <c r="V7">
        <f t="shared" si="24"/>
        <v>6.6171925976800001E-3</v>
      </c>
      <c r="W7" s="152">
        <f t="shared" si="32"/>
        <v>3.5911945373782541E-3</v>
      </c>
      <c r="X7" s="152">
        <f t="shared" si="29"/>
        <v>6.1610363702618159E-4</v>
      </c>
      <c r="Y7" s="147">
        <f t="shared" si="16"/>
        <v>4.2315671978809193E-2</v>
      </c>
      <c r="Z7" s="127">
        <f t="shared" si="17"/>
        <v>8.5378120501622648E-2</v>
      </c>
      <c r="AA7" s="97">
        <f t="shared" si="30"/>
        <v>1.7302494406988971</v>
      </c>
      <c r="AB7">
        <f t="shared" si="18"/>
        <v>4.0352955067984375</v>
      </c>
      <c r="AC7" s="4">
        <f t="shared" si="19"/>
        <v>9.0794148902964853</v>
      </c>
      <c r="AD7" s="4">
        <f t="shared" si="20"/>
        <v>1.7278759594743859E-27</v>
      </c>
      <c r="AE7" s="162">
        <f t="shared" si="25"/>
        <v>4.281906880334682E-28</v>
      </c>
      <c r="AG7" s="95">
        <f t="shared" si="7"/>
        <v>0.33333333333333331</v>
      </c>
      <c r="AH7" s="95">
        <f t="shared" si="8"/>
        <v>12</v>
      </c>
      <c r="AI7" s="96">
        <f t="shared" si="9"/>
        <v>6933.8459716233592</v>
      </c>
      <c r="AJ7" s="96">
        <f t="shared" si="21"/>
        <v>15.047408792585415</v>
      </c>
      <c r="AK7" s="96">
        <f t="shared" si="10"/>
        <v>-3.700259384426984</v>
      </c>
      <c r="AL7" s="96">
        <f t="shared" si="11"/>
        <v>15.104605954852985</v>
      </c>
      <c r="AN7">
        <f t="shared" si="12"/>
        <v>0</v>
      </c>
      <c r="AO7" s="127">
        <f t="shared" si="26"/>
        <v>2.0975801042066519E-4</v>
      </c>
      <c r="AP7" s="127">
        <f t="shared" si="31"/>
        <v>2.7692873868451255E-4</v>
      </c>
      <c r="AQ7" s="146">
        <f t="shared" si="27"/>
        <v>5.3397375198359203E-8</v>
      </c>
      <c r="AR7" s="95">
        <f>$X$36/AQ7</f>
        <v>0.70091118459969504</v>
      </c>
      <c r="AS7" s="127"/>
      <c r="AV7" s="95"/>
      <c r="AW7" s="128">
        <f t="shared" si="28"/>
        <v>1.0526315789473683E-4</v>
      </c>
      <c r="AX7" s="96">
        <f t="shared" si="33"/>
        <v>1361.7398354943984</v>
      </c>
    </row>
    <row r="8" spans="1:50" ht="15" customHeight="1" x14ac:dyDescent="0.3">
      <c r="A8">
        <v>28</v>
      </c>
      <c r="B8" s="113">
        <f t="shared" ref="B8:B26" si="34">C8/180+1</f>
        <v>1.1388888888888888</v>
      </c>
      <c r="C8" s="140">
        <v>25</v>
      </c>
      <c r="D8" s="141">
        <v>0.61099999999999999</v>
      </c>
      <c r="E8" s="73">
        <v>13.77</v>
      </c>
      <c r="F8" s="106">
        <v>1.48</v>
      </c>
      <c r="G8" s="73">
        <v>3260</v>
      </c>
      <c r="H8" s="140">
        <v>6740</v>
      </c>
      <c r="I8" s="78">
        <v>4.08</v>
      </c>
      <c r="J8" s="2">
        <f t="shared" si="13"/>
        <v>20.3796</v>
      </c>
      <c r="K8" s="1">
        <f t="shared" si="2"/>
        <v>25</v>
      </c>
      <c r="L8" s="1">
        <f t="shared" ref="L8:L15" si="35">LN(K8)</f>
        <v>3.2188758248682006</v>
      </c>
      <c r="M8" s="3">
        <f t="shared" ref="M8:N15" si="36">1/G8/0.000001</f>
        <v>306.74846625766872</v>
      </c>
      <c r="N8" s="3">
        <f t="shared" si="36"/>
        <v>148.36795252225519</v>
      </c>
      <c r="O8" s="3">
        <f t="shared" si="15"/>
        <v>18404.907975460123</v>
      </c>
      <c r="P8" s="3">
        <f t="shared" si="22"/>
        <v>8902.077151335312</v>
      </c>
      <c r="Q8" s="3">
        <f t="shared" si="4"/>
        <v>39.941206543967276</v>
      </c>
      <c r="R8" s="3">
        <f t="shared" si="5"/>
        <v>19.31874381800198</v>
      </c>
      <c r="S8" s="3">
        <f t="shared" si="6"/>
        <v>25</v>
      </c>
      <c r="T8" s="4">
        <f t="shared" si="0"/>
        <v>20.3796</v>
      </c>
      <c r="U8">
        <f t="shared" si="23"/>
        <v>15.929559999999999</v>
      </c>
      <c r="V8">
        <f t="shared" si="24"/>
        <v>2.1361890410319998E-2</v>
      </c>
      <c r="W8" s="152">
        <f t="shared" si="32"/>
        <v>6.0958005649683674E-3</v>
      </c>
      <c r="X8" s="152">
        <f t="shared" si="29"/>
        <v>3.1207096646162949E-3</v>
      </c>
      <c r="Y8" s="147">
        <f t="shared" si="16"/>
        <v>0.29108746918734907</v>
      </c>
      <c r="Z8" s="127">
        <f t="shared" si="17"/>
        <v>1.5403875241038882</v>
      </c>
      <c r="AA8" s="97">
        <f t="shared" si="30"/>
        <v>9.66999417500476</v>
      </c>
      <c r="AB8">
        <f t="shared" si="18"/>
        <v>10.583674580044994</v>
      </c>
      <c r="AC8" s="4">
        <f t="shared" si="19"/>
        <v>23.813267805101237</v>
      </c>
      <c r="AD8" s="4">
        <f t="shared" si="20"/>
        <v>25.636141831964185</v>
      </c>
      <c r="AE8" s="162">
        <f t="shared" si="25"/>
        <v>2.422234512037992</v>
      </c>
      <c r="AF8" s="153"/>
      <c r="AG8" s="95">
        <f t="shared" si="7"/>
        <v>0.69444444444444442</v>
      </c>
      <c r="AH8" s="95">
        <f t="shared" si="8"/>
        <v>25</v>
      </c>
      <c r="AI8" s="96">
        <f t="shared" si="9"/>
        <v>17348.876248230645</v>
      </c>
      <c r="AJ8" s="96">
        <f t="shared" si="21"/>
        <v>37.649471024806083</v>
      </c>
      <c r="AK8" s="96">
        <f t="shared" si="10"/>
        <v>18.349332141930159</v>
      </c>
      <c r="AL8" s="96">
        <f t="shared" si="11"/>
        <v>37.673071407358293</v>
      </c>
      <c r="AM8">
        <f t="shared" ref="AM8:AM15" si="37">AN8/$AE$26</f>
        <v>18.349332141930159</v>
      </c>
      <c r="AN8">
        <f t="shared" si="12"/>
        <v>8455.3722510014177</v>
      </c>
      <c r="AO8" s="127">
        <f t="shared" si="26"/>
        <v>2.6996162202028583E-3</v>
      </c>
      <c r="AP8" s="127">
        <f t="shared" si="31"/>
        <v>8.9176138084568844E-3</v>
      </c>
      <c r="AQ8" s="146">
        <f t="shared" si="27"/>
        <v>4.2473051183708176E-7</v>
      </c>
      <c r="AR8" s="95">
        <f>$X$36/AQ8</f>
        <v>8.8118975354312457E-2</v>
      </c>
      <c r="AS8" s="127">
        <f t="shared" ref="AS8:AS15" si="38">MAX($AE$34+$AN8*($AF$34+$AN8*$AG$34), 0)</f>
        <v>4.3873503556671905E-4</v>
      </c>
      <c r="AT8">
        <f t="shared" ref="AT8:AT15" si="39">AS8*AN8/5252</f>
        <v>7.0633435743963375E-4</v>
      </c>
      <c r="AU8" s="155">
        <f>$AE$39*$AE$38*$AE$43^2*$AE$37*PI()/240*($AB8-$AG$40)/$AE$40</f>
        <v>-1.4269462283436393E-7</v>
      </c>
      <c r="AV8" s="153">
        <f>-$AE$42/AU8</f>
        <v>0.2622861097452871</v>
      </c>
      <c r="AW8" s="128">
        <f t="shared" si="28"/>
        <v>1.0526315789473683E-4</v>
      </c>
      <c r="AX8" s="96">
        <f t="shared" si="33"/>
        <v>171.198750482842</v>
      </c>
    </row>
    <row r="9" spans="1:50" ht="13.95" customHeight="1" x14ac:dyDescent="0.3">
      <c r="B9" s="113">
        <f t="shared" si="34"/>
        <v>1.1944444444444444</v>
      </c>
      <c r="C9" s="73">
        <v>35</v>
      </c>
      <c r="D9" s="73">
        <v>0.98599999999999999</v>
      </c>
      <c r="E9" s="73">
        <v>13.69</v>
      </c>
      <c r="F9" s="73">
        <v>2.19</v>
      </c>
      <c r="G9" s="73">
        <v>2680</v>
      </c>
      <c r="H9" s="73">
        <v>4532</v>
      </c>
      <c r="I9" s="78">
        <v>6.04</v>
      </c>
      <c r="J9" s="2">
        <f t="shared" ref="J9:J15" si="40">E9*F9</f>
        <v>29.981099999999998</v>
      </c>
      <c r="K9" s="1">
        <f t="shared" si="2"/>
        <v>35</v>
      </c>
      <c r="L9" s="1">
        <f t="shared" si="35"/>
        <v>3.5553480614894135</v>
      </c>
      <c r="M9" s="3">
        <f t="shared" si="36"/>
        <v>373.13432835820896</v>
      </c>
      <c r="N9" s="3">
        <f t="shared" si="36"/>
        <v>220.65313327449252</v>
      </c>
      <c r="O9" s="3">
        <f t="shared" si="15"/>
        <v>22388.059701492537</v>
      </c>
      <c r="P9" s="3">
        <f t="shared" si="22"/>
        <v>13239.187996469551</v>
      </c>
      <c r="Q9" s="3">
        <f t="shared" si="4"/>
        <v>48.585199004975124</v>
      </c>
      <c r="R9" s="3">
        <f t="shared" si="5"/>
        <v>28.730876728449545</v>
      </c>
      <c r="S9" s="3">
        <f t="shared" si="6"/>
        <v>35</v>
      </c>
      <c r="T9" s="4">
        <f t="shared" si="0"/>
        <v>29.981099999999998</v>
      </c>
      <c r="U9">
        <f t="shared" si="23"/>
        <v>25.531059999999997</v>
      </c>
      <c r="V9">
        <f t="shared" si="24"/>
        <v>3.4237713143319998E-2</v>
      </c>
      <c r="W9" s="152">
        <f t="shared" si="32"/>
        <v>8.0318023011493427E-3</v>
      </c>
      <c r="X9" s="152">
        <f t="shared" si="29"/>
        <v>5.0567114007972706E-3</v>
      </c>
      <c r="Y9" s="147">
        <f t="shared" si="16"/>
        <v>0.52392838543999121</v>
      </c>
      <c r="Z9" s="127">
        <f t="shared" si="17"/>
        <v>3.7196546488675759</v>
      </c>
      <c r="AA9" s="97">
        <f t="shared" si="30"/>
        <v>14.569135197941552</v>
      </c>
      <c r="AB9">
        <f t="shared" si="18"/>
        <v>14.19909572467175</v>
      </c>
      <c r="AC9" s="4">
        <f t="shared" si="19"/>
        <v>31.947965380511441</v>
      </c>
      <c r="AD9" s="4">
        <f t="shared" si="20"/>
        <v>38.126124436769338</v>
      </c>
      <c r="AE9" s="162">
        <f t="shared" si="25"/>
        <v>2.6851093320346444</v>
      </c>
      <c r="AF9" s="153"/>
      <c r="AG9" s="95">
        <f t="shared" si="7"/>
        <v>0.97222222222222221</v>
      </c>
      <c r="AH9" s="95">
        <f t="shared" si="8"/>
        <v>35</v>
      </c>
      <c r="AI9" s="96">
        <f t="shared" si="9"/>
        <v>22123.420807632323</v>
      </c>
      <c r="AJ9" s="96">
        <f t="shared" si="21"/>
        <v>48.010895849896535</v>
      </c>
      <c r="AK9" s="96">
        <f t="shared" si="10"/>
        <v>28.457488763966602</v>
      </c>
      <c r="AL9" s="96">
        <f t="shared" si="11"/>
        <v>48.019094518047247</v>
      </c>
      <c r="AM9">
        <f t="shared" si="37"/>
        <v>28.457488763966595</v>
      </c>
      <c r="AN9">
        <f t="shared" si="12"/>
        <v>13113.210822435807</v>
      </c>
      <c r="AO9" s="127">
        <f t="shared" si="26"/>
        <v>5.1338954187745353E-3</v>
      </c>
      <c r="AP9" s="127">
        <f t="shared" si="31"/>
        <v>2.1625919408211122E-2</v>
      </c>
      <c r="AQ9" s="146">
        <f t="shared" si="27"/>
        <v>5.9496012809140091E-7</v>
      </c>
      <c r="AR9" s="95">
        <f t="shared" ref="AR9:AR15" si="41">$X$36/AQ9</f>
        <v>6.2906429754981188E-2</v>
      </c>
      <c r="AS9" s="127">
        <f t="shared" si="38"/>
        <v>4.4749381157226293E-4</v>
      </c>
      <c r="AT9">
        <f t="shared" si="39"/>
        <v>1.1173040161619285E-3</v>
      </c>
      <c r="AU9" s="155">
        <f t="shared" ref="AU9:AU15" si="42">$AE$39*$AE$38*$AE$43^2*$AE$37*PI()/240*($AB9-$AG$40)/$AE$40</f>
        <v>-2.4417656242289939E-7</v>
      </c>
      <c r="AV9" s="153">
        <f t="shared" ref="AV9:AV15" si="43">-$AE$42/AU9</f>
        <v>0.15327768207325029</v>
      </c>
      <c r="AW9" s="128">
        <f t="shared" si="28"/>
        <v>1.0526315789473683E-4</v>
      </c>
      <c r="AX9" s="96">
        <f t="shared" si="33"/>
        <v>122.21547207155994</v>
      </c>
    </row>
    <row r="10" spans="1:50" ht="13.95" customHeight="1" x14ac:dyDescent="0.3">
      <c r="B10" s="113">
        <f t="shared" si="34"/>
        <v>1.3</v>
      </c>
      <c r="C10" s="73">
        <v>54</v>
      </c>
      <c r="D10" s="73">
        <v>1.375</v>
      </c>
      <c r="E10" s="73">
        <v>13.62</v>
      </c>
      <c r="F10" s="73">
        <v>3.93</v>
      </c>
      <c r="G10" s="73">
        <v>2150</v>
      </c>
      <c r="H10" s="73">
        <v>3180</v>
      </c>
      <c r="I10" s="78">
        <v>8.24</v>
      </c>
      <c r="J10" s="2">
        <f t="shared" si="40"/>
        <v>53.526600000000002</v>
      </c>
      <c r="K10" s="1">
        <f t="shared" si="2"/>
        <v>54</v>
      </c>
      <c r="L10" s="1">
        <f t="shared" si="35"/>
        <v>3.9889840465642745</v>
      </c>
      <c r="M10" s="3">
        <f t="shared" si="36"/>
        <v>465.11627906976747</v>
      </c>
      <c r="N10" s="3">
        <f t="shared" si="36"/>
        <v>314.46540880503147</v>
      </c>
      <c r="O10" s="3">
        <f t="shared" si="15"/>
        <v>27906.976744186049</v>
      </c>
      <c r="P10" s="3">
        <f t="shared" si="22"/>
        <v>18867.92452830189</v>
      </c>
      <c r="Q10" s="3">
        <f t="shared" si="4"/>
        <v>60.562015503875976</v>
      </c>
      <c r="R10" s="3">
        <f t="shared" si="5"/>
        <v>40.946016771488473</v>
      </c>
      <c r="S10" s="3">
        <f t="shared" si="6"/>
        <v>54</v>
      </c>
      <c r="T10" s="4">
        <f t="shared" si="0"/>
        <v>53.526600000000002</v>
      </c>
      <c r="U10">
        <f t="shared" si="23"/>
        <v>49.076560000000001</v>
      </c>
      <c r="V10">
        <f t="shared" si="24"/>
        <v>6.5812746644320005E-2</v>
      </c>
      <c r="W10" s="152">
        <f t="shared" si="32"/>
        <v>1.2385739542638876E-2</v>
      </c>
      <c r="X10" s="152">
        <f t="shared" si="29"/>
        <v>9.4106486422868042E-3</v>
      </c>
      <c r="Y10" s="147">
        <f t="shared" si="16"/>
        <v>1.014754370947528</v>
      </c>
      <c r="Z10" s="127">
        <f t="shared" si="17"/>
        <v>10.026194451469864</v>
      </c>
      <c r="AA10" s="97">
        <f t="shared" si="30"/>
        <v>20.429700964105603</v>
      </c>
      <c r="AB10">
        <f t="shared" si="18"/>
        <v>19.760830282717372</v>
      </c>
      <c r="AC10" s="4">
        <f t="shared" si="19"/>
        <v>44.461868136114084</v>
      </c>
      <c r="AD10" s="4">
        <f t="shared" si="20"/>
        <v>54.335721996049891</v>
      </c>
      <c r="AE10" s="162">
        <f t="shared" si="25"/>
        <v>2.7496679652965481</v>
      </c>
      <c r="AF10" s="153"/>
      <c r="AG10" s="95">
        <f t="shared" si="7"/>
        <v>1.5</v>
      </c>
      <c r="AH10" s="95">
        <f t="shared" si="8"/>
        <v>54</v>
      </c>
      <c r="AI10" s="96">
        <f t="shared" si="9"/>
        <v>28276.719974572956</v>
      </c>
      <c r="AJ10" s="96">
        <f t="shared" si="21"/>
        <v>61.364409667042004</v>
      </c>
      <c r="AK10" s="96">
        <f t="shared" si="10"/>
        <v>41.484597621753984</v>
      </c>
      <c r="AL10" s="96">
        <f t="shared" si="11"/>
        <v>61.352759037481228</v>
      </c>
      <c r="AM10">
        <f t="shared" si="37"/>
        <v>41.484597621753984</v>
      </c>
      <c r="AN10">
        <f t="shared" si="12"/>
        <v>19116.102584104236</v>
      </c>
      <c r="AO10" s="127">
        <f t="shared" si="26"/>
        <v>9.4698404838995734E-3</v>
      </c>
      <c r="AP10" s="127">
        <f t="shared" si="31"/>
        <v>5.0985534571040117E-2</v>
      </c>
      <c r="AQ10" s="146">
        <f t="shared" si="27"/>
        <v>8.1434728488810894E-7</v>
      </c>
      <c r="AR10" s="95">
        <f t="shared" si="41"/>
        <v>4.5959283219000058E-2</v>
      </c>
      <c r="AS10" s="127">
        <f t="shared" si="38"/>
        <v>1.3755224878909979E-3</v>
      </c>
      <c r="AT10">
        <f t="shared" si="39"/>
        <v>5.0065934853896783E-3</v>
      </c>
      <c r="AU10" s="155">
        <f t="shared" si="42"/>
        <v>-4.002899411549707E-7</v>
      </c>
      <c r="AV10" s="153">
        <f t="shared" si="43"/>
        <v>9.3499270545763416E-2</v>
      </c>
      <c r="AW10" s="128">
        <f t="shared" si="28"/>
        <v>1.0526315789473683E-4</v>
      </c>
      <c r="AX10" s="96">
        <f t="shared" si="33"/>
        <v>89.290324002783549</v>
      </c>
    </row>
    <row r="11" spans="1:50" ht="13.95" customHeight="1" x14ac:dyDescent="0.3">
      <c r="A11">
        <v>64</v>
      </c>
      <c r="B11" s="113">
        <f t="shared" si="34"/>
        <v>1.3555555555555556</v>
      </c>
      <c r="C11" s="140">
        <v>64</v>
      </c>
      <c r="D11" s="140">
        <v>1.41</v>
      </c>
      <c r="E11" s="73">
        <v>13.54</v>
      </c>
      <c r="F11" s="140">
        <v>4.6100000000000003</v>
      </c>
      <c r="G11" s="73">
        <v>2020</v>
      </c>
      <c r="H11" s="140">
        <v>2870</v>
      </c>
      <c r="I11" s="78">
        <v>9</v>
      </c>
      <c r="J11" s="2">
        <f t="shared" si="40"/>
        <v>62.419400000000003</v>
      </c>
      <c r="K11" s="1">
        <f t="shared" si="2"/>
        <v>64</v>
      </c>
      <c r="L11" s="1">
        <f t="shared" si="35"/>
        <v>4.1588830833596715</v>
      </c>
      <c r="M11" s="3">
        <f t="shared" si="36"/>
        <v>495.04950495049508</v>
      </c>
      <c r="N11" s="3">
        <f t="shared" si="36"/>
        <v>348.43205574912895</v>
      </c>
      <c r="O11" s="3">
        <f t="shared" si="15"/>
        <v>29702.970297029704</v>
      </c>
      <c r="P11" s="3">
        <f t="shared" si="22"/>
        <v>20905.923344947736</v>
      </c>
      <c r="Q11" s="3">
        <f t="shared" si="4"/>
        <v>64.459570957095707</v>
      </c>
      <c r="R11" s="3">
        <f t="shared" si="5"/>
        <v>45.368757259001164</v>
      </c>
      <c r="S11" s="3">
        <f t="shared" si="6"/>
        <v>64</v>
      </c>
      <c r="T11" s="4">
        <f t="shared" si="0"/>
        <v>62.419400000000003</v>
      </c>
      <c r="U11">
        <f t="shared" si="23"/>
        <v>57.969360000000002</v>
      </c>
      <c r="V11">
        <f t="shared" si="24"/>
        <v>7.7738187085920007E-2</v>
      </c>
      <c r="W11" s="152">
        <f t="shared" si="32"/>
        <v>1.3745458938700147E-2</v>
      </c>
      <c r="X11" s="152">
        <f t="shared" si="29"/>
        <v>1.0770368038348075E-2</v>
      </c>
      <c r="Y11" s="147">
        <f t="shared" si="16"/>
        <v>1.2235513543330587</v>
      </c>
      <c r="Z11" s="127">
        <f t="shared" si="17"/>
        <v>13.274801334673292</v>
      </c>
      <c r="AA11" s="97">
        <f t="shared" si="30"/>
        <v>22.899685859345851</v>
      </c>
      <c r="AB11">
        <f t="shared" si="18"/>
        <v>21.698805346685603</v>
      </c>
      <c r="AC11" s="4">
        <f t="shared" si="19"/>
        <v>48.82231203004261</v>
      </c>
      <c r="AD11" s="4">
        <f t="shared" si="20"/>
        <v>60.204737263915909</v>
      </c>
      <c r="AE11" s="162">
        <f t="shared" si="25"/>
        <v>2.7745646039961329</v>
      </c>
      <c r="AF11" s="153"/>
      <c r="AG11" s="95"/>
      <c r="AH11" s="153">
        <v>70.201599999999999</v>
      </c>
      <c r="AI11" s="154">
        <f t="shared" si="9"/>
        <v>31999.995048805355</v>
      </c>
      <c r="AJ11" s="154">
        <f t="shared" si="21"/>
        <v>69.444433699664401</v>
      </c>
      <c r="AK11" s="154">
        <f t="shared" si="10"/>
        <v>49.367118588734293</v>
      </c>
      <c r="AL11" s="154">
        <f t="shared" si="11"/>
        <v>69.420772538288901</v>
      </c>
      <c r="AM11" s="5">
        <f t="shared" si="37"/>
        <v>49.367118588734272</v>
      </c>
      <c r="AN11" s="5">
        <f t="shared" si="12"/>
        <v>22748.368245688755</v>
      </c>
      <c r="AO11" s="152">
        <f t="shared" si="26"/>
        <v>1.2749008265139302E-2</v>
      </c>
      <c r="AP11" s="152">
        <f t="shared" si="31"/>
        <v>7.7678636969085335E-2</v>
      </c>
      <c r="AQ11" s="155">
        <f t="shared" si="27"/>
        <v>9.4709537828432563E-7</v>
      </c>
      <c r="AR11" s="153">
        <f t="shared" si="41"/>
        <v>3.9517474546856564E-2</v>
      </c>
      <c r="AS11" s="152">
        <f t="shared" si="38"/>
        <v>2.438403168041258E-3</v>
      </c>
      <c r="AT11" s="5">
        <f t="shared" si="39"/>
        <v>1.056163236825145E-2</v>
      </c>
      <c r="AU11" s="155">
        <f t="shared" si="42"/>
        <v>-4.5468732959144716E-7</v>
      </c>
      <c r="AV11" s="153">
        <f t="shared" si="43"/>
        <v>8.2313306461443872E-2</v>
      </c>
      <c r="AW11" s="156">
        <f t="shared" si="28"/>
        <v>1.0526315789473683E-4</v>
      </c>
      <c r="AX11" s="154">
        <f t="shared" si="33"/>
        <v>76.775090012758156</v>
      </c>
    </row>
    <row r="12" spans="1:50" ht="13.95" customHeight="1" x14ac:dyDescent="0.3">
      <c r="B12" s="113">
        <f t="shared" si="34"/>
        <v>1.4944444444444445</v>
      </c>
      <c r="C12" s="73">
        <v>89</v>
      </c>
      <c r="D12" s="73">
        <v>1.81</v>
      </c>
      <c r="E12" s="73">
        <v>13.45</v>
      </c>
      <c r="F12" s="73">
        <v>6.61</v>
      </c>
      <c r="G12" s="73">
        <v>1770</v>
      </c>
      <c r="H12" s="73">
        <v>2400</v>
      </c>
      <c r="I12" s="78">
        <v>10.8</v>
      </c>
      <c r="J12" s="2">
        <f t="shared" si="40"/>
        <v>88.904499999999999</v>
      </c>
      <c r="K12" s="1">
        <f t="shared" si="2"/>
        <v>89</v>
      </c>
      <c r="L12" s="1">
        <f t="shared" si="35"/>
        <v>4.4886363697321396</v>
      </c>
      <c r="M12" s="3">
        <f t="shared" si="36"/>
        <v>564.9717514124294</v>
      </c>
      <c r="N12" s="3">
        <f t="shared" si="36"/>
        <v>416.66666666666669</v>
      </c>
      <c r="O12" s="3">
        <f t="shared" si="15"/>
        <v>33898.305084745763</v>
      </c>
      <c r="P12" s="3">
        <f t="shared" si="22"/>
        <v>25000</v>
      </c>
      <c r="Q12" s="3">
        <f t="shared" si="4"/>
        <v>73.56403013182674</v>
      </c>
      <c r="R12" s="3">
        <f t="shared" si="5"/>
        <v>54.253472222222221</v>
      </c>
      <c r="S12" s="3">
        <f t="shared" si="6"/>
        <v>89</v>
      </c>
      <c r="T12" s="4">
        <f t="shared" si="0"/>
        <v>88.904499999999999</v>
      </c>
      <c r="U12">
        <f t="shared" si="23"/>
        <v>84.454459999999997</v>
      </c>
      <c r="V12">
        <f t="shared" si="24"/>
        <v>0.11325528885812</v>
      </c>
      <c r="W12" s="152">
        <f t="shared" si="32"/>
        <v>1.7547094923943962E-2</v>
      </c>
      <c r="X12" s="152">
        <f t="shared" si="29"/>
        <v>1.457200402359189E-2</v>
      </c>
      <c r="Y12" s="147">
        <f t="shared" si="16"/>
        <v>1.8186809231218306</v>
      </c>
      <c r="Z12" s="127">
        <f t="shared" si="17"/>
        <v>24.056336730546136</v>
      </c>
      <c r="AA12" s="97">
        <f t="shared" si="30"/>
        <v>28.484388782482462</v>
      </c>
      <c r="AB12">
        <f t="shared" si="18"/>
        <v>26.454708381998728</v>
      </c>
      <c r="AC12" s="4">
        <f t="shared" si="19"/>
        <v>59.523093859497131</v>
      </c>
      <c r="AD12" s="4">
        <f t="shared" si="20"/>
        <v>71.994831644766094</v>
      </c>
      <c r="AE12" s="162">
        <f t="shared" si="25"/>
        <v>2.7214373564501444</v>
      </c>
      <c r="AF12" s="153"/>
      <c r="AG12" s="95">
        <f>C12/$AE$27*$AE$22</f>
        <v>2.4722222222222223</v>
      </c>
      <c r="AH12" s="95">
        <f>AG12/$AE$22*$AE$27</f>
        <v>89</v>
      </c>
      <c r="AI12" s="96">
        <f t="shared" si="9"/>
        <v>35366.791670025093</v>
      </c>
      <c r="AJ12" s="96">
        <f t="shared" si="21"/>
        <v>76.75084997835306</v>
      </c>
      <c r="AK12" s="96">
        <f t="shared" si="10"/>
        <v>56.494941386998597</v>
      </c>
      <c r="AL12" s="96">
        <f t="shared" si="11"/>
        <v>76.716328212502532</v>
      </c>
      <c r="AM12">
        <f t="shared" si="37"/>
        <v>56.494941386998597</v>
      </c>
      <c r="AN12">
        <f t="shared" si="12"/>
        <v>26032.868991128955</v>
      </c>
      <c r="AO12" s="127">
        <f t="shared" si="26"/>
        <v>1.6139758156510163E-2</v>
      </c>
      <c r="AP12" s="127">
        <f t="shared" si="31"/>
        <v>0.10868458955176756</v>
      </c>
      <c r="AQ12" s="146">
        <f t="shared" si="27"/>
        <v>1.0671337379029437E-6</v>
      </c>
      <c r="AR12" s="95">
        <f t="shared" si="41"/>
        <v>3.5072283984146989E-2</v>
      </c>
      <c r="AS12" s="127">
        <f t="shared" si="38"/>
        <v>3.7249606052333559E-3</v>
      </c>
      <c r="AT12">
        <f t="shared" si="39"/>
        <v>1.8463711240128786E-2</v>
      </c>
      <c r="AU12" s="155">
        <f t="shared" si="42"/>
        <v>-5.8818167097291436E-7</v>
      </c>
      <c r="AV12" s="153">
        <f t="shared" si="43"/>
        <v>6.3631390354086409E-2</v>
      </c>
      <c r="AW12" s="128">
        <f t="shared" si="28"/>
        <v>1.0526315789473683E-4</v>
      </c>
      <c r="AX12" s="96">
        <f t="shared" si="33"/>
        <v>68.138912992609036</v>
      </c>
    </row>
    <row r="13" spans="1:50" ht="13.95" customHeight="1" x14ac:dyDescent="0.3">
      <c r="B13" s="113">
        <f t="shared" si="34"/>
        <v>1.6944444444444444</v>
      </c>
      <c r="C13" s="73">
        <v>125</v>
      </c>
      <c r="D13" s="73">
        <v>2.16</v>
      </c>
      <c r="E13" s="73">
        <v>13.2</v>
      </c>
      <c r="F13" s="73">
        <v>10.3</v>
      </c>
      <c r="G13" s="73">
        <v>1520</v>
      </c>
      <c r="H13" s="73">
        <v>2000</v>
      </c>
      <c r="I13" s="78">
        <v>14</v>
      </c>
      <c r="J13" s="2">
        <f t="shared" si="40"/>
        <v>135.96</v>
      </c>
      <c r="K13" s="1">
        <f t="shared" si="2"/>
        <v>125</v>
      </c>
      <c r="L13" s="1">
        <f t="shared" si="35"/>
        <v>4.8283137373023015</v>
      </c>
      <c r="M13" s="3">
        <f t="shared" si="36"/>
        <v>657.89473684210532</v>
      </c>
      <c r="N13" s="3">
        <f t="shared" si="36"/>
        <v>500.00000000000006</v>
      </c>
      <c r="O13" s="3">
        <f t="shared" si="15"/>
        <v>39473.68421052632</v>
      </c>
      <c r="P13" s="3">
        <f t="shared" si="22"/>
        <v>30000.000000000004</v>
      </c>
      <c r="Q13" s="3">
        <f t="shared" si="4"/>
        <v>85.663377192982466</v>
      </c>
      <c r="R13" s="3">
        <f t="shared" si="5"/>
        <v>65.104166666666671</v>
      </c>
      <c r="S13" s="3">
        <f t="shared" si="6"/>
        <v>125</v>
      </c>
      <c r="T13" s="4">
        <f t="shared" si="0"/>
        <v>135.96</v>
      </c>
      <c r="U13">
        <f t="shared" si="23"/>
        <v>131.50996000000001</v>
      </c>
      <c r="V13">
        <f t="shared" si="24"/>
        <v>0.17635774957912001</v>
      </c>
      <c r="W13" s="152">
        <f t="shared" si="32"/>
        <v>2.3464516153334967E-2</v>
      </c>
      <c r="X13" s="152">
        <f t="shared" si="29"/>
        <v>2.0489425252982894E-2</v>
      </c>
      <c r="Y13" s="147">
        <f t="shared" si="16"/>
        <v>2.8717428376966052</v>
      </c>
      <c r="Z13" s="127">
        <f t="shared" si="17"/>
        <v>47.7323753483956</v>
      </c>
      <c r="AA13" s="97">
        <f t="shared" si="30"/>
        <v>36.295635211504582</v>
      </c>
      <c r="AB13">
        <f t="shared" si="18"/>
        <v>33.242792301473095</v>
      </c>
      <c r="AC13" s="4">
        <f t="shared" si="19"/>
        <v>74.796282678314469</v>
      </c>
      <c r="AD13" s="4">
        <f t="shared" si="20"/>
        <v>86.39379797371933</v>
      </c>
      <c r="AE13" s="167">
        <f t="shared" si="25"/>
        <v>2.5988730787182082</v>
      </c>
      <c r="AF13" s="163">
        <f>$AS$29/($AE$38*$AE$43*$AE$37*$AB13^2/4/$AE13)/(PI()*$AE$43/60/($AB13-$AG$40))</f>
        <v>-0.70892513020582326</v>
      </c>
      <c r="AG13" s="95">
        <f>C13/$AE$27*$AE$22</f>
        <v>3.4722222222222223</v>
      </c>
      <c r="AH13" s="95">
        <f>AG13/$AE$22*$AE$27</f>
        <v>125</v>
      </c>
      <c r="AI13" s="96">
        <f t="shared" si="9"/>
        <v>40186.817071139434</v>
      </c>
      <c r="AJ13" s="96">
        <f t="shared" si="21"/>
        <v>87.210974546743557</v>
      </c>
      <c r="AK13" s="96">
        <f t="shared" si="10"/>
        <v>66.699385197396978</v>
      </c>
      <c r="AL13" s="96">
        <f t="shared" si="11"/>
        <v>87.16090435450127</v>
      </c>
      <c r="AM13">
        <f t="shared" si="37"/>
        <v>66.699385197396992</v>
      </c>
      <c r="AN13">
        <f t="shared" si="12"/>
        <v>30735.076698960533</v>
      </c>
      <c r="AO13" s="127">
        <f t="shared" si="26"/>
        <v>2.1697533384729531E-2</v>
      </c>
      <c r="AP13" s="127">
        <f t="shared" si="31"/>
        <v>0.16602338252609797</v>
      </c>
      <c r="AQ13" s="146">
        <f t="shared" si="27"/>
        <v>1.2389849090794855E-6</v>
      </c>
      <c r="AR13" s="95">
        <f t="shared" si="41"/>
        <v>3.0207645977385553E-2</v>
      </c>
      <c r="AS13" s="127">
        <f t="shared" si="38"/>
        <v>6.1048249521557778E-3</v>
      </c>
      <c r="AT13">
        <f t="shared" si="39"/>
        <v>3.5725868838201807E-2</v>
      </c>
      <c r="AU13" s="155">
        <f t="shared" si="42"/>
        <v>-7.7871768176706566E-7</v>
      </c>
      <c r="AV13" s="134">
        <f t="shared" si="43"/>
        <v>4.8062113370621579E-2</v>
      </c>
      <c r="AW13" s="128">
        <f t="shared" si="28"/>
        <v>1.0526315789473683E-4</v>
      </c>
      <c r="AX13" s="96">
        <f t="shared" si="33"/>
        <v>58.687827741557669</v>
      </c>
    </row>
    <row r="14" spans="1:50" ht="13.95" customHeight="1" x14ac:dyDescent="0.3">
      <c r="B14" s="113">
        <f t="shared" si="34"/>
        <v>1.8611111111111112</v>
      </c>
      <c r="C14" s="73">
        <v>155</v>
      </c>
      <c r="D14" s="73">
        <v>2.5299999999999998</v>
      </c>
      <c r="E14" s="73">
        <v>12.85</v>
      </c>
      <c r="F14" s="73">
        <v>15</v>
      </c>
      <c r="G14" s="73">
        <v>1364</v>
      </c>
      <c r="H14" s="73">
        <v>1740</v>
      </c>
      <c r="I14" s="78">
        <v>15.8</v>
      </c>
      <c r="J14" s="2">
        <f t="shared" si="40"/>
        <v>192.75</v>
      </c>
      <c r="K14" s="1">
        <f t="shared" si="2"/>
        <v>155</v>
      </c>
      <c r="L14" s="1">
        <f t="shared" si="35"/>
        <v>5.0434251169192468</v>
      </c>
      <c r="M14" s="3">
        <f t="shared" si="36"/>
        <v>733.13782991202345</v>
      </c>
      <c r="N14" s="3">
        <f t="shared" si="36"/>
        <v>574.71264367816093</v>
      </c>
      <c r="O14" s="3">
        <f t="shared" si="15"/>
        <v>43988.269794721404</v>
      </c>
      <c r="P14" s="3">
        <f t="shared" si="22"/>
        <v>34482.758620689652</v>
      </c>
      <c r="Q14" s="3">
        <f t="shared" si="4"/>
        <v>95.460654936461381</v>
      </c>
      <c r="R14" s="3">
        <f t="shared" si="5"/>
        <v>74.83237547892719</v>
      </c>
      <c r="S14" s="3">
        <f t="shared" si="6"/>
        <v>155</v>
      </c>
      <c r="T14" s="4">
        <f t="shared" si="0"/>
        <v>192.75</v>
      </c>
      <c r="U14">
        <f t="shared" si="23"/>
        <v>188.29996</v>
      </c>
      <c r="V14">
        <f t="shared" si="24"/>
        <v>0.25251438895912004</v>
      </c>
      <c r="W14" s="152">
        <f t="shared" si="32"/>
        <v>3.0149073309822319E-2</v>
      </c>
      <c r="X14" s="152">
        <f t="shared" si="29"/>
        <v>2.7173982409470245E-2</v>
      </c>
      <c r="Y14" s="147">
        <f t="shared" si="16"/>
        <v>3.9740488334719357</v>
      </c>
      <c r="Z14" s="127">
        <f>SQRT(Y14^3/4/$X$42/$X$43)</f>
        <v>77.704205877508215</v>
      </c>
      <c r="AA14" s="97">
        <f t="shared" si="30"/>
        <v>41.266182891121282</v>
      </c>
      <c r="AB14">
        <f t="shared" si="18"/>
        <v>39.105813307091033</v>
      </c>
      <c r="AC14" s="4">
        <f t="shared" si="19"/>
        <v>87.988079940954819</v>
      </c>
      <c r="AD14" s="4">
        <f t="shared" si="20"/>
        <v>99.303216061746326</v>
      </c>
      <c r="AE14" s="162">
        <f t="shared" si="25"/>
        <v>2.5393466511471257</v>
      </c>
      <c r="AF14" s="153"/>
      <c r="AG14" s="95">
        <f>C14/$AE$27*$AE$22</f>
        <v>4.3055555555555554</v>
      </c>
      <c r="AH14" s="95">
        <f>AG14/$AE$22*$AE$27</f>
        <v>155</v>
      </c>
      <c r="AI14" s="96">
        <f t="shared" si="9"/>
        <v>43239.249799405501</v>
      </c>
      <c r="AJ14" s="96">
        <f t="shared" si="21"/>
        <v>93.835177516070971</v>
      </c>
      <c r="AK14" s="96">
        <f t="shared" si="10"/>
        <v>73.161670282743415</v>
      </c>
      <c r="AL14" s="96">
        <f t="shared" si="11"/>
        <v>93.775260793646453</v>
      </c>
      <c r="AM14">
        <f t="shared" si="37"/>
        <v>73.161670282743401</v>
      </c>
      <c r="AN14">
        <f t="shared" si="12"/>
        <v>33712.897666288161</v>
      </c>
      <c r="AO14" s="127">
        <f t="shared" si="26"/>
        <v>2.5645549843300849E-2</v>
      </c>
      <c r="AP14" s="127">
        <f t="shared" si="31"/>
        <v>0.21113753539938881</v>
      </c>
      <c r="AQ14" s="146">
        <f t="shared" si="27"/>
        <v>1.3478150698435463E-6</v>
      </c>
      <c r="AR14" s="95">
        <f t="shared" si="41"/>
        <v>2.7768510934620141E-2</v>
      </c>
      <c r="AS14" s="127">
        <f t="shared" si="38"/>
        <v>7.9395613939336682E-3</v>
      </c>
      <c r="AT14">
        <f t="shared" si="39"/>
        <v>5.096451271685034E-2</v>
      </c>
      <c r="AU14" s="155">
        <f t="shared" si="42"/>
        <v>-9.4328792675296726E-7</v>
      </c>
      <c r="AV14" s="153">
        <f t="shared" si="43"/>
        <v>3.9676981378982325E-2</v>
      </c>
      <c r="AW14" s="128">
        <f t="shared" si="28"/>
        <v>1.0526315789473683E-4</v>
      </c>
      <c r="AX14" s="96">
        <f t="shared" si="33"/>
        <v>53.949042821495425</v>
      </c>
    </row>
    <row r="15" spans="1:50" ht="13.95" customHeight="1" x14ac:dyDescent="0.3">
      <c r="B15" s="113">
        <f t="shared" si="34"/>
        <v>1.9166666666666665</v>
      </c>
      <c r="C15" s="73">
        <v>165</v>
      </c>
      <c r="D15" s="73">
        <v>2.63</v>
      </c>
      <c r="E15" s="73">
        <v>12.75</v>
      </c>
      <c r="F15" s="73">
        <v>16.399999999999999</v>
      </c>
      <c r="G15" s="73">
        <v>1316</v>
      </c>
      <c r="H15" s="73">
        <v>1680</v>
      </c>
      <c r="I15" s="78">
        <v>17.2</v>
      </c>
      <c r="J15" s="2">
        <f t="shared" si="40"/>
        <v>209.1</v>
      </c>
      <c r="K15" s="1">
        <f t="shared" si="2"/>
        <v>165</v>
      </c>
      <c r="L15" s="1">
        <f t="shared" si="35"/>
        <v>5.1059454739005803</v>
      </c>
      <c r="M15" s="3">
        <f t="shared" si="36"/>
        <v>759.87841945288756</v>
      </c>
      <c r="N15" s="3">
        <f t="shared" si="36"/>
        <v>595.2380952380953</v>
      </c>
      <c r="O15" s="3">
        <f t="shared" si="15"/>
        <v>45592.705167173255</v>
      </c>
      <c r="P15" s="3">
        <f t="shared" si="22"/>
        <v>35714.285714285717</v>
      </c>
      <c r="Q15" s="3">
        <f t="shared" si="4"/>
        <v>98.942502532928074</v>
      </c>
      <c r="R15" s="3">
        <f t="shared" si="5"/>
        <v>77.504960317460331</v>
      </c>
      <c r="S15" s="3">
        <f t="shared" si="6"/>
        <v>165</v>
      </c>
      <c r="T15" s="4">
        <f t="shared" si="0"/>
        <v>209.1</v>
      </c>
      <c r="U15">
        <f t="shared" si="23"/>
        <v>204.64995999999999</v>
      </c>
      <c r="V15">
        <f t="shared" si="24"/>
        <v>0.27444009865912</v>
      </c>
      <c r="W15" s="152">
        <f t="shared" si="32"/>
        <v>3.1613816132925514E-2</v>
      </c>
      <c r="X15" s="152">
        <f t="shared" si="29"/>
        <v>2.863872523257344E-2</v>
      </c>
      <c r="Y15" s="160">
        <f>$Z$41</f>
        <v>4.4249528005034611</v>
      </c>
      <c r="Z15" s="127">
        <f>SQRT(Y15^3/4/$X$42/$X$43)</f>
        <v>91.297248929319878</v>
      </c>
      <c r="AA15" s="97">
        <f t="shared" si="30"/>
        <v>44.611417920296624</v>
      </c>
      <c r="AB15">
        <f t="shared" si="18"/>
        <v>41.264733453849395</v>
      </c>
      <c r="AC15" s="4">
        <f>AB15*1/1.6/1000*3600</f>
        <v>92.845650271161119</v>
      </c>
      <c r="AD15" s="4">
        <f t="shared" si="20"/>
        <v>102.84975949252301</v>
      </c>
      <c r="AE15" s="170">
        <f t="shared" si="25"/>
        <v>2.4924372674683695</v>
      </c>
      <c r="AF15" s="153"/>
      <c r="AG15" s="95">
        <f>C15/$AE$27*$AE$22</f>
        <v>4.583333333333333</v>
      </c>
      <c r="AH15" s="95">
        <f>AG15/$AE$22*$AE$27</f>
        <v>165</v>
      </c>
      <c r="AI15" s="96">
        <f t="shared" si="9"/>
        <v>44126.414319351083</v>
      </c>
      <c r="AJ15" s="96">
        <f t="shared" si="21"/>
        <v>95.760447741647312</v>
      </c>
      <c r="AK15" s="96">
        <f t="shared" si="10"/>
        <v>75.03988040426492</v>
      </c>
      <c r="AL15" s="96">
        <f t="shared" si="11"/>
        <v>95.697669206039706</v>
      </c>
      <c r="AM15">
        <f t="shared" si="37"/>
        <v>75.03988040426492</v>
      </c>
      <c r="AN15">
        <f t="shared" si="12"/>
        <v>34578.376890285275</v>
      </c>
      <c r="AO15" s="127">
        <f t="shared" si="26"/>
        <v>2.6855314322647372E-2</v>
      </c>
      <c r="AP15" s="127">
        <f t="shared" si="31"/>
        <v>0.22563380169031633</v>
      </c>
      <c r="AQ15" s="146">
        <f t="shared" si="27"/>
        <v>1.3794456628573665E-6</v>
      </c>
      <c r="AR15" s="95">
        <f t="shared" si="41"/>
        <v>2.7131780912102679E-2</v>
      </c>
      <c r="AS15" s="127">
        <f t="shared" si="38"/>
        <v>8.5204621586561918E-3</v>
      </c>
      <c r="AT15">
        <f t="shared" si="39"/>
        <v>5.6097439413828526E-2</v>
      </c>
      <c r="AU15" s="155">
        <f t="shared" si="42"/>
        <v>-1.0038870644870091E-6</v>
      </c>
      <c r="AV15" s="153">
        <f t="shared" si="43"/>
        <v>3.7281900353922377E-2</v>
      </c>
      <c r="AW15" s="128">
        <f t="shared" si="28"/>
        <v>1.0526315789473683E-4</v>
      </c>
      <c r="AX15" s="96">
        <f t="shared" si="33"/>
        <v>52.711995025471928</v>
      </c>
    </row>
    <row r="16" spans="1:50" ht="13.95" customHeight="1" thickBot="1" x14ac:dyDescent="0.35">
      <c r="B16" s="116">
        <f t="shared" si="34"/>
        <v>2</v>
      </c>
      <c r="C16" s="117">
        <v>180</v>
      </c>
      <c r="D16" s="117"/>
      <c r="E16" s="117"/>
      <c r="F16" s="117"/>
      <c r="G16" s="117"/>
      <c r="H16" s="117"/>
      <c r="I16" s="118"/>
      <c r="O16" s="3"/>
      <c r="P16" s="3"/>
      <c r="Q16" s="3"/>
      <c r="R16" s="3"/>
      <c r="T16" s="4"/>
      <c r="AC16" s="4"/>
      <c r="AD16" s="97"/>
      <c r="AG16" s="95"/>
      <c r="AH16" s="95"/>
      <c r="AI16" s="96"/>
      <c r="AJ16" s="96"/>
      <c r="AK16" s="96"/>
      <c r="AL16" s="96"/>
      <c r="AO16" s="127"/>
      <c r="AP16" s="127"/>
      <c r="AQ16" s="146"/>
      <c r="AR16" s="95"/>
      <c r="AS16" s="127"/>
      <c r="AU16" s="146"/>
      <c r="AV16" s="95"/>
      <c r="AW16" s="128"/>
      <c r="AX16" s="96"/>
    </row>
    <row r="17" spans="1:46" ht="13.95" customHeight="1" x14ac:dyDescent="0.3"/>
    <row r="18" spans="1:46" ht="13.95" customHeight="1" x14ac:dyDescent="0.3">
      <c r="B18" s="120">
        <f t="shared" si="34"/>
        <v>1.05</v>
      </c>
      <c r="C18" s="73">
        <v>9</v>
      </c>
      <c r="D18" s="119"/>
      <c r="E18" s="73">
        <v>13.8</v>
      </c>
      <c r="F18" s="73">
        <v>0.42399999999999999</v>
      </c>
      <c r="G18" s="73">
        <v>6160</v>
      </c>
      <c r="H18" s="119"/>
      <c r="I18" s="119"/>
      <c r="J18" s="2">
        <f t="shared" ref="J18:J26" si="44">E18*F18</f>
        <v>5.8512000000000004</v>
      </c>
      <c r="K18" s="1">
        <f t="shared" ref="K18:K26" si="45">C18</f>
        <v>9</v>
      </c>
      <c r="L18" s="1">
        <f t="shared" ref="L18:L26" si="46">LN(K18)</f>
        <v>2.1972245773362196</v>
      </c>
      <c r="M18" s="3">
        <f t="shared" ref="M18:M26" si="47">1/G18/0.000001</f>
        <v>162.33766233766235</v>
      </c>
      <c r="N18" s="3"/>
      <c r="O18" s="3">
        <f t="shared" ref="O18:O26" si="48">M18*60/$X$29</f>
        <v>9740.2597402597403</v>
      </c>
      <c r="P18" s="3"/>
      <c r="Q18" s="3">
        <f t="shared" ref="Q18:Q26" si="49">O18/$X$40*100</f>
        <v>21.137716450216452</v>
      </c>
      <c r="R18" s="3"/>
      <c r="S18" s="3">
        <f t="shared" ref="S18:S26" si="50">K18</f>
        <v>9</v>
      </c>
      <c r="T18" s="4">
        <f t="shared" ref="T18:T26" si="51">J18</f>
        <v>5.8512000000000004</v>
      </c>
      <c r="U18" s="4"/>
      <c r="V18">
        <f t="shared" ref="V18:V26" si="52">T18*0.001341022</f>
        <v>7.8465879264000005E-3</v>
      </c>
      <c r="W18" s="152">
        <f t="shared" ref="W18:W26" si="53">$V18/$O18*5252</f>
        <v>4.230922058383821E-3</v>
      </c>
      <c r="X18" s="152">
        <f t="shared" ref="X18:X26" si="54">W18-$W$4</f>
        <v>1.2558311580317485E-3</v>
      </c>
      <c r="AM18" s="161" t="s">
        <v>259</v>
      </c>
      <c r="AN18" s="161"/>
      <c r="AO18" s="161"/>
      <c r="AP18" s="161"/>
      <c r="AQ18" s="161"/>
    </row>
    <row r="19" spans="1:46" ht="13.95" customHeight="1" x14ac:dyDescent="0.3">
      <c r="B19" s="120">
        <f t="shared" si="34"/>
        <v>1.0722222222222222</v>
      </c>
      <c r="C19" s="73">
        <v>13</v>
      </c>
      <c r="D19" s="119"/>
      <c r="E19" s="73">
        <v>13.8</v>
      </c>
      <c r="F19" s="73">
        <v>0.56499999999999995</v>
      </c>
      <c r="G19" s="73">
        <v>5080</v>
      </c>
      <c r="H19" s="119"/>
      <c r="I19" s="119"/>
      <c r="J19" s="2">
        <f t="shared" si="44"/>
        <v>7.7969999999999997</v>
      </c>
      <c r="K19" s="1">
        <f t="shared" si="45"/>
        <v>13</v>
      </c>
      <c r="L19" s="1">
        <f t="shared" si="46"/>
        <v>2.5649493574615367</v>
      </c>
      <c r="M19" s="3">
        <f t="shared" si="47"/>
        <v>196.85039370078741</v>
      </c>
      <c r="N19" s="3"/>
      <c r="O19" s="3">
        <f t="shared" si="48"/>
        <v>11811.023622047245</v>
      </c>
      <c r="P19" s="3"/>
      <c r="Q19" s="3">
        <f t="shared" si="49"/>
        <v>25.631561679790028</v>
      </c>
      <c r="R19" s="3"/>
      <c r="S19" s="3">
        <f t="shared" si="50"/>
        <v>13</v>
      </c>
      <c r="T19" s="4">
        <f t="shared" si="51"/>
        <v>7.7969999999999997</v>
      </c>
      <c r="U19" s="4"/>
      <c r="V19">
        <f t="shared" si="52"/>
        <v>1.0455948534E-2</v>
      </c>
      <c r="W19" s="152">
        <f t="shared" si="53"/>
        <v>4.6494396639814237E-3</v>
      </c>
      <c r="X19" s="152">
        <f t="shared" si="54"/>
        <v>1.6743487636293511E-3</v>
      </c>
      <c r="AM19" s="161" t="s">
        <v>132</v>
      </c>
      <c r="AN19" s="161" t="s">
        <v>100</v>
      </c>
      <c r="AO19" s="161" t="s">
        <v>140</v>
      </c>
      <c r="AP19" s="161" t="s">
        <v>141</v>
      </c>
      <c r="AQ19" s="161" t="s">
        <v>131</v>
      </c>
      <c r="AR19" s="161" t="s">
        <v>165</v>
      </c>
      <c r="AS19" s="161" t="s">
        <v>175</v>
      </c>
    </row>
    <row r="20" spans="1:46" ht="13.95" customHeight="1" x14ac:dyDescent="0.3">
      <c r="B20" s="120">
        <f t="shared" si="34"/>
        <v>1.1444444444444444</v>
      </c>
      <c r="C20" s="73">
        <v>26</v>
      </c>
      <c r="D20" s="119"/>
      <c r="E20" s="73">
        <v>13.75</v>
      </c>
      <c r="F20" s="73">
        <v>1.32</v>
      </c>
      <c r="G20" s="73">
        <v>3180</v>
      </c>
      <c r="H20" s="119"/>
      <c r="I20" s="119"/>
      <c r="J20" s="2">
        <f t="shared" si="44"/>
        <v>18.150000000000002</v>
      </c>
      <c r="K20" s="1">
        <f t="shared" si="45"/>
        <v>26</v>
      </c>
      <c r="L20" s="1">
        <f t="shared" si="46"/>
        <v>3.2580965380214821</v>
      </c>
      <c r="M20" s="3">
        <f t="shared" si="47"/>
        <v>314.46540880503147</v>
      </c>
      <c r="N20" s="3"/>
      <c r="O20" s="3">
        <f t="shared" si="48"/>
        <v>18867.92452830189</v>
      </c>
      <c r="P20" s="3"/>
      <c r="Q20" s="3">
        <f t="shared" si="49"/>
        <v>40.946016771488473</v>
      </c>
      <c r="R20" s="3"/>
      <c r="S20" s="3">
        <f t="shared" si="50"/>
        <v>26</v>
      </c>
      <c r="T20" s="4">
        <f t="shared" si="51"/>
        <v>18.150000000000002</v>
      </c>
      <c r="U20" s="4"/>
      <c r="V20">
        <f t="shared" si="52"/>
        <v>2.4339549300000006E-2</v>
      </c>
      <c r="W20" s="152">
        <f t="shared" si="53"/>
        <v>6.7750595849508004E-3</v>
      </c>
      <c r="X20" s="152">
        <f t="shared" si="54"/>
        <v>3.7999686845987279E-3</v>
      </c>
      <c r="AM20" s="161"/>
      <c r="AN20" s="161"/>
      <c r="AO20" s="161" t="s">
        <v>153</v>
      </c>
      <c r="AP20" s="161" t="s">
        <v>154</v>
      </c>
      <c r="AQ20" s="161"/>
      <c r="AR20" s="161"/>
      <c r="AS20" s="161"/>
    </row>
    <row r="21" spans="1:46" ht="13.95" customHeight="1" thickBot="1" x14ac:dyDescent="0.35">
      <c r="B21" s="120">
        <f t="shared" si="34"/>
        <v>1.2</v>
      </c>
      <c r="C21" s="73">
        <v>36</v>
      </c>
      <c r="D21" s="119"/>
      <c r="E21" s="73">
        <v>13.71</v>
      </c>
      <c r="F21" s="73">
        <v>2.08</v>
      </c>
      <c r="G21" s="73">
        <v>2650</v>
      </c>
      <c r="H21" s="119"/>
      <c r="I21" s="119"/>
      <c r="J21" s="2">
        <f t="shared" si="44"/>
        <v>28.516800000000003</v>
      </c>
      <c r="K21" s="1">
        <f t="shared" si="45"/>
        <v>36</v>
      </c>
      <c r="L21" s="1">
        <f t="shared" si="46"/>
        <v>3.5835189384561099</v>
      </c>
      <c r="M21" s="3">
        <f t="shared" si="47"/>
        <v>377.35849056603774</v>
      </c>
      <c r="N21" s="3"/>
      <c r="O21" s="3">
        <f t="shared" si="48"/>
        <v>22641.509433962266</v>
      </c>
      <c r="P21" s="3"/>
      <c r="Q21" s="3">
        <f t="shared" si="49"/>
        <v>49.135220125786169</v>
      </c>
      <c r="R21" s="3"/>
      <c r="S21" s="3">
        <f t="shared" si="50"/>
        <v>36</v>
      </c>
      <c r="T21" s="4">
        <f t="shared" si="51"/>
        <v>28.516800000000003</v>
      </c>
      <c r="U21" s="4"/>
      <c r="V21">
        <f t="shared" si="52"/>
        <v>3.8241656169600007E-2</v>
      </c>
      <c r="W21" s="152">
        <f t="shared" si="53"/>
        <v>8.8706620372876483E-3</v>
      </c>
      <c r="X21" s="152">
        <f t="shared" si="54"/>
        <v>5.8955711369355762E-3</v>
      </c>
      <c r="AD21" s="5" t="s">
        <v>56</v>
      </c>
      <c r="AE21" s="5"/>
      <c r="AF21" s="5"/>
      <c r="AG21" s="5"/>
      <c r="AM21" s="161">
        <f t="shared" ref="AM21:AM29" si="55">AN21*$AE$26</f>
        <v>7372.8</v>
      </c>
      <c r="AN21" s="161">
        <v>16</v>
      </c>
      <c r="AO21" s="161">
        <v>3.3218574470251366E-4</v>
      </c>
      <c r="AP21" s="161">
        <v>7.3801227827272476E-4</v>
      </c>
      <c r="AQ21" s="161">
        <v>0.33</v>
      </c>
      <c r="AR21" s="161">
        <v>6.9047658670256907E-8</v>
      </c>
      <c r="AS21" s="161" t="s">
        <v>206</v>
      </c>
    </row>
    <row r="22" spans="1:46" ht="13.95" customHeight="1" x14ac:dyDescent="0.3">
      <c r="B22" s="120">
        <f t="shared" si="34"/>
        <v>1.3111111111111111</v>
      </c>
      <c r="C22" s="73">
        <v>56</v>
      </c>
      <c r="D22" s="119"/>
      <c r="E22" s="73">
        <v>13.6</v>
      </c>
      <c r="F22" s="73">
        <v>3.8</v>
      </c>
      <c r="G22" s="73">
        <v>2070</v>
      </c>
      <c r="H22" s="119"/>
      <c r="I22" s="119"/>
      <c r="J22" s="2">
        <f t="shared" si="44"/>
        <v>51.68</v>
      </c>
      <c r="K22" s="1">
        <f t="shared" si="45"/>
        <v>56</v>
      </c>
      <c r="L22" s="1">
        <f t="shared" si="46"/>
        <v>4.0253516907351496</v>
      </c>
      <c r="M22" s="3">
        <f t="shared" si="47"/>
        <v>483.09178743961354</v>
      </c>
      <c r="N22" s="3"/>
      <c r="O22" s="3">
        <f t="shared" si="48"/>
        <v>28985.507246376812</v>
      </c>
      <c r="P22" s="3"/>
      <c r="Q22" s="3">
        <f t="shared" si="49"/>
        <v>62.902576489533011</v>
      </c>
      <c r="R22" s="3"/>
      <c r="S22" s="3">
        <f t="shared" si="50"/>
        <v>56</v>
      </c>
      <c r="T22" s="4">
        <f t="shared" si="51"/>
        <v>51.68</v>
      </c>
      <c r="U22" s="4"/>
      <c r="V22">
        <f t="shared" si="52"/>
        <v>6.9304016960000006E-2</v>
      </c>
      <c r="W22" s="152">
        <f t="shared" si="53"/>
        <v>1.255747204905024E-2</v>
      </c>
      <c r="X22" s="152">
        <f t="shared" si="54"/>
        <v>9.5823811486981676E-3</v>
      </c>
      <c r="AD22" s="62" t="s">
        <v>15</v>
      </c>
      <c r="AE22" s="63">
        <f>X47</f>
        <v>5</v>
      </c>
      <c r="AF22" s="64"/>
      <c r="AG22" s="29"/>
      <c r="AM22" s="161">
        <f t="shared" si="55"/>
        <v>9216</v>
      </c>
      <c r="AN22" s="161">
        <v>20</v>
      </c>
      <c r="AO22" s="161">
        <v>7.4483427705766901E-4</v>
      </c>
      <c r="AP22" s="161">
        <v>6.978697406499287E-4</v>
      </c>
      <c r="AQ22" s="161">
        <v>0.26300000000000001</v>
      </c>
      <c r="AR22" s="161">
        <v>1.3476434112578325E-7</v>
      </c>
      <c r="AS22" s="161" t="s">
        <v>206</v>
      </c>
    </row>
    <row r="23" spans="1:46" ht="13.95" customHeight="1" x14ac:dyDescent="0.3">
      <c r="B23" s="120">
        <f t="shared" si="34"/>
        <v>1.3555555555555556</v>
      </c>
      <c r="C23" s="73">
        <v>64</v>
      </c>
      <c r="D23" s="119"/>
      <c r="E23" s="73">
        <v>13.55</v>
      </c>
      <c r="F23" s="73">
        <v>4.38</v>
      </c>
      <c r="G23" s="73">
        <v>2000</v>
      </c>
      <c r="H23" s="119"/>
      <c r="I23" s="119"/>
      <c r="J23" s="2">
        <f t="shared" si="44"/>
        <v>59.349000000000004</v>
      </c>
      <c r="K23" s="1">
        <f t="shared" si="45"/>
        <v>64</v>
      </c>
      <c r="L23" s="1">
        <f t="shared" si="46"/>
        <v>4.1588830833596715</v>
      </c>
      <c r="M23" s="3">
        <f t="shared" si="47"/>
        <v>500.00000000000006</v>
      </c>
      <c r="N23" s="3"/>
      <c r="O23" s="3">
        <f t="shared" si="48"/>
        <v>30000.000000000004</v>
      </c>
      <c r="P23" s="3"/>
      <c r="Q23" s="3">
        <f t="shared" si="49"/>
        <v>65.104166666666671</v>
      </c>
      <c r="R23" s="3"/>
      <c r="S23" s="3">
        <f t="shared" si="50"/>
        <v>64</v>
      </c>
      <c r="T23" s="4">
        <f t="shared" si="51"/>
        <v>59.349000000000004</v>
      </c>
      <c r="U23" s="4"/>
      <c r="V23">
        <f t="shared" si="52"/>
        <v>7.9588314678000011E-2</v>
      </c>
      <c r="W23" s="152">
        <f t="shared" si="53"/>
        <v>1.39332609562952E-2</v>
      </c>
      <c r="X23" s="152">
        <f t="shared" si="54"/>
        <v>1.0958170055943128E-2</v>
      </c>
      <c r="AD23" s="65" t="s">
        <v>14</v>
      </c>
      <c r="AE23" s="66">
        <f>X46</f>
        <v>0</v>
      </c>
      <c r="AF23" s="45"/>
      <c r="AG23" s="31"/>
      <c r="AM23" s="161">
        <f t="shared" si="55"/>
        <v>11520</v>
      </c>
      <c r="AN23" s="161">
        <v>25</v>
      </c>
      <c r="AO23" s="161">
        <v>1.8196732395486779E-3</v>
      </c>
      <c r="AP23" s="161">
        <v>8.2156541787077825E-4</v>
      </c>
      <c r="AQ23" s="161">
        <v>0.2</v>
      </c>
      <c r="AR23" s="161">
        <v>2.1691019419519116E-7</v>
      </c>
      <c r="AS23" s="161" t="s">
        <v>206</v>
      </c>
    </row>
    <row r="24" spans="1:46" ht="13.95" customHeight="1" x14ac:dyDescent="0.3">
      <c r="B24" s="120">
        <f t="shared" si="34"/>
        <v>1.4944444444444445</v>
      </c>
      <c r="C24" s="73">
        <v>89</v>
      </c>
      <c r="D24" s="119"/>
      <c r="E24" s="73">
        <v>13.42</v>
      </c>
      <c r="F24" s="73">
        <v>6.3</v>
      </c>
      <c r="G24" s="73">
        <v>1760</v>
      </c>
      <c r="H24" s="119"/>
      <c r="I24" s="119"/>
      <c r="J24" s="2">
        <f t="shared" si="44"/>
        <v>84.545999999999992</v>
      </c>
      <c r="K24" s="1">
        <f t="shared" si="45"/>
        <v>89</v>
      </c>
      <c r="L24" s="1">
        <f t="shared" si="46"/>
        <v>4.4886363697321396</v>
      </c>
      <c r="M24" s="3">
        <f t="shared" si="47"/>
        <v>568.18181818181813</v>
      </c>
      <c r="N24" s="3"/>
      <c r="O24" s="3">
        <f t="shared" si="48"/>
        <v>34090.909090909088</v>
      </c>
      <c r="P24" s="3"/>
      <c r="Q24" s="3">
        <f t="shared" si="49"/>
        <v>73.982007575757564</v>
      </c>
      <c r="R24" s="3"/>
      <c r="S24" s="3">
        <f t="shared" si="50"/>
        <v>89</v>
      </c>
      <c r="T24" s="4">
        <f t="shared" si="51"/>
        <v>84.545999999999992</v>
      </c>
      <c r="U24" s="4"/>
      <c r="V24">
        <f t="shared" si="52"/>
        <v>0.11337804601199999</v>
      </c>
      <c r="W24" s="152">
        <f t="shared" si="53"/>
        <v>1.7466870597880702E-2</v>
      </c>
      <c r="X24" s="152">
        <f t="shared" si="54"/>
        <v>1.449177969752863E-2</v>
      </c>
      <c r="AB24" s="147"/>
      <c r="AD24" s="65" t="s">
        <v>17</v>
      </c>
      <c r="AE24" s="66">
        <f>AA31</f>
        <v>5</v>
      </c>
      <c r="AF24" s="30"/>
      <c r="AG24" s="31"/>
      <c r="AM24" s="161">
        <f t="shared" si="55"/>
        <v>16588.8</v>
      </c>
      <c r="AN24" s="161">
        <v>36</v>
      </c>
      <c r="AO24" s="161">
        <v>7.5397784789642732E-3</v>
      </c>
      <c r="AP24" s="161">
        <v>2.7131440751281396E-3</v>
      </c>
      <c r="AQ24" s="161">
        <v>0.127</v>
      </c>
      <c r="AR24" s="161">
        <v>3.9763107094788859E-7</v>
      </c>
      <c r="AS24" s="161" t="s">
        <v>206</v>
      </c>
    </row>
    <row r="25" spans="1:46" ht="13.95" customHeight="1" x14ac:dyDescent="0.3">
      <c r="B25" s="120">
        <f t="shared" si="34"/>
        <v>1.7944444444444443</v>
      </c>
      <c r="C25" s="73">
        <v>143</v>
      </c>
      <c r="D25" s="119"/>
      <c r="E25" s="73">
        <v>13.1</v>
      </c>
      <c r="F25" s="73">
        <v>11.7</v>
      </c>
      <c r="G25" s="73">
        <v>1430</v>
      </c>
      <c r="H25" s="119"/>
      <c r="I25" s="119"/>
      <c r="J25" s="2">
        <f t="shared" si="44"/>
        <v>153.26999999999998</v>
      </c>
      <c r="K25" s="1">
        <f t="shared" si="45"/>
        <v>143</v>
      </c>
      <c r="L25" s="1">
        <f t="shared" si="46"/>
        <v>4.962844630259907</v>
      </c>
      <c r="M25" s="3">
        <f t="shared" si="47"/>
        <v>699.30069930069931</v>
      </c>
      <c r="N25" s="3"/>
      <c r="O25" s="3">
        <f t="shared" si="48"/>
        <v>41958.041958041955</v>
      </c>
      <c r="P25" s="3"/>
      <c r="Q25" s="3">
        <f t="shared" si="49"/>
        <v>91.054778554778551</v>
      </c>
      <c r="R25" s="3"/>
      <c r="S25" s="3">
        <f t="shared" si="50"/>
        <v>143</v>
      </c>
      <c r="T25" s="4">
        <f t="shared" si="51"/>
        <v>153.26999999999998</v>
      </c>
      <c r="U25" s="4"/>
      <c r="V25">
        <f t="shared" si="52"/>
        <v>0.20553844193999998</v>
      </c>
      <c r="W25" s="152">
        <f t="shared" si="53"/>
        <v>2.5727794880141638E-2</v>
      </c>
      <c r="X25" s="152">
        <f t="shared" si="54"/>
        <v>2.2752703979789565E-2</v>
      </c>
      <c r="AC25" s="97"/>
      <c r="AD25" s="65" t="s">
        <v>16</v>
      </c>
      <c r="AE25" s="66">
        <f>AA30</f>
        <v>0</v>
      </c>
      <c r="AF25" s="30"/>
      <c r="AG25" s="31"/>
      <c r="AM25" s="161">
        <f t="shared" si="55"/>
        <v>20736</v>
      </c>
      <c r="AN25" s="161">
        <v>45</v>
      </c>
      <c r="AO25" s="161">
        <v>1.7146093021340732E-2</v>
      </c>
      <c r="AP25" s="161">
        <v>7.1180011608729891E-3</v>
      </c>
      <c r="AQ25" s="161">
        <v>0.1</v>
      </c>
      <c r="AR25" s="161">
        <v>5.4549360647282279E-7</v>
      </c>
      <c r="AS25" s="161" t="s">
        <v>206</v>
      </c>
    </row>
    <row r="26" spans="1:46" ht="13.95" customHeight="1" x14ac:dyDescent="0.3">
      <c r="B26" s="120">
        <f t="shared" si="34"/>
        <v>1.9166666666666665</v>
      </c>
      <c r="C26" s="73">
        <v>165</v>
      </c>
      <c r="D26" s="119"/>
      <c r="E26" s="73">
        <v>12.72</v>
      </c>
      <c r="F26" s="73">
        <v>16.86</v>
      </c>
      <c r="G26" s="73">
        <v>1280</v>
      </c>
      <c r="H26" s="119"/>
      <c r="I26" s="119"/>
      <c r="J26" s="2">
        <f t="shared" si="44"/>
        <v>214.45920000000001</v>
      </c>
      <c r="K26" s="1">
        <f t="shared" si="45"/>
        <v>165</v>
      </c>
      <c r="L26" s="1">
        <f t="shared" si="46"/>
        <v>5.1059454739005803</v>
      </c>
      <c r="M26" s="3">
        <f t="shared" si="47"/>
        <v>781.25000000000011</v>
      </c>
      <c r="N26" s="3"/>
      <c r="O26" s="3">
        <f t="shared" si="48"/>
        <v>46875.000000000007</v>
      </c>
      <c r="P26" s="3"/>
      <c r="Q26" s="3">
        <f t="shared" si="49"/>
        <v>101.72526041666667</v>
      </c>
      <c r="R26" s="3"/>
      <c r="S26" s="3">
        <f t="shared" si="50"/>
        <v>165</v>
      </c>
      <c r="T26" s="4">
        <f t="shared" si="51"/>
        <v>214.45920000000001</v>
      </c>
      <c r="U26" s="4"/>
      <c r="V26">
        <f t="shared" si="52"/>
        <v>0.28759450530240005</v>
      </c>
      <c r="W26" s="152">
        <f t="shared" si="53"/>
        <v>3.2222855292761705E-2</v>
      </c>
      <c r="X26" s="152">
        <f t="shared" si="54"/>
        <v>2.9247764392409632E-2</v>
      </c>
      <c r="AD26" s="65" t="s">
        <v>27</v>
      </c>
      <c r="AE26" s="66">
        <f>X40/100</f>
        <v>460.8</v>
      </c>
      <c r="AF26" s="30"/>
      <c r="AG26" s="31"/>
      <c r="AM26" s="161">
        <f t="shared" si="55"/>
        <v>23040</v>
      </c>
      <c r="AN26" s="161">
        <v>50</v>
      </c>
      <c r="AO26" s="161">
        <v>2.4979887676232684E-2</v>
      </c>
      <c r="AP26" s="161">
        <v>1.1143313366134135E-2</v>
      </c>
      <c r="AQ26" s="161">
        <v>7.3999999999999996E-2</v>
      </c>
      <c r="AR26" s="161">
        <v>6.2763945954223071E-7</v>
      </c>
      <c r="AS26" s="161" t="s">
        <v>206</v>
      </c>
    </row>
    <row r="27" spans="1:46" ht="13.95" customHeight="1" x14ac:dyDescent="0.3">
      <c r="B27" s="5"/>
      <c r="C27" s="6"/>
      <c r="D27" s="6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4"/>
      <c r="U27" s="4"/>
      <c r="AD27" s="65" t="s">
        <v>18</v>
      </c>
      <c r="AE27" s="66">
        <f>Z47</f>
        <v>180</v>
      </c>
      <c r="AF27" s="30"/>
      <c r="AG27" s="31"/>
      <c r="AM27" s="161">
        <f t="shared" si="55"/>
        <v>23961.600000000002</v>
      </c>
      <c r="AN27" s="161">
        <v>52</v>
      </c>
      <c r="AO27" s="161">
        <v>2.8687189497277076E-2</v>
      </c>
      <c r="AP27" s="161">
        <v>1.3128852647530663E-2</v>
      </c>
      <c r="AQ27" s="161">
        <v>7.0999999999999994E-2</v>
      </c>
      <c r="AR27" s="161">
        <v>6.6049780076999385E-7</v>
      </c>
      <c r="AS27" s="161" t="s">
        <v>206</v>
      </c>
    </row>
    <row r="28" spans="1:46" ht="13.95" customHeight="1" thickBot="1" x14ac:dyDescent="0.35">
      <c r="B28" s="5"/>
      <c r="C28" s="6"/>
      <c r="D28" s="6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U28" s="3"/>
      <c r="W28" t="s">
        <v>32</v>
      </c>
      <c r="Z28" t="s">
        <v>33</v>
      </c>
      <c r="AC28" s="30"/>
      <c r="AD28" s="65" t="s">
        <v>13</v>
      </c>
      <c r="AE28" s="66">
        <f>Z46</f>
        <v>0</v>
      </c>
      <c r="AF28" s="30"/>
      <c r="AG28" s="31"/>
      <c r="AM28" s="161">
        <f t="shared" si="55"/>
        <v>25344</v>
      </c>
      <c r="AN28" s="161">
        <v>55</v>
      </c>
      <c r="AO28" s="161">
        <v>3.4912727705496999E-2</v>
      </c>
      <c r="AP28" s="161">
        <v>1.6549422883591874E-2</v>
      </c>
      <c r="AQ28" s="161">
        <v>4.4999999999999998E-2</v>
      </c>
      <c r="AR28" s="161">
        <v>7.0978531261163862E-7</v>
      </c>
      <c r="AS28" s="161" t="s">
        <v>206</v>
      </c>
    </row>
    <row r="29" spans="1:46" ht="13.95" customHeight="1" x14ac:dyDescent="0.3">
      <c r="A29" s="3" t="s">
        <v>28</v>
      </c>
      <c r="B29" s="11" t="s">
        <v>29</v>
      </c>
      <c r="C29" s="12"/>
      <c r="D29" s="12"/>
      <c r="E29" s="6"/>
      <c r="F29" s="6"/>
      <c r="G29" s="6"/>
      <c r="H29" s="6"/>
      <c r="I29" s="6"/>
      <c r="J29" s="2"/>
      <c r="M29" s="3"/>
      <c r="N29" s="3"/>
      <c r="O29" s="3"/>
      <c r="P29" s="3"/>
      <c r="Q29" s="3"/>
      <c r="R29" s="3"/>
      <c r="S29" s="3"/>
      <c r="T29" s="3"/>
      <c r="U29" s="3"/>
      <c r="W29" s="17" t="s">
        <v>3</v>
      </c>
      <c r="X29" s="18">
        <v>1</v>
      </c>
      <c r="Z29" s="17"/>
      <c r="AA29" s="23" t="s">
        <v>22</v>
      </c>
      <c r="AB29" s="7"/>
      <c r="AC29" s="30"/>
      <c r="AD29" s="65" t="s">
        <v>121</v>
      </c>
      <c r="AE29" s="66">
        <f>X55</f>
        <v>0</v>
      </c>
      <c r="AF29" s="67">
        <f>X54</f>
        <v>14542.877489600349</v>
      </c>
      <c r="AG29" s="68">
        <f>X53</f>
        <v>-351.26655108461694</v>
      </c>
      <c r="AM29" s="161">
        <f t="shared" si="55"/>
        <v>28569.600000000002</v>
      </c>
      <c r="AN29" s="161">
        <v>62</v>
      </c>
      <c r="AO29" s="161">
        <v>5.2819357330458824E-2</v>
      </c>
      <c r="AP29" s="161">
        <v>2.6818816528704516E-2</v>
      </c>
      <c r="AQ29" s="136">
        <v>0.03</v>
      </c>
      <c r="AR29" s="161">
        <v>8.2478950690880957E-7</v>
      </c>
      <c r="AS29" s="136">
        <f>-AR29/$AE$41</f>
        <v>-1.1180846555655822E-6</v>
      </c>
      <c r="AT29" s="146"/>
    </row>
    <row r="30" spans="1:46" x14ac:dyDescent="0.3">
      <c r="A30" s="3"/>
      <c r="B30" s="13" t="s">
        <v>30</v>
      </c>
      <c r="C30" s="14"/>
      <c r="D30" s="14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U30" s="3"/>
      <c r="W30" s="19" t="s">
        <v>4</v>
      </c>
      <c r="X30" s="20">
        <v>4800</v>
      </c>
      <c r="Y30" t="s">
        <v>77</v>
      </c>
      <c r="Z30" s="24" t="s">
        <v>16</v>
      </c>
      <c r="AA30" s="25">
        <v>0</v>
      </c>
      <c r="AC30" s="30"/>
      <c r="AD30" s="65" t="s">
        <v>21</v>
      </c>
      <c r="AE30" s="66">
        <f>X57</f>
        <v>-28327.005397586898</v>
      </c>
      <c r="AF30" s="67">
        <f>X56</f>
        <v>14190.01046667831</v>
      </c>
      <c r="AG30" s="31"/>
    </row>
    <row r="31" spans="1:46" ht="13.95" customHeight="1" thickBot="1" x14ac:dyDescent="0.35">
      <c r="A31" s="3"/>
      <c r="B31" s="15" t="s">
        <v>31</v>
      </c>
      <c r="C31" s="16"/>
      <c r="D31" s="16"/>
      <c r="E31" s="6"/>
      <c r="F31" s="6"/>
      <c r="G31" s="6"/>
      <c r="H31" s="6"/>
      <c r="I31" s="6"/>
      <c r="J31" s="2"/>
      <c r="M31" s="3"/>
      <c r="N31" s="3"/>
      <c r="O31" s="3"/>
      <c r="P31" s="2"/>
      <c r="Q31" s="3"/>
      <c r="R31" s="3"/>
      <c r="S31" s="3"/>
      <c r="T31" s="3"/>
      <c r="U31" s="3"/>
      <c r="W31" s="19" t="s">
        <v>5</v>
      </c>
      <c r="X31" s="20">
        <v>12</v>
      </c>
      <c r="Z31" s="26" t="s">
        <v>17</v>
      </c>
      <c r="AA31" s="27">
        <v>5</v>
      </c>
      <c r="AC31" s="30"/>
      <c r="AD31" s="65" t="s">
        <v>122</v>
      </c>
      <c r="AE31" s="66">
        <f>AA56</f>
        <v>-8469.4388916507069</v>
      </c>
      <c r="AF31" s="69">
        <f>AA55</f>
        <v>0.97555662398469367</v>
      </c>
      <c r="AG31" s="31"/>
    </row>
    <row r="32" spans="1:46" ht="13.95" customHeight="1" x14ac:dyDescent="0.3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U32" s="3"/>
      <c r="W32" s="57" t="s">
        <v>69</v>
      </c>
      <c r="X32" s="20">
        <v>3.9899999999999998E-2</v>
      </c>
      <c r="Y32" t="s">
        <v>76</v>
      </c>
      <c r="AC32" s="30"/>
      <c r="AD32" s="65" t="s">
        <v>123</v>
      </c>
      <c r="AE32" s="66">
        <f>AA54</f>
        <v>8705.4061069276213</v>
      </c>
      <c r="AF32" s="69">
        <f>AA53</f>
        <v>1.0235321332609688</v>
      </c>
      <c r="AG32" s="31"/>
    </row>
    <row r="33" spans="2:50" ht="23.4" x14ac:dyDescent="0.45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U33" s="3"/>
      <c r="W33" s="57" t="s">
        <v>70</v>
      </c>
      <c r="X33" s="129">
        <v>4.1999999999999996E-6</v>
      </c>
      <c r="Y33" t="s">
        <v>75</v>
      </c>
      <c r="AC33" s="94" t="s">
        <v>54</v>
      </c>
      <c r="AD33" s="65" t="s">
        <v>92</v>
      </c>
      <c r="AE33" s="124">
        <f>X63</f>
        <v>6.9658921582847581E-4</v>
      </c>
      <c r="AF33" s="124">
        <f>X62</f>
        <v>-1.9381907115184841E-7</v>
      </c>
      <c r="AG33" s="139">
        <f>X61</f>
        <v>1.782679103068748E-11</v>
      </c>
    </row>
    <row r="34" spans="2:50" x14ac:dyDescent="0.3">
      <c r="B34" s="5"/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U34" s="3"/>
      <c r="W34" s="57" t="s">
        <v>71</v>
      </c>
      <c r="X34" s="130">
        <f>X30*2*PI()/60</f>
        <v>502.6548245743669</v>
      </c>
      <c r="Y34" t="s">
        <v>73</v>
      </c>
      <c r="AD34" s="65" t="s">
        <v>130</v>
      </c>
      <c r="AE34" s="124">
        <f>AA63</f>
        <v>2.0111653701195102E-3</v>
      </c>
      <c r="AF34" s="124">
        <f>AA62</f>
        <v>-3.0709262345742761E-7</v>
      </c>
      <c r="AG34" s="139">
        <f>AA61</f>
        <v>1.4325144135226059E-11</v>
      </c>
    </row>
    <row r="35" spans="2:50" x14ac:dyDescent="0.3">
      <c r="B35" s="5"/>
      <c r="C35" s="6"/>
      <c r="D35" s="6"/>
      <c r="E35" s="6"/>
      <c r="F35" s="6"/>
      <c r="G35" s="6"/>
      <c r="H35" s="6"/>
      <c r="I35" s="6"/>
      <c r="J35" s="2"/>
      <c r="M35" s="3"/>
      <c r="N35" s="3"/>
      <c r="O35" s="3"/>
      <c r="P35" s="3"/>
      <c r="Q35" s="3"/>
      <c r="R35" s="3"/>
      <c r="S35" s="3"/>
      <c r="T35" s="3"/>
      <c r="U35" s="3"/>
      <c r="W35" s="57" t="s">
        <v>72</v>
      </c>
      <c r="X35" s="132">
        <f>7/X34</f>
        <v>1.3926057520540842E-2</v>
      </c>
      <c r="Y35" t="s">
        <v>74</v>
      </c>
      <c r="AD35" s="165" t="s">
        <v>133</v>
      </c>
      <c r="AE35" s="164">
        <v>31.3</v>
      </c>
      <c r="AF35" s="164">
        <v>-1.58</v>
      </c>
      <c r="AG35" s="31"/>
    </row>
    <row r="36" spans="2:50" ht="15" thickBot="1" x14ac:dyDescent="0.35">
      <c r="C36" s="6"/>
      <c r="D36" s="6"/>
      <c r="E36" s="6"/>
      <c r="F36" s="6"/>
      <c r="G36" s="6"/>
      <c r="H36" s="6"/>
      <c r="I36" s="6"/>
      <c r="J36" s="2"/>
      <c r="M36" s="3"/>
      <c r="N36" s="3"/>
      <c r="O36" s="3"/>
      <c r="P36" s="3"/>
      <c r="Q36" s="3"/>
      <c r="R36" s="3"/>
      <c r="S36" s="3"/>
      <c r="T36" s="3"/>
      <c r="U36" s="3"/>
      <c r="W36" s="131" t="s">
        <v>79</v>
      </c>
      <c r="X36" s="145">
        <f>AF55</f>
        <v>3.7426817504796325E-8</v>
      </c>
      <c r="Y36" t="s">
        <v>80</v>
      </c>
      <c r="AA36" t="s">
        <v>112</v>
      </c>
      <c r="AD36" s="65" t="s">
        <v>181</v>
      </c>
      <c r="AE36" s="69">
        <f>Y15</f>
        <v>4.4249528005034611</v>
      </c>
      <c r="AF36" s="30"/>
      <c r="AG36" s="31"/>
    </row>
    <row r="37" spans="2:50" ht="15" thickBot="1" x14ac:dyDescent="0.35">
      <c r="W37" t="s">
        <v>35</v>
      </c>
      <c r="AD37" s="65" t="s">
        <v>180</v>
      </c>
      <c r="AE37" s="164">
        <f>$X$43</f>
        <v>2.1213604393365078E-3</v>
      </c>
      <c r="AF37" s="30"/>
      <c r="AG37" s="31"/>
      <c r="AU37" t="s">
        <v>190</v>
      </c>
      <c r="AX37" t="s">
        <v>195</v>
      </c>
    </row>
    <row r="38" spans="2:50" ht="15" thickBot="1" x14ac:dyDescent="0.35">
      <c r="W38" s="34">
        <v>240</v>
      </c>
      <c r="X38" s="35" t="s">
        <v>34</v>
      </c>
      <c r="Y38" s="36"/>
      <c r="Z38" s="35"/>
      <c r="AA38" s="35"/>
      <c r="AB38" s="37"/>
      <c r="AD38" s="65" t="s">
        <v>179</v>
      </c>
      <c r="AE38" s="164">
        <f>$X$42</f>
        <v>1.2250000000000001</v>
      </c>
      <c r="AF38" s="30"/>
      <c r="AG38" s="31"/>
      <c r="AU38" t="s">
        <v>188</v>
      </c>
      <c r="AV38" s="153"/>
      <c r="AW38" s="169" t="s">
        <v>191</v>
      </c>
      <c r="AX38" t="s">
        <v>192</v>
      </c>
    </row>
    <row r="39" spans="2:50" ht="15" thickBot="1" x14ac:dyDescent="0.35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U39" s="10"/>
      <c r="W39" t="s">
        <v>36</v>
      </c>
      <c r="AD39" s="65" t="s">
        <v>182</v>
      </c>
      <c r="AE39" s="166">
        <f>$AF$13</f>
        <v>-0.70892513020582326</v>
      </c>
      <c r="AF39" s="30"/>
      <c r="AG39" s="31"/>
      <c r="AU39" t="s">
        <v>189</v>
      </c>
      <c r="AX39" t="s">
        <v>193</v>
      </c>
    </row>
    <row r="40" spans="2:50" x14ac:dyDescent="0.3"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U40" s="10"/>
      <c r="W40" s="17" t="s">
        <v>6</v>
      </c>
      <c r="X40" s="50">
        <f>X30*X31/Y40</f>
        <v>46080</v>
      </c>
      <c r="Y40" s="157">
        <v>1.25</v>
      </c>
      <c r="Z40" s="28" t="s">
        <v>9</v>
      </c>
      <c r="AA40" s="158"/>
      <c r="AB40">
        <f>W38</f>
        <v>240</v>
      </c>
      <c r="AC40" t="s">
        <v>157</v>
      </c>
      <c r="AD40" s="65" t="s">
        <v>184</v>
      </c>
      <c r="AE40" s="92">
        <f>AE13</f>
        <v>2.5988730787182082</v>
      </c>
      <c r="AF40" s="177" t="s">
        <v>261</v>
      </c>
      <c r="AG40" s="177">
        <v>5.5</v>
      </c>
      <c r="AU40" t="s">
        <v>183</v>
      </c>
      <c r="AX40" t="s">
        <v>194</v>
      </c>
    </row>
    <row r="41" spans="2:50" ht="15" thickBot="1" x14ac:dyDescent="0.35">
      <c r="C41" s="6"/>
      <c r="D41" s="6"/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  <c r="U41" s="10"/>
      <c r="W41" s="21" t="s">
        <v>155</v>
      </c>
      <c r="X41" s="159">
        <f>450/454</f>
        <v>0.99118942731277537</v>
      </c>
      <c r="Y41" s="32" t="s">
        <v>156</v>
      </c>
      <c r="Z41" s="171">
        <f>X41/0.224</f>
        <v>4.4249528005034611</v>
      </c>
      <c r="AA41" s="33" t="s">
        <v>159</v>
      </c>
      <c r="AD41" s="65" t="s">
        <v>185</v>
      </c>
      <c r="AE41" s="166">
        <f>1/1.3556</f>
        <v>0.73768073177928595</v>
      </c>
      <c r="AU41" t="s">
        <v>196</v>
      </c>
      <c r="AV41" t="s">
        <v>199</v>
      </c>
    </row>
    <row r="42" spans="2:50" x14ac:dyDescent="0.3">
      <c r="B42" t="s">
        <v>55</v>
      </c>
      <c r="C42" s="6"/>
      <c r="D42" s="6"/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U42" s="10"/>
      <c r="W42" s="45" t="s">
        <v>161</v>
      </c>
      <c r="X42" s="5">
        <v>1.2250000000000001</v>
      </c>
      <c r="Y42" t="s">
        <v>162</v>
      </c>
      <c r="Z42" t="s">
        <v>170</v>
      </c>
      <c r="AD42" s="65" t="s">
        <v>186</v>
      </c>
      <c r="AE42" s="168">
        <f>$X$36</f>
        <v>3.7426817504796325E-8</v>
      </c>
      <c r="AU42" t="s">
        <v>197</v>
      </c>
      <c r="AW42" s="169" t="s">
        <v>198</v>
      </c>
      <c r="AX42" t="s">
        <v>204</v>
      </c>
    </row>
    <row r="43" spans="2:50" ht="15" thickBot="1" x14ac:dyDescent="0.35">
      <c r="B43" t="s">
        <v>51</v>
      </c>
      <c r="C43" s="6" t="s">
        <v>52</v>
      </c>
      <c r="D43" s="6" t="s">
        <v>53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U43" s="10"/>
      <c r="W43" s="45" t="s">
        <v>163</v>
      </c>
      <c r="X43" s="161">
        <f>(55^2-18^2)*PI()/4/1000^2</f>
        <v>2.1213604393365078E-3</v>
      </c>
      <c r="Y43" t="s">
        <v>164</v>
      </c>
      <c r="Z43" t="s">
        <v>169</v>
      </c>
      <c r="AA43" s="161">
        <v>55</v>
      </c>
      <c r="AB43" t="s">
        <v>93</v>
      </c>
      <c r="AD43" s="70" t="s">
        <v>201</v>
      </c>
      <c r="AE43" s="148">
        <f>AA43/1000</f>
        <v>5.5E-2</v>
      </c>
      <c r="AF43" s="32"/>
      <c r="AG43" s="33"/>
      <c r="AU43" t="s">
        <v>200</v>
      </c>
    </row>
    <row r="44" spans="2:50" ht="15" thickBot="1" x14ac:dyDescent="0.35">
      <c r="B44" s="73">
        <v>87</v>
      </c>
      <c r="C44" s="6">
        <f>B44/180*(2.4-0.53)+0.53</f>
        <v>1.4338333333333333</v>
      </c>
      <c r="D44" s="88">
        <f>(C44-1)*180</f>
        <v>78.089999999999989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>
        <f>(60*2.5/PI()/AA43*1000/41)^2</f>
        <v>448.32161728852856</v>
      </c>
      <c r="U44" s="10"/>
      <c r="W44" t="s">
        <v>37</v>
      </c>
      <c r="Z44" t="s">
        <v>176</v>
      </c>
      <c r="AA44" s="161">
        <v>45</v>
      </c>
      <c r="AB44" t="s">
        <v>177</v>
      </c>
      <c r="AC44" t="s">
        <v>178</v>
      </c>
      <c r="AW44" s="169" t="s">
        <v>191</v>
      </c>
      <c r="AX44" t="s">
        <v>205</v>
      </c>
    </row>
    <row r="45" spans="2:50" ht="28.8" x14ac:dyDescent="0.3">
      <c r="B45" s="73">
        <v>90</v>
      </c>
      <c r="C45" s="6">
        <f t="shared" ref="C45:C50" si="56">B45/180*(2.4-0.53)+0.53</f>
        <v>1.4649999999999999</v>
      </c>
      <c r="D45" s="88">
        <f t="shared" ref="D45:D50" si="57">(C45-1)*180</f>
        <v>83.699999999999974</v>
      </c>
      <c r="E45" s="6"/>
      <c r="F45" s="6"/>
      <c r="G45" s="6"/>
      <c r="H45" s="6"/>
      <c r="I45" s="6"/>
      <c r="J45" s="9"/>
      <c r="K45" s="6"/>
      <c r="L45" s="6"/>
      <c r="M45" s="10"/>
      <c r="N45" s="10"/>
      <c r="O45" s="10"/>
      <c r="P45" s="10"/>
      <c r="Q45" s="10"/>
      <c r="R45" s="10"/>
      <c r="S45" s="10"/>
      <c r="T45" s="10"/>
      <c r="U45" s="10"/>
      <c r="W45" s="17"/>
      <c r="X45" s="42" t="s">
        <v>19</v>
      </c>
      <c r="Y45" s="28"/>
      <c r="Z45" s="42" t="s">
        <v>20</v>
      </c>
      <c r="AA45" s="29" t="s">
        <v>109</v>
      </c>
      <c r="AE45" t="s">
        <v>134</v>
      </c>
      <c r="AU45" t="s">
        <v>202</v>
      </c>
    </row>
    <row r="46" spans="2:50" x14ac:dyDescent="0.3">
      <c r="B46" s="73">
        <v>100</v>
      </c>
      <c r="C46" s="6">
        <f t="shared" si="56"/>
        <v>1.568888888888889</v>
      </c>
      <c r="D46" s="88">
        <f t="shared" si="57"/>
        <v>102.40000000000002</v>
      </c>
      <c r="E46" s="6"/>
      <c r="F46" s="6"/>
      <c r="G46" s="6"/>
      <c r="H46" s="6"/>
      <c r="I46" s="6"/>
      <c r="J46" s="9"/>
      <c r="K46" s="6"/>
      <c r="L46" s="6"/>
      <c r="M46" s="10"/>
      <c r="N46" s="10"/>
      <c r="O46" s="10"/>
      <c r="P46" s="10"/>
      <c r="Q46" s="10"/>
      <c r="R46" s="10"/>
      <c r="S46" s="10"/>
      <c r="T46" s="10"/>
      <c r="U46" s="10"/>
      <c r="W46" s="57" t="s">
        <v>14</v>
      </c>
      <c r="X46" s="58">
        <v>0</v>
      </c>
      <c r="Y46" s="45" t="s">
        <v>13</v>
      </c>
      <c r="Z46" s="59">
        <v>0</v>
      </c>
      <c r="AA46" s="89">
        <f>AA56/X40*100</f>
        <v>-18.379858705839208</v>
      </c>
      <c r="AB46" t="s">
        <v>106</v>
      </c>
      <c r="AE46" t="s">
        <v>128</v>
      </c>
      <c r="AF46">
        <v>25</v>
      </c>
      <c r="AG46" t="s">
        <v>93</v>
      </c>
      <c r="AU46" t="s">
        <v>203</v>
      </c>
    </row>
    <row r="47" spans="2:50" x14ac:dyDescent="0.3">
      <c r="B47" s="73">
        <v>110</v>
      </c>
      <c r="C47" s="6">
        <f t="shared" si="56"/>
        <v>1.6727777777777779</v>
      </c>
      <c r="D47" s="88">
        <f t="shared" si="57"/>
        <v>121.10000000000002</v>
      </c>
      <c r="E47" s="6"/>
      <c r="F47" s="6"/>
      <c r="G47" s="6"/>
      <c r="H47" s="6"/>
      <c r="I47" s="6"/>
      <c r="J47" s="2"/>
      <c r="M47" s="3"/>
      <c r="N47" s="3"/>
      <c r="O47" s="3"/>
      <c r="P47" s="3"/>
      <c r="Q47" s="3"/>
      <c r="R47" s="3"/>
      <c r="S47" s="3"/>
      <c r="T47" s="3"/>
      <c r="U47" s="3"/>
      <c r="W47" s="57" t="s">
        <v>15</v>
      </c>
      <c r="X47" s="58">
        <v>5</v>
      </c>
      <c r="Y47" s="45" t="s">
        <v>18</v>
      </c>
      <c r="Z47" s="59">
        <v>180</v>
      </c>
      <c r="AA47" s="60">
        <v>77</v>
      </c>
      <c r="AE47" t="s">
        <v>145</v>
      </c>
      <c r="AF47">
        <v>2.1797</v>
      </c>
      <c r="AG47" t="s">
        <v>94</v>
      </c>
    </row>
    <row r="48" spans="2:50" x14ac:dyDescent="0.3">
      <c r="B48" s="73">
        <v>114</v>
      </c>
      <c r="C48" s="6">
        <f t="shared" si="56"/>
        <v>1.7143333333333333</v>
      </c>
      <c r="D48" s="88">
        <f t="shared" si="57"/>
        <v>128.57999999999998</v>
      </c>
      <c r="W48" s="19"/>
      <c r="X48" s="30" t="s">
        <v>40</v>
      </c>
      <c r="Y48" s="30"/>
      <c r="Z48" s="61"/>
      <c r="AA48" s="89">
        <f>(AA47-AA46)/(X47-X46)</f>
        <v>19.075971741167841</v>
      </c>
      <c r="AE48" t="s">
        <v>129</v>
      </c>
      <c r="AF48">
        <f>($AF$46/25.4)^2*$AF$47/1000*2.2/3</f>
        <v>1.5484983053299442E-3</v>
      </c>
      <c r="AG48" t="s">
        <v>96</v>
      </c>
      <c r="AH48" s="151" t="s">
        <v>147</v>
      </c>
      <c r="AI48" s="104"/>
      <c r="AQ48" s="3"/>
    </row>
    <row r="49" spans="2:44" x14ac:dyDescent="0.3">
      <c r="B49" s="73">
        <v>127.5</v>
      </c>
      <c r="C49" s="6">
        <f t="shared" si="56"/>
        <v>1.8545833333333333</v>
      </c>
      <c r="D49" s="88">
        <f t="shared" si="57"/>
        <v>153.82499999999999</v>
      </c>
      <c r="W49" s="19"/>
      <c r="X49" s="30"/>
      <c r="Y49" s="30"/>
      <c r="Z49" s="61"/>
      <c r="AA49" s="89">
        <f>AA47-AA48*(X47-X46)</f>
        <v>-18.379858705839212</v>
      </c>
      <c r="AE49" t="s">
        <v>142</v>
      </c>
      <c r="AF49" s="97">
        <f>3/8/2*25.4</f>
        <v>4.7624999999999993</v>
      </c>
      <c r="AG49" t="s">
        <v>93</v>
      </c>
      <c r="AH49" t="s">
        <v>143</v>
      </c>
      <c r="AR49" s="3"/>
    </row>
    <row r="50" spans="2:44" ht="15" thickBot="1" x14ac:dyDescent="0.35">
      <c r="B50" s="80">
        <v>136.4</v>
      </c>
      <c r="C50" s="6">
        <f t="shared" si="56"/>
        <v>1.9470444444444444</v>
      </c>
      <c r="D50" s="88">
        <f t="shared" si="57"/>
        <v>170.46799999999999</v>
      </c>
      <c r="W50" s="21"/>
      <c r="X50" s="32"/>
      <c r="Y50" s="32"/>
      <c r="Z50" s="47"/>
      <c r="AA50" s="48" t="s">
        <v>124</v>
      </c>
      <c r="AE50" t="s">
        <v>144</v>
      </c>
      <c r="AF50" s="97">
        <f>3/4*25.4</f>
        <v>19.049999999999997</v>
      </c>
      <c r="AG50" t="s">
        <v>93</v>
      </c>
      <c r="AH50" t="s">
        <v>143</v>
      </c>
    </row>
    <row r="51" spans="2:44" x14ac:dyDescent="0.3">
      <c r="AE51" t="s">
        <v>146</v>
      </c>
      <c r="AF51">
        <f>PI()*(AF49/25.4)^2/4*3/4*0.3</f>
        <v>6.2126221909368446E-3</v>
      </c>
      <c r="AG51" t="s">
        <v>149</v>
      </c>
      <c r="AH51" t="s">
        <v>143</v>
      </c>
    </row>
    <row r="52" spans="2:44" ht="15" thickBot="1" x14ac:dyDescent="0.35">
      <c r="W52" t="s">
        <v>38</v>
      </c>
      <c r="AE52" t="s">
        <v>135</v>
      </c>
      <c r="AF52">
        <f>($AF$49/25.4)^2*$AF$51/2</f>
        <v>1.0920624945006168E-4</v>
      </c>
      <c r="AG52" t="s">
        <v>96</v>
      </c>
      <c r="AH52" t="s">
        <v>148</v>
      </c>
    </row>
    <row r="53" spans="2:44" x14ac:dyDescent="0.3">
      <c r="W53" s="49" t="s">
        <v>121</v>
      </c>
      <c r="X53" s="50">
        <f>INDEX(LINEST($P$4:$P$15,$D$4:$D$15^{1,2},FALSE,FALSE),1)</f>
        <v>-351.26655108461694</v>
      </c>
      <c r="Y53" s="28"/>
      <c r="Z53" s="51" t="s">
        <v>123</v>
      </c>
      <c r="AA53" s="52">
        <f>INDEX(LINEST($O$4:$O$15,$P$4:$P$15),1)</f>
        <v>1.0235321332609688</v>
      </c>
      <c r="AE53" t="s">
        <v>95</v>
      </c>
      <c r="AF53">
        <f>AF48+AF52</f>
        <v>1.6577045547800059E-3</v>
      </c>
      <c r="AG53" t="s">
        <v>96</v>
      </c>
    </row>
    <row r="54" spans="2:44" x14ac:dyDescent="0.3">
      <c r="W54" s="43"/>
      <c r="X54" s="54">
        <f>INDEX(LINEST($P$4:$P$15,$D$4:$D$15^{1,2},FALSE,FALSE),2)</f>
        <v>14542.877489600349</v>
      </c>
      <c r="Y54" s="30"/>
      <c r="Z54" s="44"/>
      <c r="AA54" s="46">
        <f>INDEX(LINEST($O$4:$O$15,$P$4:$P$15),2)</f>
        <v>8705.4061069276213</v>
      </c>
      <c r="AE54" t="s">
        <v>95</v>
      </c>
      <c r="AF54">
        <f>AF53/144</f>
        <v>1.1511837185972264E-5</v>
      </c>
      <c r="AG54" t="s">
        <v>97</v>
      </c>
    </row>
    <row r="55" spans="2:44" x14ac:dyDescent="0.3">
      <c r="W55" s="43"/>
      <c r="X55" s="54">
        <f>INDEX(LINEST($P$4:$P$15,$D$4:$D$15^{1,2},FALSE,FALSE),3)</f>
        <v>0</v>
      </c>
      <c r="Y55" s="30"/>
      <c r="Z55" s="44" t="s">
        <v>122</v>
      </c>
      <c r="AA55" s="46">
        <f>INDEX(LINEST($P$4:$P$15,$O$4:$O$15),1)</f>
        <v>0.97555662398469367</v>
      </c>
      <c r="AE55" t="s">
        <v>95</v>
      </c>
      <c r="AF55">
        <f>AF54/2048.5*6.66</f>
        <v>3.7426817504796325E-8</v>
      </c>
      <c r="AG55" t="s">
        <v>98</v>
      </c>
    </row>
    <row r="56" spans="2:44" x14ac:dyDescent="0.3">
      <c r="W56" s="43" t="s">
        <v>21</v>
      </c>
      <c r="X56" s="54">
        <f>INDEX(LINEST($O$8:$O$15,$L$8:$L$15),1)</f>
        <v>14190.01046667831</v>
      </c>
      <c r="Y56" s="30"/>
      <c r="Z56" s="44"/>
      <c r="AA56" s="46">
        <f>INDEX(LINEST($P$4:$P$15,$O$4:$O$15),2)</f>
        <v>-8469.4388916507069</v>
      </c>
      <c r="AB56" t="s">
        <v>60</v>
      </c>
    </row>
    <row r="57" spans="2:44" x14ac:dyDescent="0.3">
      <c r="W57" s="43"/>
      <c r="X57" s="54">
        <f>INDEX(LINEST($O$8:$O$15,$L$8:$L$15),2)</f>
        <v>-28327.005397586898</v>
      </c>
      <c r="Y57" s="30"/>
      <c r="Z57" s="30"/>
      <c r="AA57" s="31"/>
    </row>
    <row r="58" spans="2:44" x14ac:dyDescent="0.3">
      <c r="W58" s="19"/>
      <c r="X58" s="30"/>
      <c r="Y58" s="30"/>
      <c r="Z58" s="30"/>
      <c r="AA58" s="31"/>
    </row>
    <row r="59" spans="2:44" ht="15" thickBot="1" x14ac:dyDescent="0.35">
      <c r="W59" s="107" t="s">
        <v>62</v>
      </c>
      <c r="X59" s="108">
        <f>EXP((0-$AE$30)/$AF$30)</f>
        <v>7.361501228839896</v>
      </c>
      <c r="Y59" s="32"/>
      <c r="Z59" s="32"/>
      <c r="AA59" s="33"/>
      <c r="AB59" t="s">
        <v>65</v>
      </c>
    </row>
    <row r="60" spans="2:44" ht="15" thickBot="1" x14ac:dyDescent="0.35"/>
    <row r="61" spans="2:44" x14ac:dyDescent="0.3">
      <c r="W61" s="49" t="s">
        <v>92</v>
      </c>
      <c r="X61" s="121">
        <f>INDEX(LINEST($X$4:$X$15,$O$4:$O$15^{1,2}),1)</f>
        <v>1.782679103068748E-11</v>
      </c>
      <c r="Z61" s="49" t="s">
        <v>130</v>
      </c>
      <c r="AA61" s="121">
        <f>INDEX(LINEST($X$67:$X$84,$O$67:$O$84^{1,2}),1)</f>
        <v>1.4325144135226059E-11</v>
      </c>
      <c r="AF61" s="45"/>
      <c r="AG61" s="150"/>
    </row>
    <row r="62" spans="2:44" x14ac:dyDescent="0.3">
      <c r="W62" s="43"/>
      <c r="X62" s="122">
        <f>INDEX(LINEST($X$4:$X$15,$O$4:$O$15^{1,2}),2)</f>
        <v>-1.9381907115184841E-7</v>
      </c>
      <c r="Z62" s="43"/>
      <c r="AA62" s="122">
        <f>INDEX(LINEST($X$67:$X$84,$O$67:$O$84^{1,2}),2)</f>
        <v>-3.0709262345742761E-7</v>
      </c>
      <c r="AF62" s="45"/>
      <c r="AG62" s="150"/>
    </row>
    <row r="63" spans="2:44" ht="15" thickBot="1" x14ac:dyDescent="0.35">
      <c r="W63" s="55"/>
      <c r="X63" s="123">
        <f>INDEX(LINEST($X$4:$X$15,$O$4:$O$15^{1,2}),3)</f>
        <v>6.9658921582847581E-4</v>
      </c>
      <c r="Z63" s="55"/>
      <c r="AA63" s="123">
        <f>INDEX(LINEST($X$67:$X$84,$O$67:$O$84^{1,2}),3)</f>
        <v>2.0111653701195102E-3</v>
      </c>
      <c r="AF63" s="45"/>
      <c r="AG63" s="150"/>
    </row>
    <row r="66" spans="2:25" x14ac:dyDescent="0.3">
      <c r="B66" t="s">
        <v>116</v>
      </c>
      <c r="V66" t="s">
        <v>89</v>
      </c>
      <c r="W66" t="s">
        <v>151</v>
      </c>
      <c r="X66" t="s">
        <v>152</v>
      </c>
    </row>
    <row r="67" spans="2:25" x14ac:dyDescent="0.3">
      <c r="B67" s="113">
        <f t="shared" ref="B67:B72" si="58">C67/180+1</f>
        <v>1.0611111111111111</v>
      </c>
      <c r="C67" s="142">
        <v>11</v>
      </c>
      <c r="D67" s="142"/>
      <c r="E67" s="142">
        <v>13.68</v>
      </c>
      <c r="F67" s="142">
        <v>0.6</v>
      </c>
      <c r="G67" s="142">
        <v>6860</v>
      </c>
      <c r="H67" s="143"/>
      <c r="I67" s="142"/>
      <c r="J67" s="2">
        <f>E67*F67</f>
        <v>8.2080000000000002</v>
      </c>
      <c r="K67" s="1">
        <f>C67</f>
        <v>11</v>
      </c>
      <c r="L67" s="1">
        <f>LN(K67)</f>
        <v>2.3978952727983707</v>
      </c>
      <c r="M67" s="3">
        <f>1/G67/0.000001</f>
        <v>145.77259475218659</v>
      </c>
      <c r="N67" s="3"/>
      <c r="O67" s="3">
        <f t="shared" ref="O67:O82" si="59">M67*60/$X$29</f>
        <v>8746.3556851311951</v>
      </c>
      <c r="P67" s="3">
        <f t="shared" ref="P67:P82" si="60">N67*60/$X$29</f>
        <v>0</v>
      </c>
      <c r="Q67" s="3">
        <f t="shared" ref="Q67:Q82" si="61">O67/$X$40*100</f>
        <v>18.980806608357629</v>
      </c>
      <c r="R67" s="3">
        <f t="shared" ref="R67:R82" si="62">P67/$X$40*100</f>
        <v>0</v>
      </c>
      <c r="S67" s="3">
        <f>K67</f>
        <v>11</v>
      </c>
      <c r="T67" s="4">
        <f>J67</f>
        <v>8.2080000000000002</v>
      </c>
      <c r="U67" s="4"/>
      <c r="V67">
        <f>(T67-$T$3)*0.001341022</f>
        <v>5.0395070351200002E-3</v>
      </c>
      <c r="W67" s="137">
        <f>$V67/$O67*5252</f>
        <v>3.0261164651061443E-3</v>
      </c>
      <c r="X67" s="152">
        <f>W67-$W$67</f>
        <v>0</v>
      </c>
      <c r="Y67">
        <f t="shared" ref="Y67:Y84" si="63">-X67/2/O67</f>
        <v>0</v>
      </c>
    </row>
    <row r="68" spans="2:25" x14ac:dyDescent="0.3">
      <c r="B68" s="113">
        <f t="shared" si="58"/>
        <v>1.0833333333333333</v>
      </c>
      <c r="C68" s="142">
        <v>15</v>
      </c>
      <c r="D68" s="142"/>
      <c r="E68" s="142">
        <v>13.66</v>
      </c>
      <c r="F68" s="142">
        <v>0.65100000000000002</v>
      </c>
      <c r="G68" s="142">
        <v>6180</v>
      </c>
      <c r="H68" s="143"/>
      <c r="I68" s="142"/>
      <c r="J68" s="2">
        <f>E68*F68</f>
        <v>8.8926600000000011</v>
      </c>
      <c r="K68" s="1">
        <f>C68</f>
        <v>15</v>
      </c>
      <c r="L68" s="1">
        <f>LN(K68)</f>
        <v>2.7080502011022101</v>
      </c>
      <c r="M68" s="3">
        <f>1/G68/0.000001</f>
        <v>161.81229773462783</v>
      </c>
      <c r="N68" s="3"/>
      <c r="O68" s="3">
        <f t="shared" si="59"/>
        <v>9708.7378640776697</v>
      </c>
      <c r="P68" s="3">
        <f t="shared" si="60"/>
        <v>0</v>
      </c>
      <c r="Q68" s="3">
        <f t="shared" si="61"/>
        <v>21.069309600862997</v>
      </c>
      <c r="R68" s="3">
        <f t="shared" si="62"/>
        <v>0</v>
      </c>
      <c r="S68" s="3">
        <f>K68</f>
        <v>15</v>
      </c>
      <c r="T68" s="4">
        <f>J68</f>
        <v>8.8926600000000011</v>
      </c>
      <c r="U68" s="4"/>
      <c r="V68">
        <f t="shared" ref="V68:V84" si="64">(T68-$T$3)*0.001341022</f>
        <v>5.9576511576400013E-3</v>
      </c>
      <c r="W68" s="127">
        <f>$V68/$O68*5252</f>
        <v>3.2228271396323046E-3</v>
      </c>
      <c r="X68" s="152">
        <f t="shared" ref="X68:X84" si="65">W68-$W$67</f>
        <v>1.967106745261603E-4</v>
      </c>
      <c r="Y68">
        <f t="shared" si="63"/>
        <v>-1.0130599738097255E-8</v>
      </c>
    </row>
    <row r="69" spans="2:25" x14ac:dyDescent="0.3">
      <c r="B69" s="113">
        <f t="shared" si="58"/>
        <v>1.0666666666666667</v>
      </c>
      <c r="C69" s="142">
        <v>12</v>
      </c>
      <c r="D69" s="142"/>
      <c r="E69" s="142">
        <v>13.63</v>
      </c>
      <c r="F69" s="142">
        <v>0.68</v>
      </c>
      <c r="G69" s="142">
        <v>5840</v>
      </c>
      <c r="H69" s="143"/>
      <c r="I69" s="142"/>
      <c r="J69" s="2">
        <f>E69*F69</f>
        <v>9.2684000000000015</v>
      </c>
      <c r="K69" s="1">
        <f>C69</f>
        <v>12</v>
      </c>
      <c r="L69" s="1">
        <f>LN(K69)</f>
        <v>2.4849066497880004</v>
      </c>
      <c r="M69" s="3">
        <f>1/G69/0.000001</f>
        <v>171.23287671232879</v>
      </c>
      <c r="N69" s="3"/>
      <c r="O69" s="3">
        <f t="shared" si="59"/>
        <v>10273.972602739726</v>
      </c>
      <c r="P69" s="3">
        <f t="shared" si="60"/>
        <v>0</v>
      </c>
      <c r="Q69" s="3">
        <f t="shared" si="61"/>
        <v>22.295947488584474</v>
      </c>
      <c r="R69" s="3">
        <f t="shared" si="62"/>
        <v>0</v>
      </c>
      <c r="S69" s="3">
        <f>K69</f>
        <v>12</v>
      </c>
      <c r="T69" s="4">
        <f>J69</f>
        <v>9.2684000000000015</v>
      </c>
      <c r="U69" s="4"/>
      <c r="V69">
        <f t="shared" si="64"/>
        <v>6.4615267639200015E-3</v>
      </c>
      <c r="W69" s="127">
        <f t="shared" ref="W69:W84" si="66">$V69/$O69*5252</f>
        <v>3.3030980202398302E-3</v>
      </c>
      <c r="X69" s="152">
        <f t="shared" si="65"/>
        <v>2.7698155513368591E-4</v>
      </c>
      <c r="Y69">
        <f t="shared" si="63"/>
        <v>-1.3479769016506046E-8</v>
      </c>
    </row>
    <row r="70" spans="2:25" x14ac:dyDescent="0.3">
      <c r="B70" s="113">
        <f t="shared" si="58"/>
        <v>1.0722222222222222</v>
      </c>
      <c r="C70" s="142">
        <v>13</v>
      </c>
      <c r="D70" s="142"/>
      <c r="E70" s="142">
        <v>13.6</v>
      </c>
      <c r="F70" s="142">
        <v>0.74</v>
      </c>
      <c r="G70" s="142">
        <v>5280</v>
      </c>
      <c r="H70" s="143"/>
      <c r="I70" s="142"/>
      <c r="J70" s="2">
        <f>E70*F70</f>
        <v>10.064</v>
      </c>
      <c r="K70" s="1">
        <f>C70</f>
        <v>13</v>
      </c>
      <c r="L70" s="1">
        <f>LN(K70)</f>
        <v>2.5649493574615367</v>
      </c>
      <c r="M70" s="3">
        <f>1/G70/0.000001</f>
        <v>189.39393939393941</v>
      </c>
      <c r="N70" s="3"/>
      <c r="O70" s="3">
        <f t="shared" si="59"/>
        <v>11363.636363636364</v>
      </c>
      <c r="P70" s="3">
        <f t="shared" si="60"/>
        <v>0</v>
      </c>
      <c r="Q70" s="3">
        <f t="shared" si="61"/>
        <v>24.660669191919194</v>
      </c>
      <c r="R70" s="3">
        <f t="shared" si="62"/>
        <v>0</v>
      </c>
      <c r="S70" s="3">
        <f>K70</f>
        <v>13</v>
      </c>
      <c r="T70" s="4">
        <f>J70</f>
        <v>10.064</v>
      </c>
      <c r="U70" s="4"/>
      <c r="V70">
        <f t="shared" si="64"/>
        <v>7.52844386712E-3</v>
      </c>
      <c r="W70" s="127">
        <f t="shared" si="66"/>
        <v>3.479466072730053E-3</v>
      </c>
      <c r="X70" s="152">
        <f t="shared" si="65"/>
        <v>4.5334960762390868E-4</v>
      </c>
      <c r="Y70">
        <f t="shared" si="63"/>
        <v>-1.9947382735451983E-8</v>
      </c>
    </row>
    <row r="71" spans="2:25" x14ac:dyDescent="0.3">
      <c r="B71" s="113">
        <f t="shared" si="58"/>
        <v>1.0777777777777777</v>
      </c>
      <c r="C71" s="142">
        <v>14</v>
      </c>
      <c r="D71" s="142"/>
      <c r="E71" s="142">
        <v>13.57</v>
      </c>
      <c r="F71" s="142">
        <v>0.78700000000000003</v>
      </c>
      <c r="G71" s="142">
        <v>4900</v>
      </c>
      <c r="H71" s="143"/>
      <c r="I71" s="142"/>
      <c r="J71" s="2">
        <f>E71*F71</f>
        <v>10.679590000000001</v>
      </c>
      <c r="K71" s="1">
        <f>C71</f>
        <v>14</v>
      </c>
      <c r="L71" s="1">
        <f>LN(K71)</f>
        <v>2.6390573296152584</v>
      </c>
      <c r="M71" s="3">
        <f>1/G71/0.000001</f>
        <v>204.08163265306123</v>
      </c>
      <c r="N71" s="3"/>
      <c r="O71" s="3">
        <f t="shared" si="59"/>
        <v>12244.897959183674</v>
      </c>
      <c r="P71" s="3">
        <f t="shared" si="60"/>
        <v>0</v>
      </c>
      <c r="Q71" s="3">
        <f t="shared" si="61"/>
        <v>26.573129251700685</v>
      </c>
      <c r="R71" s="3">
        <f t="shared" si="62"/>
        <v>0</v>
      </c>
      <c r="S71" s="3">
        <f>K71</f>
        <v>14</v>
      </c>
      <c r="T71" s="4">
        <f>J71</f>
        <v>10.679590000000001</v>
      </c>
      <c r="U71" s="4"/>
      <c r="V71">
        <f t="shared" si="64"/>
        <v>8.3539636001000016E-3</v>
      </c>
      <c r="W71" s="127">
        <f t="shared" si="66"/>
        <v>3.5831263742642254E-3</v>
      </c>
      <c r="X71" s="152">
        <f t="shared" si="65"/>
        <v>5.5700990915808109E-4</v>
      </c>
      <c r="Y71">
        <f t="shared" si="63"/>
        <v>-2.2744571290621641E-8</v>
      </c>
    </row>
    <row r="72" spans="2:25" x14ac:dyDescent="0.3">
      <c r="B72" s="113">
        <f t="shared" si="58"/>
        <v>1.1111111111111112</v>
      </c>
      <c r="C72" s="142">
        <v>20</v>
      </c>
      <c r="D72" s="142"/>
      <c r="E72" s="142">
        <v>13.77</v>
      </c>
      <c r="F72" s="142">
        <v>0.92900000000000005</v>
      </c>
      <c r="G72" s="142">
        <v>3500</v>
      </c>
      <c r="H72" s="143"/>
      <c r="I72" s="142"/>
      <c r="J72" s="2">
        <f t="shared" ref="J72:J84" si="67">E72*F72</f>
        <v>12.79233</v>
      </c>
      <c r="K72" s="1">
        <f t="shared" ref="K72:K84" si="68">C72</f>
        <v>20</v>
      </c>
      <c r="L72" s="1">
        <f t="shared" ref="L72:L84" si="69">LN(K72)</f>
        <v>2.9957322735539909</v>
      </c>
      <c r="M72" s="3">
        <f t="shared" ref="M72:M84" si="70">1/G72/0.000001</f>
        <v>285.71428571428572</v>
      </c>
      <c r="N72" s="3"/>
      <c r="O72" s="3">
        <f t="shared" si="59"/>
        <v>17142.857142857145</v>
      </c>
      <c r="P72" s="3">
        <f t="shared" si="60"/>
        <v>0</v>
      </c>
      <c r="Q72" s="3">
        <f t="shared" si="61"/>
        <v>37.202380952380956</v>
      </c>
      <c r="R72" s="3">
        <f t="shared" si="62"/>
        <v>0</v>
      </c>
      <c r="S72" s="3">
        <f t="shared" ref="S72:S84" si="71">K72</f>
        <v>20</v>
      </c>
      <c r="T72" s="4">
        <f t="shared" ref="T72:T84" si="72">J72</f>
        <v>12.79233</v>
      </c>
      <c r="U72" s="4"/>
      <c r="V72">
        <f t="shared" si="64"/>
        <v>1.1187194420379999E-2</v>
      </c>
      <c r="W72" s="127">
        <f t="shared" si="66"/>
        <v>3.4273834639237518E-3</v>
      </c>
      <c r="X72" s="152">
        <f t="shared" si="65"/>
        <v>4.0126699881760756E-4</v>
      </c>
      <c r="Y72">
        <f t="shared" si="63"/>
        <v>-1.1703620798846885E-8</v>
      </c>
    </row>
    <row r="73" spans="2:25" x14ac:dyDescent="0.3">
      <c r="B73" s="113">
        <f t="shared" ref="B73:B84" si="73">C73/180+1</f>
        <v>1.1388888888888888</v>
      </c>
      <c r="C73" s="142">
        <v>25</v>
      </c>
      <c r="D73" s="142"/>
      <c r="E73" s="142">
        <v>13.74</v>
      </c>
      <c r="F73" s="142">
        <v>1.26</v>
      </c>
      <c r="G73" s="142">
        <v>3010</v>
      </c>
      <c r="H73" s="142"/>
      <c r="I73" s="142"/>
      <c r="J73" s="2">
        <f t="shared" si="67"/>
        <v>17.3124</v>
      </c>
      <c r="K73" s="1">
        <f t="shared" si="68"/>
        <v>25</v>
      </c>
      <c r="L73" s="1">
        <f t="shared" si="69"/>
        <v>3.2188758248682006</v>
      </c>
      <c r="M73" s="3">
        <f t="shared" si="70"/>
        <v>332.22591362126246</v>
      </c>
      <c r="N73" s="3"/>
      <c r="O73" s="3">
        <f t="shared" si="59"/>
        <v>19933.554817275748</v>
      </c>
      <c r="P73" s="3">
        <f t="shared" si="60"/>
        <v>0</v>
      </c>
      <c r="Q73" s="3">
        <f t="shared" si="61"/>
        <v>43.258582502768547</v>
      </c>
      <c r="R73" s="3">
        <f t="shared" si="62"/>
        <v>0</v>
      </c>
      <c r="S73" s="3">
        <f t="shared" si="71"/>
        <v>25</v>
      </c>
      <c r="T73" s="4">
        <f t="shared" si="72"/>
        <v>17.3124</v>
      </c>
      <c r="U73" s="4"/>
      <c r="V73">
        <f t="shared" si="64"/>
        <v>1.7248707731919999E-2</v>
      </c>
      <c r="W73" s="127">
        <f t="shared" si="66"/>
        <v>4.5446090192368654E-3</v>
      </c>
      <c r="X73" s="152">
        <f t="shared" si="65"/>
        <v>1.5184925541307211E-3</v>
      </c>
      <c r="Y73">
        <f t="shared" si="63"/>
        <v>-3.8088854899445583E-8</v>
      </c>
    </row>
    <row r="74" spans="2:25" x14ac:dyDescent="0.3">
      <c r="B74" s="113">
        <f t="shared" si="73"/>
        <v>1.1666666666666667</v>
      </c>
      <c r="C74" s="142">
        <v>30</v>
      </c>
      <c r="D74" s="142"/>
      <c r="E74" s="142">
        <v>13.72</v>
      </c>
      <c r="F74" s="142">
        <v>1.734</v>
      </c>
      <c r="G74" s="142">
        <v>2650</v>
      </c>
      <c r="H74" s="142"/>
      <c r="I74" s="142"/>
      <c r="J74" s="2">
        <f t="shared" si="67"/>
        <v>23.790480000000002</v>
      </c>
      <c r="K74" s="1">
        <f t="shared" si="68"/>
        <v>30</v>
      </c>
      <c r="L74" s="1">
        <f t="shared" si="69"/>
        <v>3.4011973816621555</v>
      </c>
      <c r="M74" s="3">
        <f t="shared" si="70"/>
        <v>377.35849056603774</v>
      </c>
      <c r="N74" s="3"/>
      <c r="O74" s="3">
        <f t="shared" si="59"/>
        <v>22641.509433962266</v>
      </c>
      <c r="P74" s="3">
        <f t="shared" si="60"/>
        <v>0</v>
      </c>
      <c r="Q74" s="3">
        <f t="shared" si="61"/>
        <v>49.135220125786169</v>
      </c>
      <c r="R74" s="3">
        <f t="shared" si="62"/>
        <v>0</v>
      </c>
      <c r="S74" s="3">
        <f t="shared" si="71"/>
        <v>30</v>
      </c>
      <c r="T74" s="4">
        <f t="shared" si="72"/>
        <v>23.790480000000002</v>
      </c>
      <c r="U74" s="4"/>
      <c r="V74">
        <f t="shared" si="64"/>
        <v>2.5935955529680001E-2</v>
      </c>
      <c r="W74" s="127">
        <f t="shared" si="66"/>
        <v>6.0161906978496715E-3</v>
      </c>
      <c r="X74" s="152">
        <f t="shared" si="65"/>
        <v>2.9900742327435273E-3</v>
      </c>
      <c r="Y74">
        <f t="shared" si="63"/>
        <v>-6.6030805973086218E-8</v>
      </c>
    </row>
    <row r="75" spans="2:25" x14ac:dyDescent="0.3">
      <c r="B75" s="113">
        <f t="shared" si="73"/>
        <v>1.1944444444444444</v>
      </c>
      <c r="C75" s="142">
        <v>35</v>
      </c>
      <c r="D75" s="142"/>
      <c r="E75" s="142">
        <v>13.69</v>
      </c>
      <c r="F75" s="142">
        <v>2.113</v>
      </c>
      <c r="G75" s="142">
        <v>2500</v>
      </c>
      <c r="H75" s="142"/>
      <c r="I75" s="142"/>
      <c r="J75" s="2">
        <f t="shared" si="67"/>
        <v>28.926969999999997</v>
      </c>
      <c r="K75" s="1">
        <f t="shared" si="68"/>
        <v>35</v>
      </c>
      <c r="L75" s="1">
        <f t="shared" si="69"/>
        <v>3.5553480614894135</v>
      </c>
      <c r="M75" s="3">
        <f t="shared" si="70"/>
        <v>400.00000000000006</v>
      </c>
      <c r="N75" s="3"/>
      <c r="O75" s="3">
        <f t="shared" si="59"/>
        <v>24000.000000000004</v>
      </c>
      <c r="P75" s="3">
        <f t="shared" si="60"/>
        <v>0</v>
      </c>
      <c r="Q75" s="3">
        <f t="shared" si="61"/>
        <v>52.083333333333336</v>
      </c>
      <c r="R75" s="3">
        <f t="shared" si="62"/>
        <v>0</v>
      </c>
      <c r="S75" s="3">
        <f t="shared" si="71"/>
        <v>35</v>
      </c>
      <c r="T75" s="4">
        <f t="shared" si="72"/>
        <v>28.926969999999997</v>
      </c>
      <c r="U75" s="4"/>
      <c r="V75">
        <f t="shared" si="64"/>
        <v>3.2824101622459995E-2</v>
      </c>
      <c r="W75" s="127">
        <f t="shared" si="66"/>
        <v>7.1830075717149939E-3</v>
      </c>
      <c r="X75" s="152">
        <f t="shared" si="65"/>
        <v>4.1568911066088496E-3</v>
      </c>
      <c r="Y75">
        <f t="shared" si="63"/>
        <v>-8.6601898054351018E-8</v>
      </c>
    </row>
    <row r="76" spans="2:25" x14ac:dyDescent="0.3">
      <c r="B76" s="113">
        <f t="shared" si="73"/>
        <v>1.2222222222222223</v>
      </c>
      <c r="C76" s="142">
        <v>40</v>
      </c>
      <c r="D76" s="142"/>
      <c r="E76" s="142">
        <v>13.66</v>
      </c>
      <c r="F76" s="142">
        <v>2.37</v>
      </c>
      <c r="G76" s="142">
        <v>2270</v>
      </c>
      <c r="H76" s="142"/>
      <c r="I76" s="142"/>
      <c r="J76" s="2">
        <f t="shared" si="67"/>
        <v>32.374200000000002</v>
      </c>
      <c r="K76" s="1">
        <f t="shared" si="68"/>
        <v>40</v>
      </c>
      <c r="L76" s="1">
        <f t="shared" si="69"/>
        <v>3.6888794541139363</v>
      </c>
      <c r="M76" s="3">
        <f t="shared" si="70"/>
        <v>440.52863436123351</v>
      </c>
      <c r="N76" s="3"/>
      <c r="O76" s="3">
        <f t="shared" si="59"/>
        <v>26431.718061674012</v>
      </c>
      <c r="P76" s="3">
        <f t="shared" si="60"/>
        <v>0</v>
      </c>
      <c r="Q76" s="3">
        <f t="shared" si="61"/>
        <v>57.360499265785613</v>
      </c>
      <c r="R76" s="3">
        <f t="shared" si="62"/>
        <v>0</v>
      </c>
      <c r="S76" s="3">
        <f t="shared" si="71"/>
        <v>40</v>
      </c>
      <c r="T76" s="4">
        <f t="shared" si="72"/>
        <v>32.374200000000002</v>
      </c>
      <c r="U76" s="4"/>
      <c r="V76">
        <f t="shared" si="64"/>
        <v>3.7446912891520003E-2</v>
      </c>
      <c r="W76" s="127">
        <f t="shared" si="66"/>
        <v>7.4407265561536179E-3</v>
      </c>
      <c r="X76" s="152">
        <f t="shared" si="65"/>
        <v>4.4146100910474736E-3</v>
      </c>
      <c r="Y76">
        <f t="shared" si="63"/>
        <v>-8.3509707555648035E-8</v>
      </c>
    </row>
    <row r="77" spans="2:25" x14ac:dyDescent="0.3">
      <c r="B77" s="113">
        <f t="shared" si="73"/>
        <v>1.2777777777777777</v>
      </c>
      <c r="C77" s="142">
        <v>50</v>
      </c>
      <c r="D77" s="142"/>
      <c r="E77" s="142">
        <v>13.6</v>
      </c>
      <c r="F77" s="142">
        <v>3.1</v>
      </c>
      <c r="G77" s="142">
        <v>2020</v>
      </c>
      <c r="H77" s="142"/>
      <c r="I77" s="142"/>
      <c r="J77" s="2">
        <f t="shared" si="67"/>
        <v>42.16</v>
      </c>
      <c r="K77" s="1">
        <f t="shared" si="68"/>
        <v>50</v>
      </c>
      <c r="L77" s="1">
        <f t="shared" si="69"/>
        <v>3.912023005428146</v>
      </c>
      <c r="M77" s="3">
        <f t="shared" si="70"/>
        <v>495.04950495049508</v>
      </c>
      <c r="N77" s="3"/>
      <c r="O77" s="3">
        <f t="shared" si="59"/>
        <v>29702.970297029704</v>
      </c>
      <c r="P77" s="3">
        <f t="shared" si="60"/>
        <v>0</v>
      </c>
      <c r="Q77" s="3">
        <f t="shared" si="61"/>
        <v>64.459570957095707</v>
      </c>
      <c r="R77" s="3">
        <f t="shared" si="62"/>
        <v>0</v>
      </c>
      <c r="S77" s="3">
        <f t="shared" si="71"/>
        <v>50</v>
      </c>
      <c r="T77" s="4">
        <f t="shared" si="72"/>
        <v>42.16</v>
      </c>
      <c r="U77" s="4"/>
      <c r="V77">
        <f t="shared" si="64"/>
        <v>5.0569885979119995E-2</v>
      </c>
      <c r="W77" s="127">
        <f t="shared" si="66"/>
        <v>8.9416323857987191E-3</v>
      </c>
      <c r="X77" s="152">
        <f t="shared" si="65"/>
        <v>5.9155159206925748E-3</v>
      </c>
      <c r="Y77">
        <f t="shared" si="63"/>
        <v>-9.957785133165834E-8</v>
      </c>
    </row>
    <row r="78" spans="2:25" x14ac:dyDescent="0.3">
      <c r="B78" s="113">
        <f t="shared" si="73"/>
        <v>1.3333333333333333</v>
      </c>
      <c r="C78" s="142">
        <v>60</v>
      </c>
      <c r="D78" s="142"/>
      <c r="E78" s="142">
        <v>13.52</v>
      </c>
      <c r="F78" s="142">
        <v>3.9</v>
      </c>
      <c r="G78" s="142">
        <v>1870</v>
      </c>
      <c r="H78" s="142"/>
      <c r="I78" s="142"/>
      <c r="J78" s="2">
        <f t="shared" si="67"/>
        <v>52.727999999999994</v>
      </c>
      <c r="K78" s="1">
        <f t="shared" si="68"/>
        <v>60</v>
      </c>
      <c r="L78" s="1">
        <f t="shared" si="69"/>
        <v>4.0943445622221004</v>
      </c>
      <c r="M78" s="3">
        <f t="shared" si="70"/>
        <v>534.75935828877004</v>
      </c>
      <c r="N78" s="3"/>
      <c r="O78" s="3">
        <f t="shared" si="59"/>
        <v>32085.561497326202</v>
      </c>
      <c r="P78" s="3">
        <f t="shared" si="60"/>
        <v>0</v>
      </c>
      <c r="Q78" s="3">
        <f t="shared" si="61"/>
        <v>69.630124777183596</v>
      </c>
      <c r="R78" s="3">
        <f t="shared" si="62"/>
        <v>0</v>
      </c>
      <c r="S78" s="3">
        <f t="shared" si="71"/>
        <v>60</v>
      </c>
      <c r="T78" s="4">
        <f t="shared" si="72"/>
        <v>52.727999999999994</v>
      </c>
      <c r="U78" s="4"/>
      <c r="V78">
        <f t="shared" si="64"/>
        <v>6.4741806475119998E-2</v>
      </c>
      <c r="W78" s="127">
        <f t="shared" si="66"/>
        <v>1.0597413657095125E-2</v>
      </c>
      <c r="X78" s="152">
        <f t="shared" si="65"/>
        <v>7.5712971919889805E-3</v>
      </c>
      <c r="Y78">
        <f t="shared" si="63"/>
        <v>-1.1798604790849495E-7</v>
      </c>
    </row>
    <row r="79" spans="2:25" x14ac:dyDescent="0.3">
      <c r="B79" s="113">
        <f t="shared" si="73"/>
        <v>1.4166666666666667</v>
      </c>
      <c r="C79" s="142">
        <v>75</v>
      </c>
      <c r="D79" s="142"/>
      <c r="E79" s="142">
        <v>13.2</v>
      </c>
      <c r="F79" s="142">
        <v>4.92</v>
      </c>
      <c r="G79" s="142">
        <v>1650</v>
      </c>
      <c r="H79" s="142"/>
      <c r="I79" s="142"/>
      <c r="J79" s="2">
        <f t="shared" si="67"/>
        <v>64.944000000000003</v>
      </c>
      <c r="K79" s="1">
        <f t="shared" si="68"/>
        <v>75</v>
      </c>
      <c r="L79" s="1">
        <f t="shared" si="69"/>
        <v>4.3174881135363101</v>
      </c>
      <c r="M79" s="3">
        <f t="shared" si="70"/>
        <v>606.06060606060612</v>
      </c>
      <c r="N79" s="3"/>
      <c r="O79" s="3">
        <f t="shared" si="59"/>
        <v>36363.636363636368</v>
      </c>
      <c r="P79" s="3">
        <f t="shared" si="60"/>
        <v>0</v>
      </c>
      <c r="Q79" s="3">
        <f t="shared" si="61"/>
        <v>78.914141414141426</v>
      </c>
      <c r="R79" s="3">
        <f t="shared" si="62"/>
        <v>0</v>
      </c>
      <c r="S79" s="3">
        <f t="shared" si="71"/>
        <v>75</v>
      </c>
      <c r="T79" s="4">
        <f t="shared" si="72"/>
        <v>64.944000000000003</v>
      </c>
      <c r="U79" s="4"/>
      <c r="V79">
        <f t="shared" si="64"/>
        <v>8.1123731227120008E-2</v>
      </c>
      <c r="W79" s="127">
        <f t="shared" si="66"/>
        <v>1.1716700501132942E-2</v>
      </c>
      <c r="X79" s="152">
        <f t="shared" si="65"/>
        <v>8.6905840360267973E-3</v>
      </c>
      <c r="Y79">
        <f t="shared" si="63"/>
        <v>-1.1949553049536844E-7</v>
      </c>
    </row>
    <row r="80" spans="2:25" x14ac:dyDescent="0.3">
      <c r="B80" s="113">
        <f t="shared" si="73"/>
        <v>1.5</v>
      </c>
      <c r="C80" s="142">
        <v>90</v>
      </c>
      <c r="D80" s="142"/>
      <c r="E80" s="142">
        <v>13.31</v>
      </c>
      <c r="F80" s="142">
        <v>6.12</v>
      </c>
      <c r="G80" s="142">
        <v>1510</v>
      </c>
      <c r="H80" s="142"/>
      <c r="I80" s="142"/>
      <c r="J80" s="2">
        <f t="shared" si="67"/>
        <v>81.4572</v>
      </c>
      <c r="K80" s="1">
        <f t="shared" si="68"/>
        <v>90</v>
      </c>
      <c r="L80" s="1">
        <f t="shared" si="69"/>
        <v>4.499809670330265</v>
      </c>
      <c r="M80" s="3">
        <f t="shared" si="70"/>
        <v>662.25165562913912</v>
      </c>
      <c r="N80" s="3"/>
      <c r="O80" s="3">
        <f t="shared" si="59"/>
        <v>39735.099337748346</v>
      </c>
      <c r="P80" s="3">
        <f t="shared" si="60"/>
        <v>0</v>
      </c>
      <c r="Q80" s="3">
        <f t="shared" si="61"/>
        <v>86.230684326710815</v>
      </c>
      <c r="R80" s="3">
        <f t="shared" si="62"/>
        <v>0</v>
      </c>
      <c r="S80" s="3">
        <f t="shared" si="71"/>
        <v>90</v>
      </c>
      <c r="T80" s="4">
        <f t="shared" si="72"/>
        <v>81.4572</v>
      </c>
      <c r="U80" s="4"/>
      <c r="V80">
        <f t="shared" si="64"/>
        <v>0.10326829571752001</v>
      </c>
      <c r="W80" s="127">
        <f t="shared" si="66"/>
        <v>1.3649521409228446E-2</v>
      </c>
      <c r="X80" s="152">
        <f t="shared" si="65"/>
        <v>1.0623404944122301E-2</v>
      </c>
      <c r="Y80">
        <f t="shared" si="63"/>
        <v>-1.3367784554687227E-7</v>
      </c>
    </row>
    <row r="81" spans="2:25" x14ac:dyDescent="0.3">
      <c r="B81" s="113">
        <f t="shared" si="73"/>
        <v>1.6055555555555556</v>
      </c>
      <c r="C81" s="142">
        <v>109</v>
      </c>
      <c r="D81" s="142"/>
      <c r="E81" s="142">
        <v>12.93</v>
      </c>
      <c r="F81" s="142">
        <v>7.27</v>
      </c>
      <c r="G81" s="142">
        <v>1470</v>
      </c>
      <c r="H81" s="142"/>
      <c r="I81" s="142"/>
      <c r="J81" s="2">
        <f t="shared" si="67"/>
        <v>94.001099999999994</v>
      </c>
      <c r="K81" s="1">
        <f t="shared" si="68"/>
        <v>109</v>
      </c>
      <c r="L81" s="1">
        <f t="shared" si="69"/>
        <v>4.6913478822291435</v>
      </c>
      <c r="M81" s="3">
        <f t="shared" si="70"/>
        <v>680.27210884353735</v>
      </c>
      <c r="N81" s="3"/>
      <c r="O81" s="3">
        <f t="shared" si="59"/>
        <v>40816.326530612241</v>
      </c>
      <c r="P81" s="3">
        <f t="shared" si="60"/>
        <v>0</v>
      </c>
      <c r="Q81" s="3">
        <f t="shared" si="61"/>
        <v>88.577097505668917</v>
      </c>
      <c r="R81" s="3">
        <f t="shared" si="62"/>
        <v>0</v>
      </c>
      <c r="S81" s="3">
        <f t="shared" si="71"/>
        <v>109</v>
      </c>
      <c r="T81" s="4">
        <f t="shared" si="72"/>
        <v>94.001099999999994</v>
      </c>
      <c r="U81" s="4"/>
      <c r="V81">
        <f t="shared" si="64"/>
        <v>0.12008994158332</v>
      </c>
      <c r="W81" s="127">
        <f t="shared" si="66"/>
        <v>1.5452453143292119E-2</v>
      </c>
      <c r="X81" s="152">
        <f t="shared" si="65"/>
        <v>1.2426336678185976E-2</v>
      </c>
      <c r="Y81">
        <f t="shared" si="63"/>
        <v>-1.5222262430777822E-7</v>
      </c>
    </row>
    <row r="82" spans="2:25" ht="15" thickBot="1" x14ac:dyDescent="0.35">
      <c r="B82" s="116">
        <f t="shared" si="73"/>
        <v>1.7222222222222223</v>
      </c>
      <c r="C82" s="142">
        <v>130</v>
      </c>
      <c r="D82" s="142"/>
      <c r="E82" s="142">
        <v>13.08</v>
      </c>
      <c r="F82" s="142">
        <v>8.9600000000000009</v>
      </c>
      <c r="G82" s="142">
        <v>1380</v>
      </c>
      <c r="H82" s="142"/>
      <c r="I82" s="142"/>
      <c r="J82" s="2">
        <f t="shared" si="67"/>
        <v>117.19680000000001</v>
      </c>
      <c r="K82" s="1">
        <f t="shared" si="68"/>
        <v>130</v>
      </c>
      <c r="L82" s="1">
        <f t="shared" si="69"/>
        <v>4.8675344504555822</v>
      </c>
      <c r="M82" s="3">
        <f t="shared" si="70"/>
        <v>724.63768115942037</v>
      </c>
      <c r="N82" s="3"/>
      <c r="O82" s="3">
        <f t="shared" si="59"/>
        <v>43478.260869565223</v>
      </c>
      <c r="P82" s="3">
        <f t="shared" si="60"/>
        <v>0</v>
      </c>
      <c r="Q82" s="3">
        <f t="shared" si="61"/>
        <v>94.353864734299535</v>
      </c>
      <c r="R82" s="3">
        <f t="shared" si="62"/>
        <v>0</v>
      </c>
      <c r="S82" s="3">
        <f t="shared" si="71"/>
        <v>130</v>
      </c>
      <c r="T82" s="4">
        <f t="shared" si="72"/>
        <v>117.19680000000001</v>
      </c>
      <c r="U82" s="4"/>
      <c r="V82">
        <f t="shared" si="64"/>
        <v>0.15119588558872002</v>
      </c>
      <c r="W82" s="127">
        <f t="shared" si="66"/>
        <v>1.8263858195575022E-2</v>
      </c>
      <c r="X82" s="152">
        <f t="shared" si="65"/>
        <v>1.5237741730468879E-2</v>
      </c>
      <c r="Y82">
        <f t="shared" si="63"/>
        <v>-1.7523402990039207E-7</v>
      </c>
    </row>
    <row r="83" spans="2:25" x14ac:dyDescent="0.3">
      <c r="B83" s="144">
        <f t="shared" si="73"/>
        <v>1.8277777777777777</v>
      </c>
      <c r="C83" s="142">
        <v>149</v>
      </c>
      <c r="D83" s="142"/>
      <c r="E83" s="142">
        <v>12.95</v>
      </c>
      <c r="F83" s="142">
        <v>10.8</v>
      </c>
      <c r="G83" s="142">
        <v>1310</v>
      </c>
      <c r="H83" s="142"/>
      <c r="I83" s="142"/>
      <c r="J83" s="1">
        <f t="shared" si="67"/>
        <v>139.86000000000001</v>
      </c>
      <c r="K83" s="1">
        <f t="shared" si="68"/>
        <v>149</v>
      </c>
      <c r="L83" s="1">
        <f t="shared" si="69"/>
        <v>5.0039463059454592</v>
      </c>
      <c r="M83" s="1">
        <f t="shared" si="70"/>
        <v>763.35877862595419</v>
      </c>
      <c r="O83" s="1">
        <f>M83*60/$X$29</f>
        <v>45801.526717557252</v>
      </c>
      <c r="Q83" s="1">
        <f>O83/$X$40*100</f>
        <v>99.395674300254456</v>
      </c>
      <c r="S83" s="1">
        <f t="shared" si="71"/>
        <v>149</v>
      </c>
      <c r="T83" s="4">
        <f t="shared" si="72"/>
        <v>139.86000000000001</v>
      </c>
      <c r="U83" s="4"/>
      <c r="V83">
        <f t="shared" si="64"/>
        <v>0.18158773537912004</v>
      </c>
      <c r="W83" s="127">
        <f t="shared" si="66"/>
        <v>2.0822423498943188E-2</v>
      </c>
      <c r="X83" s="152">
        <f t="shared" si="65"/>
        <v>1.7796307033837045E-2</v>
      </c>
      <c r="Y83">
        <f t="shared" si="63"/>
        <v>-1.942763517860544E-7</v>
      </c>
    </row>
    <row r="84" spans="2:25" x14ac:dyDescent="0.3">
      <c r="B84" s="144">
        <f t="shared" si="73"/>
        <v>1.911111111111111</v>
      </c>
      <c r="C84" s="142">
        <v>164</v>
      </c>
      <c r="D84" s="142"/>
      <c r="E84" s="142">
        <v>12.75</v>
      </c>
      <c r="F84" s="142">
        <v>13.9</v>
      </c>
      <c r="G84" s="142">
        <v>1252</v>
      </c>
      <c r="H84" s="142"/>
      <c r="I84" s="142"/>
      <c r="J84" s="1">
        <f t="shared" si="67"/>
        <v>177.22499999999999</v>
      </c>
      <c r="K84" s="1">
        <f t="shared" si="68"/>
        <v>164</v>
      </c>
      <c r="L84" s="1">
        <f t="shared" si="69"/>
        <v>5.0998664278241987</v>
      </c>
      <c r="M84" s="1">
        <f t="shared" si="70"/>
        <v>798.72204472843453</v>
      </c>
      <c r="O84" s="1">
        <f>M84*60/$X$29</f>
        <v>47923.322683706072</v>
      </c>
      <c r="Q84" s="1">
        <f>O84/$X$40*100</f>
        <v>104.00026624068157</v>
      </c>
      <c r="S84" s="1">
        <f t="shared" si="71"/>
        <v>164</v>
      </c>
      <c r="T84" s="4">
        <f t="shared" si="72"/>
        <v>177.22499999999999</v>
      </c>
      <c r="U84" s="4"/>
      <c r="V84">
        <f t="shared" si="64"/>
        <v>0.23169502240912002</v>
      </c>
      <c r="W84" s="127">
        <f t="shared" si="66"/>
        <v>2.539185911052097E-2</v>
      </c>
      <c r="X84" s="152">
        <f t="shared" si="65"/>
        <v>2.2365742645414827E-2</v>
      </c>
      <c r="Y84">
        <f t="shared" si="63"/>
        <v>-2.3334924826716135E-7</v>
      </c>
    </row>
    <row r="87" spans="2:25" x14ac:dyDescent="0.3">
      <c r="B87" t="s">
        <v>117</v>
      </c>
      <c r="V87" t="s">
        <v>90</v>
      </c>
      <c r="X87" t="s">
        <v>91</v>
      </c>
    </row>
    <row r="88" spans="2:25" x14ac:dyDescent="0.3">
      <c r="B88" s="113">
        <f>C88/180+1</f>
        <v>1.0611111111111111</v>
      </c>
      <c r="C88" s="142">
        <v>11</v>
      </c>
      <c r="D88" s="142"/>
      <c r="E88" s="142">
        <v>13.81</v>
      </c>
      <c r="F88" s="142">
        <v>0.57599999999999996</v>
      </c>
      <c r="G88" s="142">
        <v>4880</v>
      </c>
      <c r="H88" s="143"/>
      <c r="I88" s="142"/>
      <c r="J88" s="2">
        <f>E88*F88</f>
        <v>7.9545599999999999</v>
      </c>
      <c r="K88" s="1">
        <f t="shared" ref="K88:K102" si="74">C88</f>
        <v>11</v>
      </c>
      <c r="L88" s="1">
        <f t="shared" ref="L88:L102" si="75">LN(K88)</f>
        <v>2.3978952727983707</v>
      </c>
      <c r="M88" s="3">
        <f t="shared" ref="M88:M102" si="76">1/G88/0.000001</f>
        <v>204.91803278688525</v>
      </c>
      <c r="N88" s="3"/>
      <c r="O88" s="3">
        <f t="shared" ref="O88:O100" si="77">M88*60/$X$29</f>
        <v>12295.081967213115</v>
      </c>
      <c r="P88" s="3">
        <f t="shared" ref="P88:P100" si="78">N88*60/$X$29</f>
        <v>0</v>
      </c>
      <c r="Q88" s="3">
        <f t="shared" ref="Q88:Q100" si="79">O88/$X$40*100</f>
        <v>26.682035519125684</v>
      </c>
      <c r="R88" s="3">
        <f t="shared" ref="R88:R100" si="80">P88/$X$40*100</f>
        <v>0</v>
      </c>
      <c r="S88" s="3">
        <f t="shared" ref="S88:S102" si="81">K88</f>
        <v>11</v>
      </c>
      <c r="T88" s="4">
        <f t="shared" ref="T88:T102" si="82">J88</f>
        <v>7.9545599999999999</v>
      </c>
      <c r="U88" s="4"/>
      <c r="V88">
        <f>T88*0.001341022</f>
        <v>1.0667239960320001E-2</v>
      </c>
      <c r="W88" s="137">
        <f>$V88/$O88*5252</f>
        <v>4.5566466674235194E-3</v>
      </c>
      <c r="X88" s="127">
        <f>W88-$W$88</f>
        <v>0</v>
      </c>
      <c r="Y88">
        <f t="shared" ref="Y88:Y102" si="83">-X88/2/O88</f>
        <v>0</v>
      </c>
    </row>
    <row r="89" spans="2:25" x14ac:dyDescent="0.3">
      <c r="B89" s="113">
        <f>C89/180+1</f>
        <v>1.0833333333333333</v>
      </c>
      <c r="C89" s="142">
        <v>15</v>
      </c>
      <c r="D89" s="142"/>
      <c r="E89" s="142">
        <v>13.8</v>
      </c>
      <c r="F89" s="142">
        <v>0.77800000000000002</v>
      </c>
      <c r="G89" s="142">
        <v>3900</v>
      </c>
      <c r="H89" s="143"/>
      <c r="I89" s="142"/>
      <c r="J89" s="2">
        <f t="shared" ref="J89:J102" si="84">E89*F89</f>
        <v>10.736400000000001</v>
      </c>
      <c r="K89" s="1">
        <f t="shared" si="74"/>
        <v>15</v>
      </c>
      <c r="L89" s="1">
        <f t="shared" si="75"/>
        <v>2.7080502011022101</v>
      </c>
      <c r="M89" s="3">
        <f t="shared" si="76"/>
        <v>256.41025641025641</v>
      </c>
      <c r="N89" s="3"/>
      <c r="O89" s="3">
        <f t="shared" si="77"/>
        <v>15384.615384615385</v>
      </c>
      <c r="P89" s="3">
        <f t="shared" si="78"/>
        <v>0</v>
      </c>
      <c r="Q89" s="3">
        <f t="shared" si="79"/>
        <v>33.386752136752136</v>
      </c>
      <c r="R89" s="3">
        <f t="shared" si="80"/>
        <v>0</v>
      </c>
      <c r="S89" s="3">
        <f t="shared" si="81"/>
        <v>15</v>
      </c>
      <c r="T89" s="4">
        <f t="shared" si="82"/>
        <v>10.736400000000001</v>
      </c>
      <c r="U89" s="4"/>
      <c r="V89">
        <f t="shared" ref="V89:V102" si="85">T89*0.001341022</f>
        <v>1.4397748600800004E-2</v>
      </c>
      <c r="W89" s="127">
        <f t="shared" ref="W89:W102" si="86">$V89/$O89*5252</f>
        <v>4.9151034173411049E-3</v>
      </c>
      <c r="X89" s="127">
        <f t="shared" ref="X89:X102" si="87">W89-$W$88</f>
        <v>3.5845674991758555E-4</v>
      </c>
      <c r="Y89">
        <f t="shared" si="83"/>
        <v>-1.1649844372321531E-8</v>
      </c>
    </row>
    <row r="90" spans="2:25" x14ac:dyDescent="0.3">
      <c r="B90" s="113">
        <f>C90/180+1</f>
        <v>1.1111111111111112</v>
      </c>
      <c r="C90" s="142">
        <v>20</v>
      </c>
      <c r="D90" s="142"/>
      <c r="E90" s="142">
        <v>13.78</v>
      </c>
      <c r="F90" s="142">
        <v>1.04</v>
      </c>
      <c r="G90" s="142">
        <v>3260</v>
      </c>
      <c r="H90" s="143"/>
      <c r="I90" s="142"/>
      <c r="J90" s="2">
        <f t="shared" si="84"/>
        <v>14.331199999999999</v>
      </c>
      <c r="K90" s="1">
        <f t="shared" si="74"/>
        <v>20</v>
      </c>
      <c r="L90" s="1">
        <f t="shared" si="75"/>
        <v>2.9957322735539909</v>
      </c>
      <c r="M90" s="3">
        <f t="shared" si="76"/>
        <v>306.74846625766872</v>
      </c>
      <c r="N90" s="3"/>
      <c r="O90" s="3">
        <f t="shared" si="77"/>
        <v>18404.907975460123</v>
      </c>
      <c r="P90" s="3">
        <f t="shared" si="78"/>
        <v>0</v>
      </c>
      <c r="Q90" s="3">
        <f t="shared" si="79"/>
        <v>39.941206543967276</v>
      </c>
      <c r="R90" s="3">
        <f t="shared" si="80"/>
        <v>0</v>
      </c>
      <c r="S90" s="3">
        <f t="shared" si="81"/>
        <v>20</v>
      </c>
      <c r="T90" s="4">
        <f t="shared" si="82"/>
        <v>14.331199999999999</v>
      </c>
      <c r="U90" s="4"/>
      <c r="V90">
        <f t="shared" si="85"/>
        <v>1.92184544864E-2</v>
      </c>
      <c r="W90" s="127">
        <f t="shared" si="86"/>
        <v>5.4841525476331228E-3</v>
      </c>
      <c r="X90" s="127">
        <f t="shared" si="87"/>
        <v>9.2750588020960346E-4</v>
      </c>
      <c r="Y90">
        <f t="shared" si="83"/>
        <v>-2.519724307902756E-8</v>
      </c>
    </row>
    <row r="91" spans="2:25" x14ac:dyDescent="0.3">
      <c r="B91" s="113">
        <f t="shared" ref="B91:B102" si="88">C91/180+1</f>
        <v>1.1388888888888888</v>
      </c>
      <c r="C91" s="142">
        <v>25</v>
      </c>
      <c r="D91" s="142"/>
      <c r="E91" s="142">
        <v>13.76</v>
      </c>
      <c r="F91" s="142">
        <v>1.363</v>
      </c>
      <c r="G91" s="142">
        <v>2870</v>
      </c>
      <c r="H91" s="142"/>
      <c r="I91" s="142"/>
      <c r="J91" s="2">
        <f t="shared" si="84"/>
        <v>18.75488</v>
      </c>
      <c r="K91" s="1">
        <f t="shared" si="74"/>
        <v>25</v>
      </c>
      <c r="L91" s="1">
        <f t="shared" si="75"/>
        <v>3.2188758248682006</v>
      </c>
      <c r="M91" s="3">
        <f t="shared" si="76"/>
        <v>348.43205574912895</v>
      </c>
      <c r="N91" s="3"/>
      <c r="O91" s="3">
        <f t="shared" si="77"/>
        <v>20905.923344947736</v>
      </c>
      <c r="P91" s="3">
        <f t="shared" si="78"/>
        <v>0</v>
      </c>
      <c r="Q91" s="3">
        <f t="shared" si="79"/>
        <v>45.368757259001164</v>
      </c>
      <c r="R91" s="3">
        <f t="shared" si="80"/>
        <v>0</v>
      </c>
      <c r="S91" s="3">
        <f t="shared" si="81"/>
        <v>25</v>
      </c>
      <c r="T91" s="4">
        <f t="shared" si="82"/>
        <v>18.75488</v>
      </c>
      <c r="U91" s="4"/>
      <c r="V91">
        <f t="shared" si="85"/>
        <v>2.5150706687360001E-2</v>
      </c>
      <c r="W91" s="127">
        <f t="shared" si="86"/>
        <v>6.3183773011363711E-3</v>
      </c>
      <c r="X91" s="127">
        <f t="shared" si="87"/>
        <v>1.7617306337128517E-3</v>
      </c>
      <c r="Y91">
        <f t="shared" si="83"/>
        <v>-4.21347243229657E-8</v>
      </c>
    </row>
    <row r="92" spans="2:25" x14ac:dyDescent="0.3">
      <c r="B92" s="113">
        <f t="shared" si="88"/>
        <v>1.1666666666666667</v>
      </c>
      <c r="C92" s="142">
        <v>30</v>
      </c>
      <c r="D92" s="142"/>
      <c r="E92" s="142">
        <v>13.74</v>
      </c>
      <c r="F92" s="142">
        <v>1.67</v>
      </c>
      <c r="G92" s="142">
        <v>2640</v>
      </c>
      <c r="H92" s="142"/>
      <c r="I92" s="142"/>
      <c r="J92" s="2">
        <f t="shared" si="84"/>
        <v>22.945799999999998</v>
      </c>
      <c r="K92" s="1">
        <f t="shared" si="74"/>
        <v>30</v>
      </c>
      <c r="L92" s="1">
        <f t="shared" si="75"/>
        <v>3.4011973816621555</v>
      </c>
      <c r="M92" s="3">
        <f t="shared" si="76"/>
        <v>378.78787878787881</v>
      </c>
      <c r="N92" s="3"/>
      <c r="O92" s="3">
        <f t="shared" si="77"/>
        <v>22727.272727272728</v>
      </c>
      <c r="P92" s="3">
        <f t="shared" si="78"/>
        <v>0</v>
      </c>
      <c r="Q92" s="3">
        <f t="shared" si="79"/>
        <v>49.321338383838388</v>
      </c>
      <c r="R92" s="3">
        <f t="shared" si="80"/>
        <v>0</v>
      </c>
      <c r="S92" s="3">
        <f t="shared" si="81"/>
        <v>30</v>
      </c>
      <c r="T92" s="4">
        <f t="shared" si="82"/>
        <v>22.945799999999998</v>
      </c>
      <c r="U92" s="4"/>
      <c r="V92">
        <f t="shared" si="85"/>
        <v>3.0770822607600001E-2</v>
      </c>
      <c r="W92" s="127">
        <f t="shared" si="86"/>
        <v>7.1107678547450686E-3</v>
      </c>
      <c r="X92" s="127">
        <f t="shared" si="87"/>
        <v>2.5541211873215492E-3</v>
      </c>
      <c r="Y92">
        <f t="shared" si="83"/>
        <v>-5.6190666121074085E-8</v>
      </c>
    </row>
    <row r="93" spans="2:25" x14ac:dyDescent="0.3">
      <c r="B93" s="113">
        <f t="shared" si="88"/>
        <v>1.1944444444444444</v>
      </c>
      <c r="C93" s="142">
        <v>35</v>
      </c>
      <c r="D93" s="142"/>
      <c r="E93" s="142">
        <v>13.72</v>
      </c>
      <c r="F93" s="142">
        <v>2.0550000000000002</v>
      </c>
      <c r="G93" s="142">
        <v>2400</v>
      </c>
      <c r="H93" s="142"/>
      <c r="I93" s="142"/>
      <c r="J93" s="2">
        <f t="shared" si="84"/>
        <v>28.194600000000005</v>
      </c>
      <c r="K93" s="1">
        <f t="shared" si="74"/>
        <v>35</v>
      </c>
      <c r="L93" s="1">
        <f t="shared" si="75"/>
        <v>3.5553480614894135</v>
      </c>
      <c r="M93" s="3">
        <f t="shared" si="76"/>
        <v>416.66666666666669</v>
      </c>
      <c r="N93" s="3"/>
      <c r="O93" s="3">
        <f t="shared" si="77"/>
        <v>25000</v>
      </c>
      <c r="P93" s="3">
        <f t="shared" si="78"/>
        <v>0</v>
      </c>
      <c r="Q93" s="3">
        <f t="shared" si="79"/>
        <v>54.253472222222221</v>
      </c>
      <c r="R93" s="3">
        <f t="shared" si="80"/>
        <v>0</v>
      </c>
      <c r="S93" s="3">
        <f t="shared" si="81"/>
        <v>35</v>
      </c>
      <c r="T93" s="4">
        <f t="shared" si="82"/>
        <v>28.194600000000005</v>
      </c>
      <c r="U93" s="4"/>
      <c r="V93">
        <f t="shared" si="85"/>
        <v>3.7809578881200012E-2</v>
      </c>
      <c r="W93" s="127">
        <f t="shared" si="86"/>
        <v>7.9430363313624987E-3</v>
      </c>
      <c r="X93" s="127">
        <f t="shared" si="87"/>
        <v>3.3863896639389794E-3</v>
      </c>
      <c r="Y93">
        <f t="shared" si="83"/>
        <v>-6.7727793278779586E-8</v>
      </c>
    </row>
    <row r="94" spans="2:25" x14ac:dyDescent="0.3">
      <c r="B94" s="113">
        <f t="shared" si="88"/>
        <v>1.2222222222222223</v>
      </c>
      <c r="C94" s="142">
        <v>40</v>
      </c>
      <c r="D94" s="142"/>
      <c r="E94" s="142">
        <v>13.7</v>
      </c>
      <c r="F94" s="142">
        <v>2.2999999999999998</v>
      </c>
      <c r="G94" s="142">
        <v>2250</v>
      </c>
      <c r="H94" s="142"/>
      <c r="I94" s="142"/>
      <c r="J94" s="2">
        <f t="shared" si="84"/>
        <v>31.509999999999994</v>
      </c>
      <c r="K94" s="1">
        <f t="shared" si="74"/>
        <v>40</v>
      </c>
      <c r="L94" s="1">
        <f t="shared" si="75"/>
        <v>3.6888794541139363</v>
      </c>
      <c r="M94" s="3">
        <f t="shared" si="76"/>
        <v>444.44444444444451</v>
      </c>
      <c r="N94" s="3"/>
      <c r="O94" s="3">
        <f t="shared" si="77"/>
        <v>26666.666666666672</v>
      </c>
      <c r="P94" s="3">
        <f t="shared" si="78"/>
        <v>0</v>
      </c>
      <c r="Q94" s="3">
        <f t="shared" si="79"/>
        <v>57.870370370370381</v>
      </c>
      <c r="R94" s="3">
        <f t="shared" si="80"/>
        <v>0</v>
      </c>
      <c r="S94" s="3">
        <f t="shared" si="81"/>
        <v>40</v>
      </c>
      <c r="T94" s="4">
        <f t="shared" si="82"/>
        <v>31.509999999999994</v>
      </c>
      <c r="U94" s="4"/>
      <c r="V94">
        <f t="shared" si="85"/>
        <v>4.2255603219999993E-2</v>
      </c>
      <c r="W94" s="127">
        <f t="shared" si="86"/>
        <v>8.3222410541789974E-3</v>
      </c>
      <c r="X94" s="127">
        <f t="shared" si="87"/>
        <v>3.765594386755478E-3</v>
      </c>
      <c r="Y94">
        <f t="shared" si="83"/>
        <v>-7.0604894751665205E-8</v>
      </c>
    </row>
    <row r="95" spans="2:25" x14ac:dyDescent="0.3">
      <c r="B95" s="113">
        <f t="shared" si="88"/>
        <v>1.2777777777777777</v>
      </c>
      <c r="C95" s="142">
        <v>50</v>
      </c>
      <c r="D95" s="142"/>
      <c r="E95" s="142">
        <v>13.65</v>
      </c>
      <c r="F95" s="142">
        <v>3.02</v>
      </c>
      <c r="G95" s="142">
        <v>2010</v>
      </c>
      <c r="H95" s="142"/>
      <c r="I95" s="142"/>
      <c r="J95" s="2">
        <f t="shared" si="84"/>
        <v>41.222999999999999</v>
      </c>
      <c r="K95" s="1">
        <f t="shared" si="74"/>
        <v>50</v>
      </c>
      <c r="L95" s="1">
        <f t="shared" si="75"/>
        <v>3.912023005428146</v>
      </c>
      <c r="M95" s="3">
        <f t="shared" si="76"/>
        <v>497.51243781094524</v>
      </c>
      <c r="N95" s="3"/>
      <c r="O95" s="3">
        <f t="shared" si="77"/>
        <v>29850.746268656716</v>
      </c>
      <c r="P95" s="3">
        <f t="shared" si="78"/>
        <v>0</v>
      </c>
      <c r="Q95" s="3">
        <f t="shared" si="79"/>
        <v>64.780265339966832</v>
      </c>
      <c r="R95" s="3">
        <f t="shared" si="80"/>
        <v>0</v>
      </c>
      <c r="S95" s="3">
        <f t="shared" si="81"/>
        <v>50</v>
      </c>
      <c r="T95" s="4">
        <f t="shared" si="82"/>
        <v>41.222999999999999</v>
      </c>
      <c r="U95" s="4"/>
      <c r="V95">
        <f t="shared" si="85"/>
        <v>5.5280949906E-2</v>
      </c>
      <c r="W95" s="127">
        <f t="shared" si="86"/>
        <v>9.7262408883614527E-3</v>
      </c>
      <c r="X95" s="127">
        <f t="shared" si="87"/>
        <v>5.1695942209379333E-3</v>
      </c>
      <c r="Y95">
        <f t="shared" si="83"/>
        <v>-8.6590703200710378E-8</v>
      </c>
    </row>
    <row r="96" spans="2:25" x14ac:dyDescent="0.3">
      <c r="B96" s="113">
        <f t="shared" si="88"/>
        <v>1.3333333333333333</v>
      </c>
      <c r="C96" s="142">
        <v>60</v>
      </c>
      <c r="D96" s="142"/>
      <c r="E96" s="142">
        <v>13.6</v>
      </c>
      <c r="F96" s="142">
        <v>3.81</v>
      </c>
      <c r="G96" s="142">
        <v>1880</v>
      </c>
      <c r="H96" s="142"/>
      <c r="I96" s="142"/>
      <c r="J96" s="2">
        <f t="shared" si="84"/>
        <v>51.816000000000003</v>
      </c>
      <c r="K96" s="1">
        <f t="shared" si="74"/>
        <v>60</v>
      </c>
      <c r="L96" s="1">
        <f t="shared" si="75"/>
        <v>4.0943445622221004</v>
      </c>
      <c r="M96" s="3">
        <f t="shared" si="76"/>
        <v>531.91489361702133</v>
      </c>
      <c r="N96" s="3"/>
      <c r="O96" s="3">
        <f t="shared" si="77"/>
        <v>31914.89361702128</v>
      </c>
      <c r="P96" s="3">
        <f t="shared" si="78"/>
        <v>0</v>
      </c>
      <c r="Q96" s="3">
        <f t="shared" si="79"/>
        <v>69.259751773049643</v>
      </c>
      <c r="R96" s="3">
        <f t="shared" si="80"/>
        <v>0</v>
      </c>
      <c r="S96" s="3">
        <f t="shared" si="81"/>
        <v>60</v>
      </c>
      <c r="T96" s="4">
        <f t="shared" si="82"/>
        <v>51.816000000000003</v>
      </c>
      <c r="U96" s="4"/>
      <c r="V96">
        <f t="shared" si="85"/>
        <v>6.9486395952000013E-2</v>
      </c>
      <c r="W96" s="127">
        <f t="shared" si="86"/>
        <v>1.1434866614916992E-2</v>
      </c>
      <c r="X96" s="127">
        <f t="shared" si="87"/>
        <v>6.8782199474934731E-3</v>
      </c>
      <c r="Y96">
        <f t="shared" si="83"/>
        <v>-1.0775877917739773E-7</v>
      </c>
    </row>
    <row r="97" spans="2:25" x14ac:dyDescent="0.3">
      <c r="B97" s="113">
        <f t="shared" si="88"/>
        <v>1.4166666666666667</v>
      </c>
      <c r="C97" s="142">
        <v>75</v>
      </c>
      <c r="D97" s="142"/>
      <c r="E97" s="142">
        <v>13.54</v>
      </c>
      <c r="F97" s="142">
        <v>4.91</v>
      </c>
      <c r="G97" s="142">
        <v>1630</v>
      </c>
      <c r="H97" s="142"/>
      <c r="I97" s="142"/>
      <c r="J97" s="2">
        <f t="shared" si="84"/>
        <v>66.481399999999994</v>
      </c>
      <c r="K97" s="1">
        <f t="shared" si="74"/>
        <v>75</v>
      </c>
      <c r="L97" s="1">
        <f t="shared" si="75"/>
        <v>4.3174881135363101</v>
      </c>
      <c r="M97" s="3">
        <f t="shared" si="76"/>
        <v>613.49693251533745</v>
      </c>
      <c r="N97" s="3"/>
      <c r="O97" s="3">
        <f t="shared" si="77"/>
        <v>36809.815950920245</v>
      </c>
      <c r="P97" s="3">
        <f t="shared" si="78"/>
        <v>0</v>
      </c>
      <c r="Q97" s="3">
        <f t="shared" si="79"/>
        <v>79.882413087934552</v>
      </c>
      <c r="R97" s="3">
        <f t="shared" si="80"/>
        <v>0</v>
      </c>
      <c r="S97" s="3">
        <f t="shared" si="81"/>
        <v>75</v>
      </c>
      <c r="T97" s="4">
        <f t="shared" si="82"/>
        <v>66.481399999999994</v>
      </c>
      <c r="U97" s="4"/>
      <c r="V97">
        <f t="shared" si="85"/>
        <v>8.9153019990799998E-2</v>
      </c>
      <c r="W97" s="127">
        <f t="shared" si="86"/>
        <v>1.2720293456940682E-2</v>
      </c>
      <c r="X97" s="127">
        <f t="shared" si="87"/>
        <v>8.1636467895171635E-3</v>
      </c>
      <c r="Y97">
        <f t="shared" si="83"/>
        <v>-1.1088953555760814E-7</v>
      </c>
    </row>
    <row r="98" spans="2:25" x14ac:dyDescent="0.3">
      <c r="B98" s="113">
        <f t="shared" si="88"/>
        <v>1.5</v>
      </c>
      <c r="C98" s="142">
        <v>90</v>
      </c>
      <c r="D98" s="142"/>
      <c r="E98" s="142">
        <v>13.47</v>
      </c>
      <c r="F98" s="142">
        <v>6</v>
      </c>
      <c r="G98" s="142">
        <v>1520</v>
      </c>
      <c r="H98" s="142"/>
      <c r="I98" s="142"/>
      <c r="J98" s="2">
        <f t="shared" si="84"/>
        <v>80.820000000000007</v>
      </c>
      <c r="K98" s="1">
        <f t="shared" si="74"/>
        <v>90</v>
      </c>
      <c r="L98" s="1">
        <f t="shared" si="75"/>
        <v>4.499809670330265</v>
      </c>
      <c r="M98" s="3">
        <f t="shared" si="76"/>
        <v>657.89473684210532</v>
      </c>
      <c r="N98" s="3"/>
      <c r="O98" s="3">
        <f t="shared" si="77"/>
        <v>39473.68421052632</v>
      </c>
      <c r="P98" s="3">
        <f t="shared" si="78"/>
        <v>0</v>
      </c>
      <c r="Q98" s="3">
        <f t="shared" si="79"/>
        <v>85.663377192982466</v>
      </c>
      <c r="R98" s="3">
        <f t="shared" si="80"/>
        <v>0</v>
      </c>
      <c r="S98" s="3">
        <f t="shared" si="81"/>
        <v>90</v>
      </c>
      <c r="T98" s="4">
        <f t="shared" si="82"/>
        <v>80.820000000000007</v>
      </c>
      <c r="U98" s="4"/>
      <c r="V98">
        <f t="shared" si="85"/>
        <v>0.10838139804000002</v>
      </c>
      <c r="W98" s="127">
        <f t="shared" si="86"/>
        <v>1.4420217263487361E-2</v>
      </c>
      <c r="X98" s="127">
        <f t="shared" si="87"/>
        <v>9.8635705960638427E-3</v>
      </c>
      <c r="Y98">
        <f t="shared" si="83"/>
        <v>-1.2493856088347532E-7</v>
      </c>
    </row>
    <row r="99" spans="2:25" x14ac:dyDescent="0.3">
      <c r="B99" s="113">
        <f t="shared" si="88"/>
        <v>1.6055555555555556</v>
      </c>
      <c r="C99" s="142">
        <v>109</v>
      </c>
      <c r="D99" s="142"/>
      <c r="E99" s="142">
        <v>13.38</v>
      </c>
      <c r="F99" s="142">
        <v>7.4</v>
      </c>
      <c r="G99" s="142">
        <v>1390</v>
      </c>
      <c r="H99" s="142"/>
      <c r="I99" s="142"/>
      <c r="J99" s="2">
        <f t="shared" si="84"/>
        <v>99.012000000000015</v>
      </c>
      <c r="K99" s="1">
        <f t="shared" si="74"/>
        <v>109</v>
      </c>
      <c r="L99" s="1">
        <f t="shared" si="75"/>
        <v>4.6913478822291435</v>
      </c>
      <c r="M99" s="3">
        <f t="shared" si="76"/>
        <v>719.42446043165478</v>
      </c>
      <c r="N99" s="3"/>
      <c r="O99" s="3">
        <f t="shared" si="77"/>
        <v>43165.467625899284</v>
      </c>
      <c r="P99" s="3">
        <f t="shared" si="78"/>
        <v>0</v>
      </c>
      <c r="Q99" s="3">
        <f t="shared" si="79"/>
        <v>93.675059952038382</v>
      </c>
      <c r="R99" s="3">
        <f t="shared" si="80"/>
        <v>0</v>
      </c>
      <c r="S99" s="3">
        <f t="shared" si="81"/>
        <v>109</v>
      </c>
      <c r="T99" s="4">
        <f t="shared" si="82"/>
        <v>99.012000000000015</v>
      </c>
      <c r="U99" s="4"/>
      <c r="V99">
        <f t="shared" si="85"/>
        <v>0.13277727026400002</v>
      </c>
      <c r="W99" s="127">
        <f t="shared" si="86"/>
        <v>1.6155187509381233E-2</v>
      </c>
      <c r="X99" s="127">
        <f t="shared" si="87"/>
        <v>1.1598540841957713E-2</v>
      </c>
      <c r="Y99">
        <f t="shared" si="83"/>
        <v>-1.3434976475267684E-7</v>
      </c>
    </row>
    <row r="100" spans="2:25" ht="15" thickBot="1" x14ac:dyDescent="0.35">
      <c r="B100" s="116">
        <f t="shared" si="88"/>
        <v>1.7222222222222223</v>
      </c>
      <c r="C100" s="142">
        <v>130</v>
      </c>
      <c r="D100" s="142"/>
      <c r="E100" s="142">
        <v>13.29</v>
      </c>
      <c r="F100" s="142">
        <v>8.9</v>
      </c>
      <c r="G100" s="142">
        <v>1350</v>
      </c>
      <c r="H100" s="142"/>
      <c r="I100" s="142"/>
      <c r="J100" s="2">
        <f t="shared" si="84"/>
        <v>118.28099999999999</v>
      </c>
      <c r="K100" s="1">
        <f t="shared" si="74"/>
        <v>130</v>
      </c>
      <c r="L100" s="1">
        <f t="shared" si="75"/>
        <v>4.8675344504555822</v>
      </c>
      <c r="M100" s="3">
        <f t="shared" si="76"/>
        <v>740.74074074074076</v>
      </c>
      <c r="N100" s="3"/>
      <c r="O100" s="3">
        <f t="shared" si="77"/>
        <v>44444.444444444445</v>
      </c>
      <c r="P100" s="3">
        <f t="shared" si="78"/>
        <v>0</v>
      </c>
      <c r="Q100" s="3">
        <f t="shared" si="79"/>
        <v>96.450617283950621</v>
      </c>
      <c r="R100" s="3">
        <f t="shared" si="80"/>
        <v>0</v>
      </c>
      <c r="S100" s="3">
        <f t="shared" si="81"/>
        <v>130</v>
      </c>
      <c r="T100" s="4">
        <f t="shared" si="82"/>
        <v>118.28099999999999</v>
      </c>
      <c r="U100" s="4"/>
      <c r="V100">
        <f t="shared" si="85"/>
        <v>0.15861742318200001</v>
      </c>
      <c r="W100" s="127">
        <f t="shared" si="86"/>
        <v>1.8743820897416941E-2</v>
      </c>
      <c r="X100" s="127">
        <f t="shared" si="87"/>
        <v>1.418717422999342E-2</v>
      </c>
      <c r="Y100">
        <f t="shared" si="83"/>
        <v>-1.5960571008742599E-7</v>
      </c>
    </row>
    <row r="101" spans="2:25" x14ac:dyDescent="0.3">
      <c r="B101" s="144">
        <f t="shared" si="88"/>
        <v>1.8444444444444446</v>
      </c>
      <c r="C101" s="142">
        <v>152</v>
      </c>
      <c r="D101" s="142"/>
      <c r="E101" s="142">
        <v>13.1</v>
      </c>
      <c r="F101" s="142">
        <v>11.64</v>
      </c>
      <c r="G101" s="142">
        <v>1280</v>
      </c>
      <c r="H101" s="142"/>
      <c r="I101" s="142"/>
      <c r="J101" s="1">
        <f t="shared" si="84"/>
        <v>152.48400000000001</v>
      </c>
      <c r="K101" s="1">
        <f t="shared" si="74"/>
        <v>152</v>
      </c>
      <c r="L101" s="1">
        <f t="shared" si="75"/>
        <v>5.0238805208462765</v>
      </c>
      <c r="M101" s="1">
        <f t="shared" si="76"/>
        <v>781.25000000000011</v>
      </c>
      <c r="O101" s="1">
        <f>M101*60/$X$29</f>
        <v>46875.000000000007</v>
      </c>
      <c r="Q101" s="1">
        <f>O101/$X$40*100</f>
        <v>101.72526041666667</v>
      </c>
      <c r="S101" s="1">
        <f t="shared" si="81"/>
        <v>152</v>
      </c>
      <c r="T101" s="4">
        <f t="shared" si="82"/>
        <v>152.48400000000001</v>
      </c>
      <c r="U101" s="4"/>
      <c r="V101">
        <f t="shared" si="85"/>
        <v>0.20448439864800003</v>
      </c>
      <c r="W101" s="127">
        <f t="shared" si="86"/>
        <v>2.2910977316251649E-2</v>
      </c>
      <c r="X101" s="127">
        <f t="shared" si="87"/>
        <v>1.8354330648828129E-2</v>
      </c>
      <c r="Y101">
        <f t="shared" si="83"/>
        <v>-1.9577952692083334E-7</v>
      </c>
    </row>
    <row r="102" spans="2:25" x14ac:dyDescent="0.3">
      <c r="B102" s="144">
        <f t="shared" si="88"/>
        <v>1.911111111111111</v>
      </c>
      <c r="C102" s="142">
        <v>164</v>
      </c>
      <c r="D102" s="142"/>
      <c r="E102" s="142">
        <v>12.93</v>
      </c>
      <c r="F102" s="142">
        <v>14.16</v>
      </c>
      <c r="G102" s="142">
        <v>1236</v>
      </c>
      <c r="H102" s="142"/>
      <c r="I102" s="142"/>
      <c r="J102" s="1">
        <f t="shared" si="84"/>
        <v>183.08879999999999</v>
      </c>
      <c r="K102" s="1">
        <f t="shared" si="74"/>
        <v>164</v>
      </c>
      <c r="L102" s="1">
        <f t="shared" si="75"/>
        <v>5.0998664278241987</v>
      </c>
      <c r="M102" s="1">
        <f t="shared" si="76"/>
        <v>809.06148867313925</v>
      </c>
      <c r="O102" s="1">
        <f>M102*60/$X$29</f>
        <v>48543.689320388352</v>
      </c>
      <c r="Q102" s="1">
        <f>O102/$X$40*100</f>
        <v>105.346548004315</v>
      </c>
      <c r="S102" s="1">
        <f t="shared" si="81"/>
        <v>164</v>
      </c>
      <c r="T102" s="4">
        <f t="shared" si="82"/>
        <v>183.08879999999999</v>
      </c>
      <c r="U102" s="4"/>
      <c r="V102">
        <f t="shared" si="85"/>
        <v>0.24552610875360001</v>
      </c>
      <c r="W102" s="127">
        <f t="shared" si="86"/>
        <v>2.6563764337382487E-2</v>
      </c>
      <c r="X102" s="127">
        <f t="shared" si="87"/>
        <v>2.2007117669958966E-2</v>
      </c>
      <c r="Y102">
        <f t="shared" si="83"/>
        <v>-2.2667331200057733E-7</v>
      </c>
    </row>
    <row r="103" spans="2:25" x14ac:dyDescent="0.3">
      <c r="W103" s="127"/>
    </row>
    <row r="104" spans="2:25" x14ac:dyDescent="0.3">
      <c r="W104" s="12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3"/>
  <sheetViews>
    <sheetView topLeftCell="AM1" zoomScaleNormal="100" zoomScaleSheetLayoutView="80" workbookViewId="0">
      <selection activeCell="BK6" sqref="BK6"/>
    </sheetView>
  </sheetViews>
  <sheetFormatPr defaultRowHeight="14.4" x14ac:dyDescent="0.3"/>
  <cols>
    <col min="53" max="53" width="13.77734375" bestFit="1" customWidth="1"/>
    <col min="54" max="55" width="13.77734375" customWidth="1"/>
    <col min="56" max="56" width="9.5546875" bestFit="1" customWidth="1"/>
    <col min="57" max="57" width="9.88671875" bestFit="1" customWidth="1"/>
    <col min="58" max="58" width="10.44140625" customWidth="1"/>
  </cols>
  <sheetData>
    <row r="1" spans="1:74" x14ac:dyDescent="0.3">
      <c r="A1" t="s">
        <v>256</v>
      </c>
      <c r="B1" t="s">
        <v>258</v>
      </c>
      <c r="C1" t="s">
        <v>257</v>
      </c>
      <c r="D1" t="s">
        <v>256</v>
      </c>
      <c r="F1" t="s">
        <v>255</v>
      </c>
      <c r="G1" t="s">
        <v>254</v>
      </c>
      <c r="H1" t="s">
        <v>253</v>
      </c>
      <c r="I1" t="s">
        <v>252</v>
      </c>
      <c r="K1" t="s">
        <v>251</v>
      </c>
      <c r="L1" t="s">
        <v>250</v>
      </c>
      <c r="M1" t="s">
        <v>249</v>
      </c>
      <c r="N1" t="s">
        <v>248</v>
      </c>
      <c r="Q1" t="s">
        <v>247</v>
      </c>
      <c r="R1" t="s">
        <v>246</v>
      </c>
      <c r="S1" t="s">
        <v>245</v>
      </c>
      <c r="T1" t="s">
        <v>244</v>
      </c>
      <c r="V1" t="s">
        <v>243</v>
      </c>
      <c r="W1" t="s">
        <v>242</v>
      </c>
      <c r="X1" t="s">
        <v>241</v>
      </c>
      <c r="Y1" t="s">
        <v>240</v>
      </c>
      <c r="AA1" t="s">
        <v>239</v>
      </c>
      <c r="AB1" t="s">
        <v>238</v>
      </c>
      <c r="AC1" t="s">
        <v>237</v>
      </c>
      <c r="AD1" t="s">
        <v>236</v>
      </c>
      <c r="AF1" t="s">
        <v>235</v>
      </c>
      <c r="AG1" t="s">
        <v>234</v>
      </c>
      <c r="AH1" t="s">
        <v>233</v>
      </c>
      <c r="AI1" t="s">
        <v>232</v>
      </c>
      <c r="AK1" t="s">
        <v>231</v>
      </c>
      <c r="AL1" t="s">
        <v>230</v>
      </c>
      <c r="AM1" t="s">
        <v>229</v>
      </c>
      <c r="AN1" t="s">
        <v>228</v>
      </c>
      <c r="AP1" t="s">
        <v>227</v>
      </c>
      <c r="AQ1" t="s">
        <v>226</v>
      </c>
      <c r="AR1" t="s">
        <v>225</v>
      </c>
      <c r="AS1" t="s">
        <v>224</v>
      </c>
      <c r="AU1" t="s">
        <v>132</v>
      </c>
      <c r="AV1" t="s">
        <v>100</v>
      </c>
      <c r="AW1" t="s">
        <v>131</v>
      </c>
      <c r="AX1" t="s">
        <v>223</v>
      </c>
      <c r="AY1" t="s">
        <v>100</v>
      </c>
      <c r="AZ1" t="s">
        <v>222</v>
      </c>
      <c r="BA1" t="s">
        <v>221</v>
      </c>
      <c r="BB1" t="s">
        <v>220</v>
      </c>
      <c r="BC1" t="s">
        <v>219</v>
      </c>
      <c r="BD1" t="s">
        <v>153</v>
      </c>
      <c r="BE1" t="s">
        <v>218</v>
      </c>
      <c r="BF1" t="s">
        <v>154</v>
      </c>
      <c r="BG1" t="s">
        <v>260</v>
      </c>
      <c r="BM1" t="s">
        <v>209</v>
      </c>
      <c r="BN1" t="s">
        <v>217</v>
      </c>
      <c r="BO1" t="s">
        <v>216</v>
      </c>
      <c r="BP1" t="s">
        <v>215</v>
      </c>
      <c r="BQ1" t="s">
        <v>214</v>
      </c>
      <c r="BR1" t="s">
        <v>213</v>
      </c>
      <c r="BS1" t="s">
        <v>212</v>
      </c>
      <c r="BT1" t="s">
        <v>211</v>
      </c>
    </row>
    <row r="2" spans="1:74" x14ac:dyDescent="0.3">
      <c r="A2">
        <v>0.15848999999999999</v>
      </c>
      <c r="B2">
        <v>-4.9408320000000003</v>
      </c>
      <c r="C2">
        <v>-2.994281</v>
      </c>
      <c r="D2">
        <v>0.15848999999999999</v>
      </c>
      <c r="F2">
        <v>-0.42992900000000001</v>
      </c>
      <c r="G2">
        <v>-4.1864169999999996</v>
      </c>
      <c r="H2">
        <f t="shared" ref="H2:H27" si="0">F2-$BS2</f>
        <v>-0.42774745840454065</v>
      </c>
      <c r="I2">
        <f t="shared" ref="I2:I27" si="1">G2-$BT2</f>
        <v>-2.3704074257768983</v>
      </c>
      <c r="K2">
        <v>-2.8938109999999999</v>
      </c>
      <c r="L2">
        <v>-2.904855</v>
      </c>
      <c r="M2">
        <f t="shared" ref="M2:M27" si="2">K2-$BS2+2.9</f>
        <v>8.3705415954593576E-3</v>
      </c>
      <c r="N2">
        <f t="shared" ref="N2:N27" si="3">L2-$BT2</f>
        <v>-1.0888454257768985</v>
      </c>
      <c r="Q2">
        <v>-5.2822250000000004</v>
      </c>
      <c r="R2">
        <v>-3.2415039999999999</v>
      </c>
      <c r="S2">
        <f t="shared" ref="S2:S27" si="4">Q2-$BS2+5</f>
        <v>-0.28004345840454103</v>
      </c>
      <c r="T2">
        <f t="shared" ref="T2:T27" si="5">R2-$BT2</f>
        <v>-1.4254944257768984</v>
      </c>
      <c r="V2">
        <v>-6.5492330000000001</v>
      </c>
      <c r="W2">
        <v>-2.0257909999999999</v>
      </c>
      <c r="X2">
        <f t="shared" ref="X2:X27" si="6">V2-$BS2+6.5</f>
        <v>-4.7051458404540725E-2</v>
      </c>
      <c r="Y2">
        <f t="shared" ref="Y2:Y27" si="7">W2-$BT2</f>
        <v>-0.2097814257768984</v>
      </c>
      <c r="AA2">
        <v>-8.7596170000000004</v>
      </c>
      <c r="AB2">
        <v>-3.2052520000000002</v>
      </c>
      <c r="AC2">
        <f t="shared" ref="AC2:AC27" si="8">AA2-$BS2+8.5</f>
        <v>-0.25743545840454196</v>
      </c>
      <c r="AD2">
        <f t="shared" ref="AD2:AD27" si="9">AB2-$BT2</f>
        <v>-1.3892424257768987</v>
      </c>
      <c r="AF2">
        <v>-9.9920299999999997</v>
      </c>
      <c r="AG2">
        <v>-3.2547579999999998</v>
      </c>
      <c r="AH2">
        <f t="shared" ref="AH2:AH27" si="10">AF2-$BS2+8.5+1</f>
        <v>-0.48984845840454128</v>
      </c>
      <c r="AI2">
        <f t="shared" ref="AI2:AI27" si="11">AG2-$BT2</f>
        <v>-1.4387484257768983</v>
      </c>
      <c r="AK2">
        <v>-10.370361000000001</v>
      </c>
      <c r="AL2">
        <v>-0.93419300000000005</v>
      </c>
      <c r="AM2">
        <f t="shared" ref="AM2:AM27" si="12">AK2-$BS2+8.5+1.8</f>
        <v>-6.8179458404542315E-2</v>
      </c>
      <c r="AN2">
        <f t="shared" ref="AN2:AN27" si="13">AL2-$BT2</f>
        <v>0.88181657422310145</v>
      </c>
      <c r="AP2">
        <v>-12.910539</v>
      </c>
      <c r="AQ2">
        <v>-2.5300259999999999</v>
      </c>
      <c r="AR2">
        <f t="shared" ref="AR2:AR27" si="14">AP2-$BS2+8.5+1.8+2.5</f>
        <v>-0.1083574584045417</v>
      </c>
      <c r="AS2">
        <f t="shared" ref="AS2:AS27" si="15">AQ2-$BT2</f>
        <v>-0.71401642577689839</v>
      </c>
      <c r="AU2">
        <f t="shared" ref="AU2:AU10" si="16">AV2*$AX$13</f>
        <v>7372.8</v>
      </c>
      <c r="AV2">
        <v>16</v>
      </c>
      <c r="AW2">
        <v>0.33</v>
      </c>
      <c r="AX2">
        <f t="shared" ref="AX2:AX10" si="17">$AX$12*$AV2^$AY$12</f>
        <v>0.3917732370086745</v>
      </c>
      <c r="AY2">
        <v>20</v>
      </c>
      <c r="AZ2">
        <f t="shared" ref="AZ2:AZ10" si="18">10^(LOG10($AX2/$AX$12)/$AY$12)</f>
        <v>16.000000000000007</v>
      </c>
      <c r="BA2" s="146">
        <f t="shared" ref="BA2:BA10" si="19">$AX$14+$AY$14*$AV2*$AX$13+$AZ$14*($AV2*$AX$13)^2</f>
        <v>2.3663188085633704E-4</v>
      </c>
      <c r="BB2" s="146">
        <f>BB3</f>
        <v>1.0190599989802014E-7</v>
      </c>
      <c r="BC2" s="146">
        <f t="shared" ref="BC2:BC10" si="20">$AY$14+2*$AV2*$AZ$14*$AX$13</f>
        <v>6.9047658670256907E-8</v>
      </c>
      <c r="BD2" s="146">
        <f t="shared" ref="BD2:BD10" si="21">$AV2*$AX$13*$BA2/5252</f>
        <v>3.3218574470251366E-4</v>
      </c>
      <c r="BE2" s="146">
        <f t="shared" ref="BE2:BE10" si="22">$AX$11+$AY$11*$AV2*$AX$13+$AZ$11*($AV2*$AX$13)^2</f>
        <v>5.2572163702912741E-4</v>
      </c>
      <c r="BF2" s="146">
        <f t="shared" ref="BF2:BF10" si="23">$AV2*$AX$13*$BE2/5252</f>
        <v>7.3801227827272476E-4</v>
      </c>
      <c r="BH2" s="161" t="s">
        <v>64</v>
      </c>
      <c r="BI2" s="161" t="s">
        <v>81</v>
      </c>
      <c r="BJ2" s="161" t="s">
        <v>101</v>
      </c>
      <c r="BK2" s="161" t="s">
        <v>210</v>
      </c>
      <c r="BL2" s="161"/>
      <c r="BM2" t="str">
        <f t="shared" ref="BM2:BM33" si="24">COMPLEX(1,$A2*$BV$2)</f>
        <v>1+0.015849i</v>
      </c>
      <c r="BN2">
        <f t="shared" ref="BN2:BN33" si="25">20*LOG10(1/IMABS(BM2))</f>
        <v>-1.0907707977296768E-3</v>
      </c>
      <c r="BO2">
        <f t="shared" ref="BO2:BO33" si="26">-ATAN2(IMREAL(BM2),IMAGINARY(BM2))*180/PI()</f>
        <v>-0.90800478711155075</v>
      </c>
      <c r="BP2" t="str">
        <f t="shared" ref="BP2:BP33" si="27">COMPLEX(1,$A2*$BV$2)</f>
        <v>1+0.015849i</v>
      </c>
      <c r="BQ2">
        <f t="shared" ref="BQ2:BQ33" si="28">20*LOG10(1/IMABS(BP2))</f>
        <v>-1.0907707977296768E-3</v>
      </c>
      <c r="BR2">
        <f t="shared" ref="BR2:BR33" si="29">-ATAN2(IMREAL(BP2),IMAGINARY(BP2))*180/PI()</f>
        <v>-0.90800478711155075</v>
      </c>
      <c r="BS2">
        <f t="shared" ref="BS2:BS33" si="30">BN2+BQ2</f>
        <v>-2.1815415954593536E-3</v>
      </c>
      <c r="BT2">
        <f t="shared" ref="BT2:BT33" si="31">BO2+BR2</f>
        <v>-1.8160095742231015</v>
      </c>
      <c r="BU2" t="s">
        <v>209</v>
      </c>
      <c r="BV2">
        <v>0.1</v>
      </c>
    </row>
    <row r="3" spans="1:74" x14ac:dyDescent="0.3">
      <c r="A3">
        <v>0.19952600000000001</v>
      </c>
      <c r="B3">
        <v>-4.7440859999999994</v>
      </c>
      <c r="C3">
        <v>-4.7175609999999999</v>
      </c>
      <c r="D3">
        <v>0.19952600000000001</v>
      </c>
      <c r="F3">
        <v>-0.23302899999999999</v>
      </c>
      <c r="G3">
        <v>-5.5567060000000001</v>
      </c>
      <c r="H3">
        <f t="shared" si="0"/>
        <v>-0.22957178120096469</v>
      </c>
      <c r="I3">
        <f t="shared" si="1"/>
        <v>-3.2706097969014087</v>
      </c>
      <c r="K3">
        <v>-2.8889740000000002</v>
      </c>
      <c r="L3">
        <v>-4.0108730000000001</v>
      </c>
      <c r="M3">
        <f t="shared" si="2"/>
        <v>1.4483218799035136E-2</v>
      </c>
      <c r="N3">
        <f t="shared" si="3"/>
        <v>-1.7247767969014087</v>
      </c>
      <c r="Q3">
        <v>-5.1479369999999998</v>
      </c>
      <c r="R3">
        <v>-3.4354170000000002</v>
      </c>
      <c r="S3">
        <f t="shared" si="4"/>
        <v>-0.14447978120096483</v>
      </c>
      <c r="T3">
        <f t="shared" si="5"/>
        <v>-1.1493207969014088</v>
      </c>
      <c r="V3">
        <v>-6.7811310000000002</v>
      </c>
      <c r="W3">
        <v>-3.739557</v>
      </c>
      <c r="X3">
        <f t="shared" si="6"/>
        <v>-0.27767378120096531</v>
      </c>
      <c r="Y3">
        <f t="shared" si="7"/>
        <v>-1.4534607969014086</v>
      </c>
      <c r="AA3">
        <v>-8.5261110000000002</v>
      </c>
      <c r="AB3">
        <v>-4.2732029999999996</v>
      </c>
      <c r="AC3">
        <f t="shared" si="8"/>
        <v>-2.2653781200965284E-2</v>
      </c>
      <c r="AD3">
        <f t="shared" si="9"/>
        <v>-1.9871067969014082</v>
      </c>
      <c r="AF3">
        <v>-9.4582370000000004</v>
      </c>
      <c r="AG3">
        <v>-3.0504989999999998</v>
      </c>
      <c r="AH3">
        <f t="shared" si="10"/>
        <v>4.5220218799034484E-2</v>
      </c>
      <c r="AI3">
        <f t="shared" si="11"/>
        <v>-0.76440279690140844</v>
      </c>
      <c r="AK3">
        <v>-10.658111999999999</v>
      </c>
      <c r="AL3">
        <v>-1.585437</v>
      </c>
      <c r="AM3">
        <f t="shared" si="12"/>
        <v>-0.35465478120096416</v>
      </c>
      <c r="AN3">
        <f t="shared" si="13"/>
        <v>0.70065920309859142</v>
      </c>
      <c r="AP3">
        <v>-12.907645</v>
      </c>
      <c r="AQ3">
        <v>-6.5651609999999998</v>
      </c>
      <c r="AR3">
        <f t="shared" si="14"/>
        <v>-0.10418778120096572</v>
      </c>
      <c r="AS3">
        <f t="shared" si="15"/>
        <v>-4.2790647969014088</v>
      </c>
      <c r="AU3">
        <f t="shared" si="16"/>
        <v>9216</v>
      </c>
      <c r="AV3">
        <v>20</v>
      </c>
      <c r="AW3">
        <v>0.26300000000000001</v>
      </c>
      <c r="AX3">
        <f t="shared" si="17"/>
        <v>0.27537020278635105</v>
      </c>
      <c r="AY3">
        <v>20</v>
      </c>
      <c r="AZ3">
        <f t="shared" si="18"/>
        <v>19.999999999999996</v>
      </c>
      <c r="BA3" s="146">
        <f t="shared" si="19"/>
        <v>4.2446501986836776E-4</v>
      </c>
      <c r="BB3" s="146">
        <f t="shared" ref="BB3:BB10" si="32">(BA3-BA2)/(AU3-AU2)</f>
        <v>1.0190599989802014E-7</v>
      </c>
      <c r="BC3" s="146">
        <f t="shared" si="20"/>
        <v>1.3476434112578325E-7</v>
      </c>
      <c r="BD3" s="146">
        <f t="shared" si="21"/>
        <v>7.4483427705766901E-4</v>
      </c>
      <c r="BE3" s="146">
        <f t="shared" si="22"/>
        <v>3.9770094161169982E-4</v>
      </c>
      <c r="BF3" s="146">
        <f t="shared" si="23"/>
        <v>6.978697406499287E-4</v>
      </c>
      <c r="BH3" s="161">
        <v>0</v>
      </c>
      <c r="BI3" s="161"/>
      <c r="BJ3" s="161"/>
      <c r="BK3" s="161"/>
      <c r="BL3" s="161"/>
      <c r="BM3" t="str">
        <f t="shared" si="24"/>
        <v>1+0.0199526i</v>
      </c>
      <c r="BN3">
        <f t="shared" si="25"/>
        <v>-1.7286093995176428E-3</v>
      </c>
      <c r="BO3">
        <f t="shared" si="26"/>
        <v>-1.1430481015492957</v>
      </c>
      <c r="BP3" t="str">
        <f t="shared" si="27"/>
        <v>1+0.0199526i</v>
      </c>
      <c r="BQ3">
        <f t="shared" si="28"/>
        <v>-1.7286093995176428E-3</v>
      </c>
      <c r="BR3">
        <f t="shared" si="29"/>
        <v>-1.1430481015492957</v>
      </c>
      <c r="BS3">
        <f t="shared" si="30"/>
        <v>-3.4572187990352856E-3</v>
      </c>
      <c r="BT3">
        <f t="shared" si="31"/>
        <v>-2.2860962030985914</v>
      </c>
      <c r="BU3" t="s">
        <v>208</v>
      </c>
      <c r="BV3">
        <v>0.1</v>
      </c>
    </row>
    <row r="4" spans="1:74" x14ac:dyDescent="0.3">
      <c r="A4">
        <v>0.25118699999999999</v>
      </c>
      <c r="B4">
        <v>-4.6149339999999999</v>
      </c>
      <c r="C4">
        <v>-5.3965300000000003</v>
      </c>
      <c r="D4">
        <v>0.25118699999999999</v>
      </c>
      <c r="F4">
        <v>-0.26123000000000002</v>
      </c>
      <c r="G4">
        <v>-6.5221330000000002</v>
      </c>
      <c r="H4">
        <f t="shared" si="0"/>
        <v>-0.25575137402505432</v>
      </c>
      <c r="I4">
        <f t="shared" si="1"/>
        <v>-3.644347149942841</v>
      </c>
      <c r="K4">
        <v>-2.980829</v>
      </c>
      <c r="L4">
        <v>-4.9779210000000003</v>
      </c>
      <c r="M4">
        <f t="shared" si="2"/>
        <v>-7.535037402505429E-2</v>
      </c>
      <c r="N4">
        <f t="shared" si="3"/>
        <v>-2.1001351499428411</v>
      </c>
      <c r="Q4">
        <v>-4.8882909999999997</v>
      </c>
      <c r="R4">
        <v>-4.0246870000000001</v>
      </c>
      <c r="S4">
        <f t="shared" si="4"/>
        <v>0.11718762597494603</v>
      </c>
      <c r="T4">
        <f t="shared" si="5"/>
        <v>-1.146901149942841</v>
      </c>
      <c r="V4">
        <v>-6.6150640000000003</v>
      </c>
      <c r="W4">
        <v>-4.0613539999999997</v>
      </c>
      <c r="X4">
        <f t="shared" si="6"/>
        <v>-0.10958537402505453</v>
      </c>
      <c r="Y4">
        <f t="shared" si="7"/>
        <v>-1.1835681499428405</v>
      </c>
      <c r="AA4">
        <v>-8.7095579999999995</v>
      </c>
      <c r="AB4">
        <v>-5.7330870000000003</v>
      </c>
      <c r="AC4">
        <f t="shared" si="8"/>
        <v>-0.20407937402505461</v>
      </c>
      <c r="AD4">
        <f t="shared" si="9"/>
        <v>-2.8553011499428411</v>
      </c>
      <c r="AF4">
        <v>-9.5221579999999992</v>
      </c>
      <c r="AG4">
        <v>-3.4055939999999998</v>
      </c>
      <c r="AH4">
        <f t="shared" si="10"/>
        <v>-1.6679374025054372E-2</v>
      </c>
      <c r="AI4">
        <f t="shared" si="11"/>
        <v>-0.52780814994284064</v>
      </c>
      <c r="AK4">
        <v>-10.468105</v>
      </c>
      <c r="AL4">
        <v>-4.0954360000000003</v>
      </c>
      <c r="AM4">
        <f t="shared" si="12"/>
        <v>-0.16262637402505464</v>
      </c>
      <c r="AN4">
        <f t="shared" si="13"/>
        <v>-1.2176501499428412</v>
      </c>
      <c r="AP4">
        <v>-12.419302</v>
      </c>
      <c r="AQ4">
        <v>-7.9671830000000003</v>
      </c>
      <c r="AR4">
        <f t="shared" si="14"/>
        <v>0.38617662597494462</v>
      </c>
      <c r="AS4">
        <f t="shared" si="15"/>
        <v>-5.0893971499428412</v>
      </c>
      <c r="AU4">
        <f t="shared" si="16"/>
        <v>11520</v>
      </c>
      <c r="AV4">
        <v>25</v>
      </c>
      <c r="AW4">
        <v>0.2</v>
      </c>
      <c r="AX4">
        <f t="shared" si="17"/>
        <v>0.19355265092014706</v>
      </c>
      <c r="AY4">
        <v>25</v>
      </c>
      <c r="AZ4">
        <f t="shared" si="18"/>
        <v>24.999999999999996</v>
      </c>
      <c r="BA4" s="146">
        <f t="shared" si="19"/>
        <v>8.2959408455812993E-4</v>
      </c>
      <c r="BB4" s="146">
        <f t="shared" si="32"/>
        <v>1.7583726766048705E-7</v>
      </c>
      <c r="BC4" s="146">
        <f t="shared" si="20"/>
        <v>2.1691019419519116E-7</v>
      </c>
      <c r="BD4" s="146">
        <f t="shared" si="21"/>
        <v>1.8196732395486779E-3</v>
      </c>
      <c r="BE4" s="146">
        <f t="shared" si="22"/>
        <v>3.7455395613344858E-4</v>
      </c>
      <c r="BF4" s="146">
        <f t="shared" si="23"/>
        <v>8.2156541787077825E-4</v>
      </c>
      <c r="BH4" s="161">
        <v>0</v>
      </c>
      <c r="BI4" s="161"/>
      <c r="BJ4" s="161"/>
      <c r="BK4" s="161"/>
      <c r="BL4" s="161"/>
      <c r="BM4" t="str">
        <f t="shared" si="24"/>
        <v>1+0.0251187i</v>
      </c>
      <c r="BN4">
        <f t="shared" si="25"/>
        <v>-2.7393129874728594E-3</v>
      </c>
      <c r="BO4">
        <f t="shared" si="26"/>
        <v>-1.4388929250285796</v>
      </c>
      <c r="BP4" t="str">
        <f t="shared" si="27"/>
        <v>1+0.0251187i</v>
      </c>
      <c r="BQ4">
        <f t="shared" si="28"/>
        <v>-2.7393129874728594E-3</v>
      </c>
      <c r="BR4">
        <f t="shared" si="29"/>
        <v>-1.4388929250285796</v>
      </c>
      <c r="BS4">
        <f t="shared" si="30"/>
        <v>-5.4786259749457188E-3</v>
      </c>
      <c r="BT4">
        <f t="shared" si="31"/>
        <v>-2.8777858500571591</v>
      </c>
    </row>
    <row r="5" spans="1:74" x14ac:dyDescent="0.3">
      <c r="A5">
        <v>0.31623099999999998</v>
      </c>
      <c r="B5">
        <v>-4.6418189999999999</v>
      </c>
      <c r="C5">
        <v>-7.2550369999999997</v>
      </c>
      <c r="D5">
        <v>0.31623099999999998</v>
      </c>
      <c r="F5">
        <v>-0.142535</v>
      </c>
      <c r="G5">
        <v>-8.9471520000000009</v>
      </c>
      <c r="H5">
        <f t="shared" si="0"/>
        <v>-0.13385327293330865</v>
      </c>
      <c r="I5">
        <f t="shared" si="1"/>
        <v>-5.3246188836488901</v>
      </c>
      <c r="K5">
        <v>-2.9444889999999999</v>
      </c>
      <c r="L5">
        <v>-6.1255259999999998</v>
      </c>
      <c r="M5">
        <f t="shared" si="2"/>
        <v>-3.5807272933308543E-2</v>
      </c>
      <c r="N5">
        <f t="shared" si="3"/>
        <v>-2.5029928836488891</v>
      </c>
      <c r="Q5">
        <v>-4.9779650000000002</v>
      </c>
      <c r="R5">
        <v>-6.448061</v>
      </c>
      <c r="S5">
        <f t="shared" si="4"/>
        <v>3.0716727066691263E-2</v>
      </c>
      <c r="T5">
        <f t="shared" si="5"/>
        <v>-2.8255278836488893</v>
      </c>
      <c r="V5">
        <v>-6.9147239999999996</v>
      </c>
      <c r="W5">
        <v>-5.8054579999999998</v>
      </c>
      <c r="X5">
        <f t="shared" si="6"/>
        <v>-0.40604227293330819</v>
      </c>
      <c r="Y5">
        <f t="shared" si="7"/>
        <v>-2.182924883648889</v>
      </c>
      <c r="AA5">
        <v>-8.3086249999999993</v>
      </c>
      <c r="AB5">
        <v>-5.8273739999999998</v>
      </c>
      <c r="AC5">
        <f t="shared" si="8"/>
        <v>0.20005672706669131</v>
      </c>
      <c r="AD5">
        <f t="shared" si="9"/>
        <v>-2.2048408836488891</v>
      </c>
      <c r="AF5">
        <v>-9.6407959999999999</v>
      </c>
      <c r="AG5">
        <v>-7.2218239999999998</v>
      </c>
      <c r="AH5">
        <f t="shared" si="10"/>
        <v>-0.13211427293330935</v>
      </c>
      <c r="AI5">
        <f t="shared" si="11"/>
        <v>-3.5992908836488891</v>
      </c>
      <c r="AK5">
        <v>-10.177533</v>
      </c>
      <c r="AL5">
        <v>-6.0854939999999997</v>
      </c>
      <c r="AM5">
        <f t="shared" si="12"/>
        <v>0.13114872706669023</v>
      </c>
      <c r="AN5">
        <f t="shared" si="13"/>
        <v>-2.462960883648889</v>
      </c>
      <c r="AP5">
        <v>-12.570760999999999</v>
      </c>
      <c r="AQ5">
        <v>-7.4876719999999999</v>
      </c>
      <c r="AR5">
        <f t="shared" si="14"/>
        <v>0.23792072706669121</v>
      </c>
      <c r="AS5">
        <f t="shared" si="15"/>
        <v>-3.8651388836488891</v>
      </c>
      <c r="AU5">
        <f t="shared" si="16"/>
        <v>16588.8</v>
      </c>
      <c r="AV5">
        <v>36</v>
      </c>
      <c r="AW5">
        <v>0.127</v>
      </c>
      <c r="AX5">
        <f t="shared" si="17"/>
        <v>0.10878935110598625</v>
      </c>
      <c r="AY5">
        <v>36</v>
      </c>
      <c r="AZ5">
        <f t="shared" si="18"/>
        <v>36.000000000000014</v>
      </c>
      <c r="BA5" s="146">
        <f t="shared" si="19"/>
        <v>2.3870874669367505E-3</v>
      </c>
      <c r="BB5" s="146">
        <f t="shared" si="32"/>
        <v>3.0727063257153976E-7</v>
      </c>
      <c r="BC5" s="146">
        <f t="shared" si="20"/>
        <v>3.9763107094788859E-7</v>
      </c>
      <c r="BD5" s="146">
        <f t="shared" si="21"/>
        <v>7.5397784789642732E-3</v>
      </c>
      <c r="BE5" s="146">
        <f t="shared" si="22"/>
        <v>8.5897911136266578E-4</v>
      </c>
      <c r="BF5" s="146">
        <f t="shared" si="23"/>
        <v>2.7131440751281396E-3</v>
      </c>
      <c r="BH5" s="161">
        <v>12.367954907596399</v>
      </c>
      <c r="BI5" s="161">
        <v>3.9916956312460647</v>
      </c>
      <c r="BJ5" s="161"/>
      <c r="BK5" s="161"/>
      <c r="BL5" s="161"/>
      <c r="BM5" t="str">
        <f t="shared" si="24"/>
        <v>1+0.0316231i</v>
      </c>
      <c r="BN5">
        <f t="shared" si="25"/>
        <v>-4.3408635333456761E-3</v>
      </c>
      <c r="BO5">
        <f t="shared" si="26"/>
        <v>-1.8112665581755554</v>
      </c>
      <c r="BP5" t="str">
        <f t="shared" si="27"/>
        <v>1+0.0316231i</v>
      </c>
      <c r="BQ5">
        <f t="shared" si="28"/>
        <v>-4.3408635333456761E-3</v>
      </c>
      <c r="BR5">
        <f t="shared" si="29"/>
        <v>-1.8112665581755554</v>
      </c>
      <c r="BS5">
        <f t="shared" si="30"/>
        <v>-8.6817270666913523E-3</v>
      </c>
      <c r="BT5">
        <f t="shared" si="31"/>
        <v>-3.6225331163511107</v>
      </c>
    </row>
    <row r="6" spans="1:74" x14ac:dyDescent="0.3">
      <c r="A6">
        <v>0.39811099999999999</v>
      </c>
      <c r="B6">
        <v>-4.620825</v>
      </c>
      <c r="C6">
        <v>-8.7725939999999998</v>
      </c>
      <c r="D6">
        <v>0.39811099999999999</v>
      </c>
      <c r="F6">
        <v>-7.1936E-2</v>
      </c>
      <c r="G6">
        <v>-10.141465</v>
      </c>
      <c r="H6">
        <f t="shared" si="0"/>
        <v>-5.8180425693426539E-2</v>
      </c>
      <c r="I6">
        <f t="shared" si="1"/>
        <v>-5.5818568441789402</v>
      </c>
      <c r="K6">
        <v>-2.8623699999999999</v>
      </c>
      <c r="L6">
        <v>-7.9429100000000004</v>
      </c>
      <c r="M6">
        <f t="shared" si="2"/>
        <v>5.1385574306573645E-2</v>
      </c>
      <c r="N6">
        <f t="shared" si="3"/>
        <v>-3.3833018441789404</v>
      </c>
      <c r="Q6">
        <v>-4.939832</v>
      </c>
      <c r="R6">
        <v>-8.478783</v>
      </c>
      <c r="S6">
        <f t="shared" si="4"/>
        <v>7.3923574306573592E-2</v>
      </c>
      <c r="T6">
        <f t="shared" si="5"/>
        <v>-3.91917484417894</v>
      </c>
      <c r="V6">
        <v>-6.4541639999999996</v>
      </c>
      <c r="W6">
        <v>-6.5765690000000001</v>
      </c>
      <c r="X6">
        <f t="shared" si="6"/>
        <v>5.9591574306574024E-2</v>
      </c>
      <c r="Y6">
        <f t="shared" si="7"/>
        <v>-2.0169608441789402</v>
      </c>
      <c r="AA6">
        <v>-8.5357529999999997</v>
      </c>
      <c r="AB6">
        <v>-7.6803910000000002</v>
      </c>
      <c r="AC6">
        <f t="shared" si="8"/>
        <v>-2.1997425693426109E-2</v>
      </c>
      <c r="AD6">
        <f t="shared" si="9"/>
        <v>-3.1207828441789403</v>
      </c>
      <c r="AF6">
        <v>-9.5391030000000008</v>
      </c>
      <c r="AG6">
        <v>-6.1710339999999997</v>
      </c>
      <c r="AH6">
        <f t="shared" si="10"/>
        <v>-2.5347425693427184E-2</v>
      </c>
      <c r="AI6">
        <f t="shared" si="11"/>
        <v>-1.6114258441789397</v>
      </c>
      <c r="AK6">
        <v>-10.180593999999999</v>
      </c>
      <c r="AL6">
        <v>-4.4594950000000004</v>
      </c>
      <c r="AM6">
        <f t="shared" si="12"/>
        <v>0.13316157430657438</v>
      </c>
      <c r="AN6">
        <f t="shared" si="13"/>
        <v>0.10011315582105951</v>
      </c>
      <c r="AP6">
        <v>-12.577301</v>
      </c>
      <c r="AQ6">
        <v>-13.849178</v>
      </c>
      <c r="AR6">
        <f t="shared" si="14"/>
        <v>0.23645457430657313</v>
      </c>
      <c r="AS6">
        <f t="shared" si="15"/>
        <v>-9.2895698441789403</v>
      </c>
      <c r="AU6">
        <f t="shared" si="16"/>
        <v>20736</v>
      </c>
      <c r="AV6">
        <v>45</v>
      </c>
      <c r="AW6">
        <v>0.1</v>
      </c>
      <c r="AX6">
        <f t="shared" si="17"/>
        <v>7.6466034034855926E-2</v>
      </c>
      <c r="AY6">
        <v>45</v>
      </c>
      <c r="AZ6">
        <f t="shared" si="18"/>
        <v>44.999999999999993</v>
      </c>
      <c r="BA6" s="146">
        <f t="shared" si="19"/>
        <v>4.3427507980363387E-3</v>
      </c>
      <c r="BB6" s="146">
        <f t="shared" si="32"/>
        <v>4.7156233871035585E-7</v>
      </c>
      <c r="BC6" s="146">
        <f t="shared" si="20"/>
        <v>5.4549360647282279E-7</v>
      </c>
      <c r="BD6" s="146">
        <f t="shared" si="21"/>
        <v>1.7146093021340732E-2</v>
      </c>
      <c r="BE6" s="146">
        <f t="shared" si="22"/>
        <v>1.8028425008152459E-3</v>
      </c>
      <c r="BF6" s="146">
        <f t="shared" si="23"/>
        <v>7.1180011608729891E-3</v>
      </c>
      <c r="BH6" s="161">
        <v>15.047408792585415</v>
      </c>
      <c r="BI6" s="161">
        <v>0.70091118459969781</v>
      </c>
      <c r="BJ6" s="161">
        <v>16.138467712878235</v>
      </c>
      <c r="BK6" s="161"/>
      <c r="BL6" s="161"/>
      <c r="BM6" t="str">
        <f t="shared" si="24"/>
        <v>1+0.0398111i</v>
      </c>
      <c r="BN6">
        <f t="shared" si="25"/>
        <v>-6.8777871532867295E-3</v>
      </c>
      <c r="BO6">
        <f t="shared" si="26"/>
        <v>-2.27980407791053</v>
      </c>
      <c r="BP6" t="str">
        <f t="shared" si="27"/>
        <v>1+0.0398111i</v>
      </c>
      <c r="BQ6">
        <f t="shared" si="28"/>
        <v>-6.8777871532867295E-3</v>
      </c>
      <c r="BR6">
        <f t="shared" si="29"/>
        <v>-2.27980407791053</v>
      </c>
      <c r="BS6">
        <f t="shared" si="30"/>
        <v>-1.3755574306573459E-2</v>
      </c>
      <c r="BT6">
        <f t="shared" si="31"/>
        <v>-4.5596081558210599</v>
      </c>
    </row>
    <row r="7" spans="1:74" x14ac:dyDescent="0.3">
      <c r="A7">
        <v>0.50119100000000005</v>
      </c>
      <c r="B7">
        <v>-4.6131639999999994</v>
      </c>
      <c r="C7">
        <v>-10.115921</v>
      </c>
      <c r="D7">
        <v>0.50119100000000005</v>
      </c>
      <c r="F7">
        <v>-0.13211000000000001</v>
      </c>
      <c r="G7">
        <v>-13.315619</v>
      </c>
      <c r="H7">
        <f t="shared" si="0"/>
        <v>-0.11031906090141437</v>
      </c>
      <c r="I7">
        <f t="shared" si="1"/>
        <v>-7.5771948085785095</v>
      </c>
      <c r="K7">
        <v>-2.947336</v>
      </c>
      <c r="L7">
        <v>-12.084807</v>
      </c>
      <c r="M7">
        <f t="shared" si="2"/>
        <v>-2.5545060901414285E-2</v>
      </c>
      <c r="N7">
        <f t="shared" si="3"/>
        <v>-6.3463828085785092</v>
      </c>
      <c r="Q7">
        <v>-4.8434049999999997</v>
      </c>
      <c r="R7">
        <v>-10.51665</v>
      </c>
      <c r="S7">
        <f t="shared" si="4"/>
        <v>0.17838593909858602</v>
      </c>
      <c r="T7">
        <f t="shared" si="5"/>
        <v>-4.7782258085785099</v>
      </c>
      <c r="V7">
        <v>-6.8532479999999998</v>
      </c>
      <c r="W7">
        <v>-7.2730069999999998</v>
      </c>
      <c r="X7">
        <f t="shared" si="6"/>
        <v>-0.33145706090141402</v>
      </c>
      <c r="Y7">
        <f t="shared" si="7"/>
        <v>-1.5345828085785094</v>
      </c>
      <c r="AA7">
        <v>-8.3539169999999991</v>
      </c>
      <c r="AB7">
        <v>-8.6422410000000003</v>
      </c>
      <c r="AC7">
        <f t="shared" si="8"/>
        <v>0.16787393909858572</v>
      </c>
      <c r="AD7">
        <f t="shared" si="9"/>
        <v>-2.9038168085785099</v>
      </c>
      <c r="AF7">
        <v>-9.2658699999999996</v>
      </c>
      <c r="AG7">
        <v>-6.3931839999999998</v>
      </c>
      <c r="AH7">
        <f t="shared" si="10"/>
        <v>0.25592093909858527</v>
      </c>
      <c r="AI7">
        <f t="shared" si="11"/>
        <v>-0.65475980857850935</v>
      </c>
      <c r="AK7">
        <v>-10.029669999999999</v>
      </c>
      <c r="AL7">
        <v>-4.4137019999999998</v>
      </c>
      <c r="AM7">
        <f t="shared" si="12"/>
        <v>0.2921209390985855</v>
      </c>
      <c r="AN7">
        <f t="shared" si="13"/>
        <v>1.3247221914214906</v>
      </c>
      <c r="AP7">
        <v>-12.665015</v>
      </c>
      <c r="AQ7">
        <v>-8.7011459999999996</v>
      </c>
      <c r="AR7">
        <f t="shared" si="14"/>
        <v>0.15677593909858434</v>
      </c>
      <c r="AS7">
        <f t="shared" si="15"/>
        <v>-2.9627218085785092</v>
      </c>
      <c r="AU7">
        <f t="shared" si="16"/>
        <v>23040</v>
      </c>
      <c r="AV7">
        <v>50</v>
      </c>
      <c r="AW7">
        <v>7.3999999999999996E-2</v>
      </c>
      <c r="AX7">
        <f t="shared" si="17"/>
        <v>6.4739856241990537E-2</v>
      </c>
      <c r="AY7">
        <v>50</v>
      </c>
      <c r="AZ7">
        <f t="shared" si="18"/>
        <v>50.000000000000014</v>
      </c>
      <c r="BA7" s="146">
        <f t="shared" si="19"/>
        <v>5.6942000900856793E-3</v>
      </c>
      <c r="BB7" s="146">
        <f t="shared" si="32"/>
        <v>5.8656653300752638E-7</v>
      </c>
      <c r="BC7" s="146">
        <f t="shared" si="20"/>
        <v>6.2763945954223071E-7</v>
      </c>
      <c r="BD7" s="146">
        <f t="shared" si="21"/>
        <v>2.4979887676232684E-2</v>
      </c>
      <c r="BE7" s="146">
        <f t="shared" si="22"/>
        <v>2.5401337586343957E-3</v>
      </c>
      <c r="BF7" s="146">
        <f t="shared" si="23"/>
        <v>1.1143313366134135E-2</v>
      </c>
      <c r="BH7" s="161">
        <v>37.649471024806083</v>
      </c>
      <c r="BI7" s="161">
        <v>8.8118975354312457E-2</v>
      </c>
      <c r="BJ7" s="161">
        <v>26.777112036937371</v>
      </c>
      <c r="BK7" s="161">
        <v>0.10083432521867587</v>
      </c>
      <c r="BL7" s="161"/>
      <c r="BM7" t="str">
        <f t="shared" si="24"/>
        <v>1+0.0501191i</v>
      </c>
      <c r="BN7">
        <f t="shared" si="25"/>
        <v>-1.0895469549292816E-2</v>
      </c>
      <c r="BO7">
        <f t="shared" si="26"/>
        <v>-2.8692120957107452</v>
      </c>
      <c r="BP7" t="str">
        <f t="shared" si="27"/>
        <v>1+0.0501191i</v>
      </c>
      <c r="BQ7">
        <f t="shared" si="28"/>
        <v>-1.0895469549292816E-2</v>
      </c>
      <c r="BR7">
        <f t="shared" si="29"/>
        <v>-2.8692120957107452</v>
      </c>
      <c r="BS7">
        <f t="shared" si="30"/>
        <v>-2.1790939098585631E-2</v>
      </c>
      <c r="BT7">
        <f t="shared" si="31"/>
        <v>-5.7384241914214904</v>
      </c>
    </row>
    <row r="8" spans="1:74" x14ac:dyDescent="0.3">
      <c r="A8">
        <v>0.630969</v>
      </c>
      <c r="B8">
        <v>-4.643141</v>
      </c>
      <c r="C8">
        <v>-12.665053</v>
      </c>
      <c r="D8">
        <v>0.630969</v>
      </c>
      <c r="F8">
        <v>-9.6851000000000007E-2</v>
      </c>
      <c r="G8">
        <v>-16.694671</v>
      </c>
      <c r="H8">
        <f t="shared" si="0"/>
        <v>-6.2339226934071103E-2</v>
      </c>
      <c r="I8">
        <f t="shared" si="1"/>
        <v>-9.473871234972405</v>
      </c>
      <c r="K8">
        <v>-2.876814</v>
      </c>
      <c r="L8">
        <v>-14.956378000000001</v>
      </c>
      <c r="M8">
        <f t="shared" si="2"/>
        <v>5.7697773065928715E-2</v>
      </c>
      <c r="N8">
        <f t="shared" si="3"/>
        <v>-7.7355782349724063</v>
      </c>
      <c r="Q8">
        <v>-5.2400320000000002</v>
      </c>
      <c r="R8">
        <v>-12.147575</v>
      </c>
      <c r="S8">
        <f t="shared" si="4"/>
        <v>-0.20552022693407146</v>
      </c>
      <c r="T8">
        <f t="shared" si="5"/>
        <v>-4.9267752349724052</v>
      </c>
      <c r="V8">
        <v>-6.7714559999999997</v>
      </c>
      <c r="W8">
        <v>-10.831569999999999</v>
      </c>
      <c r="X8">
        <f t="shared" si="6"/>
        <v>-0.23694422693407091</v>
      </c>
      <c r="Y8">
        <f t="shared" si="7"/>
        <v>-3.6107702349724047</v>
      </c>
      <c r="AA8">
        <v>-8.4955029999999994</v>
      </c>
      <c r="AB8">
        <v>-11.9773</v>
      </c>
      <c r="AC8">
        <f t="shared" si="8"/>
        <v>3.9008773065930313E-2</v>
      </c>
      <c r="AD8">
        <f t="shared" si="9"/>
        <v>-4.756500234972405</v>
      </c>
      <c r="AF8">
        <v>-9.5089129999999997</v>
      </c>
      <c r="AG8">
        <v>-9.5750550000000008</v>
      </c>
      <c r="AH8">
        <f t="shared" si="10"/>
        <v>2.5598773065929947E-2</v>
      </c>
      <c r="AI8">
        <f t="shared" si="11"/>
        <v>-2.3542552349724062</v>
      </c>
      <c r="AK8">
        <v>-9.9944450000000007</v>
      </c>
      <c r="AL8">
        <v>-9.0157439999999998</v>
      </c>
      <c r="AM8">
        <f t="shared" si="12"/>
        <v>0.34006677306592903</v>
      </c>
      <c r="AN8">
        <f t="shared" si="13"/>
        <v>-1.7949442349724052</v>
      </c>
      <c r="AP8">
        <v>-12.090496</v>
      </c>
      <c r="AQ8">
        <v>-10.161440000000001</v>
      </c>
      <c r="AR8">
        <f t="shared" si="14"/>
        <v>0.74401577306592981</v>
      </c>
      <c r="AS8">
        <f t="shared" si="15"/>
        <v>-2.9406402349724061</v>
      </c>
      <c r="AU8">
        <f t="shared" si="16"/>
        <v>23961.600000000002</v>
      </c>
      <c r="AV8">
        <v>52</v>
      </c>
      <c r="AW8">
        <v>7.0999999999999994E-2</v>
      </c>
      <c r="AX8">
        <f t="shared" si="17"/>
        <v>6.0849785914015388E-2</v>
      </c>
      <c r="AY8">
        <v>52</v>
      </c>
      <c r="AZ8">
        <f t="shared" si="18"/>
        <v>52.000000000000036</v>
      </c>
      <c r="BA8" s="146">
        <f t="shared" si="19"/>
        <v>6.2877737396375534E-3</v>
      </c>
      <c r="BB8" s="146">
        <f t="shared" si="32"/>
        <v>6.4406863015611191E-7</v>
      </c>
      <c r="BC8" s="146">
        <f t="shared" si="20"/>
        <v>6.6049780076999385E-7</v>
      </c>
      <c r="BD8" s="146">
        <f t="shared" si="21"/>
        <v>2.8687189497277076E-2</v>
      </c>
      <c r="BE8" s="146">
        <f t="shared" si="22"/>
        <v>2.8776348033867118E-3</v>
      </c>
      <c r="BF8" s="146">
        <f t="shared" si="23"/>
        <v>1.3128852647530663E-2</v>
      </c>
      <c r="BH8" s="161">
        <v>48.010895849896535</v>
      </c>
      <c r="BI8" s="161">
        <v>6.2906429754981188E-2</v>
      </c>
      <c r="BJ8" s="161">
        <v>40.487898572106765</v>
      </c>
      <c r="BK8" s="161">
        <v>7.5159552784658801E-2</v>
      </c>
      <c r="BL8" s="161"/>
      <c r="BM8" t="str">
        <f t="shared" si="24"/>
        <v>1+0.0630969i</v>
      </c>
      <c r="BN8">
        <f t="shared" si="25"/>
        <v>-1.7255886532964452E-2</v>
      </c>
      <c r="BO8">
        <f t="shared" si="26"/>
        <v>-3.6103998825137973</v>
      </c>
      <c r="BP8" t="str">
        <f t="shared" si="27"/>
        <v>1+0.0630969i</v>
      </c>
      <c r="BQ8">
        <f t="shared" si="28"/>
        <v>-1.7255886532964452E-2</v>
      </c>
      <c r="BR8">
        <f t="shared" si="29"/>
        <v>-3.6103998825137973</v>
      </c>
      <c r="BS8">
        <f t="shared" si="30"/>
        <v>-3.4511773065928904E-2</v>
      </c>
      <c r="BT8">
        <f t="shared" si="31"/>
        <v>-7.2207997650275946</v>
      </c>
    </row>
    <row r="9" spans="1:74" x14ac:dyDescent="0.3">
      <c r="A9">
        <v>0.79433399999999998</v>
      </c>
      <c r="B9">
        <v>-4.6992429999999992</v>
      </c>
      <c r="C9">
        <v>-16.017576999999999</v>
      </c>
      <c r="D9">
        <v>0.79433399999999998</v>
      </c>
      <c r="F9">
        <v>-0.334509</v>
      </c>
      <c r="G9">
        <v>-21.477564000000001</v>
      </c>
      <c r="H9">
        <f t="shared" si="0"/>
        <v>-0.2798761227421297</v>
      </c>
      <c r="I9">
        <f t="shared" si="1"/>
        <v>-12.394239062607511</v>
      </c>
      <c r="K9">
        <v>-3.1520860000000002</v>
      </c>
      <c r="L9">
        <v>-17.390222999999999</v>
      </c>
      <c r="M9">
        <f t="shared" si="2"/>
        <v>-0.19745312274213012</v>
      </c>
      <c r="N9">
        <f t="shared" si="3"/>
        <v>-8.3068980626075088</v>
      </c>
      <c r="Q9">
        <v>-5.1842730000000001</v>
      </c>
      <c r="R9">
        <v>-15.625861</v>
      </c>
      <c r="S9">
        <f t="shared" si="4"/>
        <v>-0.12964012274212955</v>
      </c>
      <c r="T9">
        <f t="shared" si="5"/>
        <v>-6.5425360626075104</v>
      </c>
      <c r="V9">
        <v>-6.7899219999999998</v>
      </c>
      <c r="W9">
        <v>-13.257664999999999</v>
      </c>
      <c r="X9">
        <f t="shared" si="6"/>
        <v>-0.23528912274212921</v>
      </c>
      <c r="Y9">
        <f t="shared" si="7"/>
        <v>-4.1743400626075093</v>
      </c>
      <c r="AA9">
        <v>-8.1819550000000003</v>
      </c>
      <c r="AB9">
        <v>-13.324439999999999</v>
      </c>
      <c r="AC9">
        <f t="shared" si="8"/>
        <v>0.37267787725786938</v>
      </c>
      <c r="AD9">
        <f t="shared" si="9"/>
        <v>-4.2411150626075091</v>
      </c>
      <c r="AF9">
        <v>-9.7523049999999998</v>
      </c>
      <c r="AG9">
        <v>-14.235982999999999</v>
      </c>
      <c r="AH9">
        <f t="shared" si="10"/>
        <v>-0.19767212274213009</v>
      </c>
      <c r="AI9">
        <f t="shared" si="11"/>
        <v>-5.1526580626075091</v>
      </c>
      <c r="AK9">
        <v>-10.302702</v>
      </c>
      <c r="AL9">
        <v>-10.936987</v>
      </c>
      <c r="AM9">
        <f t="shared" si="12"/>
        <v>5.1930877257869712E-2</v>
      </c>
      <c r="AN9">
        <f t="shared" si="13"/>
        <v>-1.8536620626075102</v>
      </c>
      <c r="AP9">
        <v>-12.58591</v>
      </c>
      <c r="AQ9">
        <v>-13.754139</v>
      </c>
      <c r="AR9">
        <f t="shared" si="14"/>
        <v>0.26872287725786936</v>
      </c>
      <c r="AS9">
        <f t="shared" si="15"/>
        <v>-4.6708140626075103</v>
      </c>
      <c r="AU9">
        <f t="shared" si="16"/>
        <v>25344</v>
      </c>
      <c r="AV9">
        <v>55</v>
      </c>
      <c r="AW9">
        <v>4.4999999999999998E-2</v>
      </c>
      <c r="AX9">
        <f t="shared" si="17"/>
        <v>5.5689239628374895E-2</v>
      </c>
      <c r="AY9">
        <v>55</v>
      </c>
      <c r="AZ9">
        <f t="shared" si="18"/>
        <v>55.000000000000014</v>
      </c>
      <c r="BA9" s="146">
        <f t="shared" si="19"/>
        <v>7.2349134276069376E-3</v>
      </c>
      <c r="BB9" s="146">
        <f t="shared" si="32"/>
        <v>6.8514155669081719E-7</v>
      </c>
      <c r="BC9" s="146">
        <f t="shared" si="20"/>
        <v>7.0978531261163862E-7</v>
      </c>
      <c r="BD9" s="146">
        <f t="shared" si="21"/>
        <v>3.4912727705496999E-2</v>
      </c>
      <c r="BE9" s="146">
        <f t="shared" si="22"/>
        <v>3.4295126651130254E-3</v>
      </c>
      <c r="BF9" s="146">
        <f t="shared" si="23"/>
        <v>1.6549422883591874E-2</v>
      </c>
      <c r="BH9" s="161">
        <v>61.364409667042004</v>
      </c>
      <c r="BI9" s="161">
        <v>4.5959283219000051E-2</v>
      </c>
      <c r="BJ9" s="161">
        <v>48.784103318462122</v>
      </c>
      <c r="BK9" s="161">
        <v>5.4005710759342448E-2</v>
      </c>
      <c r="BL9" s="161"/>
      <c r="BM9" t="str">
        <f t="shared" si="24"/>
        <v>1+0.0794334i</v>
      </c>
      <c r="BN9">
        <f t="shared" si="25"/>
        <v>-2.7316438628935156E-2</v>
      </c>
      <c r="BO9">
        <f t="shared" si="26"/>
        <v>-4.541662468696245</v>
      </c>
      <c r="BP9" t="str">
        <f t="shared" si="27"/>
        <v>1+0.0794334i</v>
      </c>
      <c r="BQ9">
        <f t="shared" si="28"/>
        <v>-2.7316438628935156E-2</v>
      </c>
      <c r="BR9">
        <f t="shared" si="29"/>
        <v>-4.541662468696245</v>
      </c>
      <c r="BS9">
        <f t="shared" si="30"/>
        <v>-5.4632877257870312E-2</v>
      </c>
      <c r="BT9">
        <f t="shared" si="31"/>
        <v>-9.08332493739249</v>
      </c>
    </row>
    <row r="10" spans="1:74" x14ac:dyDescent="0.3">
      <c r="A10">
        <v>1.0000290000000001</v>
      </c>
      <c r="B10">
        <v>-4.7017779999999991</v>
      </c>
      <c r="C10">
        <v>-19.738320999999999</v>
      </c>
      <c r="D10">
        <v>1.0000290000000001</v>
      </c>
      <c r="F10">
        <v>-0.330231</v>
      </c>
      <c r="G10">
        <v>-26.252358999999998</v>
      </c>
      <c r="H10">
        <f t="shared" si="0"/>
        <v>-0.24379853633963214</v>
      </c>
      <c r="I10">
        <f t="shared" si="1"/>
        <v>-14.830843699826694</v>
      </c>
      <c r="K10">
        <v>-3.1495799999999998</v>
      </c>
      <c r="L10">
        <v>-22.497748000000001</v>
      </c>
      <c r="M10">
        <f t="shared" si="2"/>
        <v>-0.16314753633963219</v>
      </c>
      <c r="N10">
        <f t="shared" si="3"/>
        <v>-11.076232699826697</v>
      </c>
      <c r="Q10">
        <v>-5.3453850000000003</v>
      </c>
      <c r="R10">
        <v>-19.030441</v>
      </c>
      <c r="S10">
        <f t="shared" si="4"/>
        <v>-0.25895253633963211</v>
      </c>
      <c r="T10">
        <f t="shared" si="5"/>
        <v>-7.6089256998266954</v>
      </c>
      <c r="V10">
        <v>-6.6647150000000002</v>
      </c>
      <c r="W10">
        <v>-18.112368</v>
      </c>
      <c r="X10">
        <f t="shared" si="6"/>
        <v>-7.8282536339632003E-2</v>
      </c>
      <c r="Y10">
        <f t="shared" si="7"/>
        <v>-6.6908526998266957</v>
      </c>
      <c r="AA10">
        <v>-8.5142559999999996</v>
      </c>
      <c r="AB10">
        <v>-15.536229000000001</v>
      </c>
      <c r="AC10">
        <f t="shared" si="8"/>
        <v>7.2176463660367673E-2</v>
      </c>
      <c r="AD10">
        <f t="shared" si="9"/>
        <v>-4.1147136998266962</v>
      </c>
      <c r="AF10">
        <v>-9.8176989999999993</v>
      </c>
      <c r="AG10">
        <v>-15.092798999999999</v>
      </c>
      <c r="AH10">
        <f t="shared" si="10"/>
        <v>-0.23126653633963201</v>
      </c>
      <c r="AI10">
        <f t="shared" si="11"/>
        <v>-3.6712836998266951</v>
      </c>
      <c r="AK10">
        <v>-10.496855999999999</v>
      </c>
      <c r="AL10">
        <v>-17.998950000000001</v>
      </c>
      <c r="AM10">
        <f t="shared" si="12"/>
        <v>-0.11042353633963198</v>
      </c>
      <c r="AN10">
        <f t="shared" si="13"/>
        <v>-6.5774346998266964</v>
      </c>
      <c r="AP10">
        <v>-12.883661999999999</v>
      </c>
      <c r="AQ10">
        <v>-20.443895000000001</v>
      </c>
      <c r="AR10">
        <f t="shared" si="14"/>
        <v>2.7704636603678168E-3</v>
      </c>
      <c r="AS10">
        <f t="shared" si="15"/>
        <v>-9.022379699826697</v>
      </c>
      <c r="AU10">
        <f t="shared" si="16"/>
        <v>28569.600000000002</v>
      </c>
      <c r="AV10">
        <v>62</v>
      </c>
      <c r="AW10">
        <v>0.03</v>
      </c>
      <c r="AX10">
        <f t="shared" si="17"/>
        <v>4.6085623567052196E-2</v>
      </c>
      <c r="AY10">
        <v>62</v>
      </c>
      <c r="AZ10">
        <f t="shared" si="18"/>
        <v>62.000000000000064</v>
      </c>
      <c r="BA10" s="146">
        <f t="shared" si="19"/>
        <v>9.7098756965295178E-3</v>
      </c>
      <c r="BB10" s="146">
        <f t="shared" si="32"/>
        <v>7.6728740976022404E-7</v>
      </c>
      <c r="BC10" s="146">
        <f t="shared" si="20"/>
        <v>8.2478950690880957E-7</v>
      </c>
      <c r="BD10" s="146">
        <f t="shared" si="21"/>
        <v>5.2819357330458824E-2</v>
      </c>
      <c r="BE10" s="146">
        <f t="shared" si="22"/>
        <v>4.9301503839310357E-3</v>
      </c>
      <c r="BF10" s="146">
        <f t="shared" si="23"/>
        <v>2.6818816528704516E-2</v>
      </c>
      <c r="BH10" s="161">
        <v>69.444433699664401</v>
      </c>
      <c r="BI10" s="161">
        <v>3.9517474546856557E-2</v>
      </c>
      <c r="BJ10" s="161">
        <v>56.286002466951672</v>
      </c>
      <c r="BK10" s="161">
        <v>4.9182324444230256E-2</v>
      </c>
      <c r="BL10" s="161"/>
      <c r="BM10" t="str">
        <f t="shared" si="24"/>
        <v>1+0.1000029i</v>
      </c>
      <c r="BN10">
        <f t="shared" si="25"/>
        <v>-4.3216231830183929E-2</v>
      </c>
      <c r="BO10">
        <f t="shared" si="26"/>
        <v>-5.7107576500866521</v>
      </c>
      <c r="BP10" t="str">
        <f t="shared" si="27"/>
        <v>1+0.1000029i</v>
      </c>
      <c r="BQ10">
        <f t="shared" si="28"/>
        <v>-4.3216231830183929E-2</v>
      </c>
      <c r="BR10">
        <f t="shared" si="29"/>
        <v>-5.7107576500866521</v>
      </c>
      <c r="BS10">
        <f t="shared" si="30"/>
        <v>-8.6432463660367859E-2</v>
      </c>
      <c r="BT10">
        <f t="shared" si="31"/>
        <v>-11.421515300173304</v>
      </c>
    </row>
    <row r="11" spans="1:74" x14ac:dyDescent="0.3">
      <c r="A11">
        <v>1.2589030000000001</v>
      </c>
      <c r="B11">
        <v>-4.7710380000000008</v>
      </c>
      <c r="C11">
        <v>-24.449511000000001</v>
      </c>
      <c r="D11">
        <v>1.2589030000000001</v>
      </c>
      <c r="F11">
        <v>-0.621255</v>
      </c>
      <c r="G11">
        <v>-33.633620999999998</v>
      </c>
      <c r="H11">
        <f t="shared" si="0"/>
        <v>-0.48467725864802913</v>
      </c>
      <c r="I11">
        <f t="shared" si="1"/>
        <v>-19.283148020471536</v>
      </c>
      <c r="K11">
        <v>-3.2747679999999999</v>
      </c>
      <c r="L11">
        <v>-28.184376</v>
      </c>
      <c r="M11">
        <f t="shared" si="2"/>
        <v>-0.23819025864802912</v>
      </c>
      <c r="N11">
        <f t="shared" si="3"/>
        <v>-13.83390302047154</v>
      </c>
      <c r="Q11">
        <v>-5.4348239999999999</v>
      </c>
      <c r="R11">
        <v>-24.747506999999999</v>
      </c>
      <c r="S11">
        <f t="shared" si="4"/>
        <v>-0.29824625864802901</v>
      </c>
      <c r="T11">
        <f t="shared" si="5"/>
        <v>-10.397034020471539</v>
      </c>
      <c r="V11">
        <v>-7.0627599999999999</v>
      </c>
      <c r="W11">
        <v>-23.652546000000001</v>
      </c>
      <c r="X11">
        <f t="shared" si="6"/>
        <v>-0.42618225864802906</v>
      </c>
      <c r="Y11">
        <f t="shared" si="7"/>
        <v>-9.3020730204715409</v>
      </c>
      <c r="AA11">
        <v>-8.4074770000000001</v>
      </c>
      <c r="AB11">
        <v>-23.938400999999999</v>
      </c>
      <c r="AC11">
        <f t="shared" si="8"/>
        <v>0.22910074135197078</v>
      </c>
      <c r="AD11">
        <f t="shared" si="9"/>
        <v>-9.5879280204715389</v>
      </c>
      <c r="AF11">
        <v>-9.5374619999999997</v>
      </c>
      <c r="AG11">
        <v>-19.508673000000002</v>
      </c>
      <c r="AH11">
        <f t="shared" si="10"/>
        <v>9.9115741351971209E-2</v>
      </c>
      <c r="AI11">
        <f t="shared" si="11"/>
        <v>-5.1582000204715417</v>
      </c>
      <c r="AK11">
        <v>-10.150512000000001</v>
      </c>
      <c r="AL11">
        <v>-19.669879999999999</v>
      </c>
      <c r="AM11">
        <f t="shared" si="12"/>
        <v>0.28606574135197005</v>
      </c>
      <c r="AN11">
        <f t="shared" si="13"/>
        <v>-5.3194070204715391</v>
      </c>
      <c r="AP11">
        <v>-12.827563</v>
      </c>
      <c r="AQ11">
        <v>-26.368919999999999</v>
      </c>
      <c r="AR11">
        <f t="shared" si="14"/>
        <v>0.10901474135197109</v>
      </c>
      <c r="AS11">
        <f t="shared" si="15"/>
        <v>-12.018447020471539</v>
      </c>
      <c r="AW11" s="176" t="s">
        <v>130</v>
      </c>
      <c r="AX11" s="175">
        <v>2.0111653701195102E-3</v>
      </c>
      <c r="AY11" s="175">
        <v>-3.0709262345742761E-7</v>
      </c>
      <c r="AZ11" s="174">
        <v>1.4325144135226059E-11</v>
      </c>
      <c r="BC11" s="146"/>
      <c r="BH11" s="161">
        <v>76.75084997835306</v>
      </c>
      <c r="BI11" s="161">
        <v>3.5072283984146982E-2</v>
      </c>
      <c r="BJ11" s="161">
        <v>67.025987241920845</v>
      </c>
      <c r="BK11" s="161">
        <v>4.0340557499362599E-2</v>
      </c>
      <c r="BL11" s="161"/>
      <c r="BM11" t="str">
        <f t="shared" si="24"/>
        <v>1+0.1258903i</v>
      </c>
      <c r="BN11">
        <f t="shared" si="25"/>
        <v>-6.8288870675985422E-2</v>
      </c>
      <c r="BO11">
        <f t="shared" si="26"/>
        <v>-7.17523648976423</v>
      </c>
      <c r="BP11" t="str">
        <f t="shared" si="27"/>
        <v>1+0.1258903i</v>
      </c>
      <c r="BQ11">
        <f t="shared" si="28"/>
        <v>-6.8288870675985422E-2</v>
      </c>
      <c r="BR11">
        <f t="shared" si="29"/>
        <v>-7.17523648976423</v>
      </c>
      <c r="BS11">
        <f t="shared" si="30"/>
        <v>-0.13657774135197084</v>
      </c>
      <c r="BT11">
        <f t="shared" si="31"/>
        <v>-14.35047297952846</v>
      </c>
    </row>
    <row r="12" spans="1:74" x14ac:dyDescent="0.3">
      <c r="A12">
        <v>1.584862</v>
      </c>
      <c r="B12">
        <v>-4.8872680000000006</v>
      </c>
      <c r="C12">
        <v>-30.905425000000001</v>
      </c>
      <c r="D12">
        <v>1.584862</v>
      </c>
      <c r="F12">
        <v>-0.87881699999999996</v>
      </c>
      <c r="G12">
        <v>-41.559429999999999</v>
      </c>
      <c r="H12">
        <f t="shared" si="0"/>
        <v>-0.66334086728436692</v>
      </c>
      <c r="I12">
        <f t="shared" si="1"/>
        <v>-23.548054739114093</v>
      </c>
      <c r="K12">
        <v>-3.494831</v>
      </c>
      <c r="L12">
        <v>-35.410595000000001</v>
      </c>
      <c r="M12">
        <f t="shared" si="2"/>
        <v>-0.37935486728436718</v>
      </c>
      <c r="N12">
        <f t="shared" si="3"/>
        <v>-17.399219739114095</v>
      </c>
      <c r="Q12">
        <v>-5.3572879999999996</v>
      </c>
      <c r="R12">
        <v>-30.974862000000002</v>
      </c>
      <c r="S12">
        <f t="shared" si="4"/>
        <v>-0.14181186728436668</v>
      </c>
      <c r="T12">
        <f t="shared" si="5"/>
        <v>-12.963486739114096</v>
      </c>
      <c r="V12">
        <v>-7.043304</v>
      </c>
      <c r="W12">
        <v>-29.399804</v>
      </c>
      <c r="X12">
        <f t="shared" si="6"/>
        <v>-0.32782786728436708</v>
      </c>
      <c r="Y12">
        <f t="shared" si="7"/>
        <v>-11.388428739114094</v>
      </c>
      <c r="AA12">
        <v>-8.441827</v>
      </c>
      <c r="AB12">
        <v>-24.564988</v>
      </c>
      <c r="AC12">
        <f t="shared" si="8"/>
        <v>0.27364913271563296</v>
      </c>
      <c r="AD12">
        <f t="shared" si="9"/>
        <v>-6.5536127391140937</v>
      </c>
      <c r="AF12">
        <v>-9.8969079999999998</v>
      </c>
      <c r="AG12">
        <v>-26.391096000000001</v>
      </c>
      <c r="AH12">
        <f t="shared" si="10"/>
        <v>-0.18143186728436689</v>
      </c>
      <c r="AI12">
        <f t="shared" si="11"/>
        <v>-8.3797207391140951</v>
      </c>
      <c r="AK12">
        <v>-10.254908</v>
      </c>
      <c r="AL12">
        <v>-24.506974</v>
      </c>
      <c r="AM12">
        <f t="shared" si="12"/>
        <v>0.26056813271563262</v>
      </c>
      <c r="AN12">
        <f t="shared" si="13"/>
        <v>-6.4955987391140937</v>
      </c>
      <c r="AP12">
        <v>-12.956659999999999</v>
      </c>
      <c r="AQ12">
        <v>-28.004284999999999</v>
      </c>
      <c r="AR12">
        <f t="shared" si="14"/>
        <v>5.8816132715633351E-2</v>
      </c>
      <c r="AS12">
        <f t="shared" si="15"/>
        <v>-9.9929097391140935</v>
      </c>
      <c r="AW12" s="172" t="s">
        <v>133</v>
      </c>
      <c r="AX12" s="172">
        <v>31.3</v>
      </c>
      <c r="AY12" s="172">
        <v>-1.58</v>
      </c>
      <c r="BC12" s="146"/>
      <c r="BH12" s="161">
        <v>87.210974546743557</v>
      </c>
      <c r="BI12" s="161">
        <v>3.0207645977385542E-2</v>
      </c>
      <c r="BJ12" s="161">
        <v>73.827420491757252</v>
      </c>
      <c r="BK12" s="161">
        <v>3.2103130054017714E-2</v>
      </c>
      <c r="BL12" s="161"/>
      <c r="BM12" t="str">
        <f t="shared" si="24"/>
        <v>1+0.1584862i</v>
      </c>
      <c r="BN12">
        <f t="shared" si="25"/>
        <v>-0.10773806635781653</v>
      </c>
      <c r="BO12">
        <f t="shared" si="26"/>
        <v>-9.005687630442953</v>
      </c>
      <c r="BP12" t="str">
        <f t="shared" si="27"/>
        <v>1+0.1584862i</v>
      </c>
      <c r="BQ12">
        <f t="shared" si="28"/>
        <v>-0.10773806635781653</v>
      </c>
      <c r="BR12">
        <f t="shared" si="29"/>
        <v>-9.005687630442953</v>
      </c>
      <c r="BS12">
        <f t="shared" si="30"/>
        <v>-0.21547613271563307</v>
      </c>
      <c r="BT12">
        <f t="shared" si="31"/>
        <v>-18.011375260885906</v>
      </c>
    </row>
    <row r="13" spans="1:74" x14ac:dyDescent="0.3">
      <c r="A13">
        <v>1.995295</v>
      </c>
      <c r="B13">
        <v>-5.0632009999999994</v>
      </c>
      <c r="C13">
        <v>-37.710261000000003</v>
      </c>
      <c r="D13">
        <v>1.995295</v>
      </c>
      <c r="F13">
        <v>-1.3856949999999999</v>
      </c>
      <c r="G13">
        <v>-51.229346</v>
      </c>
      <c r="H13">
        <f t="shared" si="0"/>
        <v>-1.0465983190338792</v>
      </c>
      <c r="I13">
        <f t="shared" si="1"/>
        <v>-28.661327401559934</v>
      </c>
      <c r="K13">
        <v>-3.9579399999999998</v>
      </c>
      <c r="L13">
        <v>-43.658507</v>
      </c>
      <c r="M13">
        <f t="shared" si="2"/>
        <v>-0.71884331903387944</v>
      </c>
      <c r="N13">
        <f t="shared" si="3"/>
        <v>-21.090488401559934</v>
      </c>
      <c r="Q13">
        <v>-5.7668809999999997</v>
      </c>
      <c r="R13">
        <v>-38.127158999999999</v>
      </c>
      <c r="S13">
        <f t="shared" si="4"/>
        <v>-0.42778431903387926</v>
      </c>
      <c r="T13">
        <f t="shared" si="5"/>
        <v>-15.559140401559933</v>
      </c>
      <c r="V13">
        <v>-7.4702770000000003</v>
      </c>
      <c r="W13">
        <v>-34.991785</v>
      </c>
      <c r="X13">
        <f t="shared" si="6"/>
        <v>-0.63118031903387983</v>
      </c>
      <c r="Y13">
        <f t="shared" si="7"/>
        <v>-12.423766401559934</v>
      </c>
      <c r="AA13">
        <v>-9.0509719999999998</v>
      </c>
      <c r="AB13">
        <v>-34.376584999999999</v>
      </c>
      <c r="AC13">
        <f t="shared" si="8"/>
        <v>-0.21187531903387935</v>
      </c>
      <c r="AD13">
        <f t="shared" si="9"/>
        <v>-11.808566401559933</v>
      </c>
      <c r="AF13">
        <v>-10.356608</v>
      </c>
      <c r="AG13">
        <v>-33.743842000000001</v>
      </c>
      <c r="AH13">
        <f t="shared" si="10"/>
        <v>-0.51751131903387915</v>
      </c>
      <c r="AI13">
        <f t="shared" si="11"/>
        <v>-11.175823401559935</v>
      </c>
      <c r="AK13">
        <v>-10.416722999999999</v>
      </c>
      <c r="AL13">
        <v>-31.747354000000001</v>
      </c>
      <c r="AM13">
        <f t="shared" si="12"/>
        <v>0.2223736809661212</v>
      </c>
      <c r="AN13">
        <f t="shared" si="13"/>
        <v>-9.1793354015599355</v>
      </c>
      <c r="AP13">
        <v>-13.09956</v>
      </c>
      <c r="AQ13">
        <v>-30.265502000000001</v>
      </c>
      <c r="AR13">
        <f t="shared" si="14"/>
        <v>3.9536680966119953E-2</v>
      </c>
      <c r="AS13">
        <f t="shared" si="15"/>
        <v>-7.6974834015599356</v>
      </c>
      <c r="AW13" s="172" t="s">
        <v>27</v>
      </c>
      <c r="AX13" s="172">
        <v>460.8</v>
      </c>
      <c r="BC13" s="146"/>
      <c r="BH13" s="161">
        <v>93.835177516070971</v>
      </c>
      <c r="BI13" s="161">
        <v>2.7768510934620131E-2</v>
      </c>
      <c r="BJ13" s="161">
        <v>75.804201243764425</v>
      </c>
      <c r="BK13" s="161">
        <v>2.7290001009117874E-2</v>
      </c>
      <c r="BL13" s="161"/>
      <c r="BM13" t="str">
        <f t="shared" si="24"/>
        <v>1+0.1995295i</v>
      </c>
      <c r="BN13">
        <f t="shared" si="25"/>
        <v>-0.16954834048306031</v>
      </c>
      <c r="BO13">
        <f t="shared" si="26"/>
        <v>-11.284009299220033</v>
      </c>
      <c r="BP13" t="str">
        <f t="shared" si="27"/>
        <v>1+0.1995295i</v>
      </c>
      <c r="BQ13">
        <f t="shared" si="28"/>
        <v>-0.16954834048306031</v>
      </c>
      <c r="BR13">
        <f t="shared" si="29"/>
        <v>-11.284009299220033</v>
      </c>
      <c r="BS13">
        <f t="shared" si="30"/>
        <v>-0.33909668096612061</v>
      </c>
      <c r="BT13">
        <f t="shared" si="31"/>
        <v>-22.568018598440066</v>
      </c>
    </row>
    <row r="14" spans="1:74" x14ac:dyDescent="0.3">
      <c r="A14">
        <v>2.5117669999999999</v>
      </c>
      <c r="B14">
        <v>-5.4194099999999992</v>
      </c>
      <c r="C14">
        <v>-46.003827999999999</v>
      </c>
      <c r="D14">
        <v>2.5117669999999999</v>
      </c>
      <c r="F14">
        <v>-2.1437889999999999</v>
      </c>
      <c r="G14">
        <v>-63.523969000000001</v>
      </c>
      <c r="H14">
        <f t="shared" si="0"/>
        <v>-1.6123905090309001</v>
      </c>
      <c r="I14">
        <f t="shared" si="1"/>
        <v>-35.324609113974134</v>
      </c>
      <c r="K14">
        <v>-4.3322029999999998</v>
      </c>
      <c r="L14">
        <v>-54.888092</v>
      </c>
      <c r="M14">
        <f t="shared" si="2"/>
        <v>-0.90080450903090004</v>
      </c>
      <c r="N14">
        <f t="shared" si="3"/>
        <v>-26.688732113974137</v>
      </c>
      <c r="Q14">
        <v>-6.2202510000000002</v>
      </c>
      <c r="R14">
        <v>-48.374541999999998</v>
      </c>
      <c r="S14">
        <f t="shared" si="4"/>
        <v>-0.6888525090308999</v>
      </c>
      <c r="T14">
        <f t="shared" si="5"/>
        <v>-20.175182113974135</v>
      </c>
      <c r="V14">
        <v>-7.526834</v>
      </c>
      <c r="W14">
        <v>-44.980901000000003</v>
      </c>
      <c r="X14">
        <f t="shared" si="6"/>
        <v>-0.49543550903089972</v>
      </c>
      <c r="Y14">
        <f t="shared" si="7"/>
        <v>-16.781541113974139</v>
      </c>
      <c r="AA14">
        <v>-9.2202079999999995</v>
      </c>
      <c r="AB14">
        <v>-41.443969000000003</v>
      </c>
      <c r="AC14">
        <f t="shared" si="8"/>
        <v>-0.1888095090309001</v>
      </c>
      <c r="AD14">
        <f t="shared" si="9"/>
        <v>-13.244609113974139</v>
      </c>
      <c r="AF14">
        <v>-10.273344</v>
      </c>
      <c r="AG14">
        <v>-38.851602</v>
      </c>
      <c r="AH14">
        <f t="shared" si="10"/>
        <v>-0.2419455090309004</v>
      </c>
      <c r="AI14">
        <f t="shared" si="11"/>
        <v>-10.652242113974136</v>
      </c>
      <c r="AK14">
        <v>-10.621969999999999</v>
      </c>
      <c r="AL14">
        <v>-37.044438999999997</v>
      </c>
      <c r="AM14">
        <f t="shared" si="12"/>
        <v>0.20942849096910021</v>
      </c>
      <c r="AN14">
        <f t="shared" si="13"/>
        <v>-8.8450791139741334</v>
      </c>
      <c r="AP14">
        <v>-13.258786000000001</v>
      </c>
      <c r="AQ14">
        <v>-38.106889000000002</v>
      </c>
      <c r="AR14">
        <f t="shared" si="14"/>
        <v>7.2612490969098609E-2</v>
      </c>
      <c r="AS14">
        <f t="shared" si="15"/>
        <v>-9.9075291139741388</v>
      </c>
      <c r="AW14" s="172" t="s">
        <v>92</v>
      </c>
      <c r="AX14" s="172">
        <v>6.9658921582847581E-4</v>
      </c>
      <c r="AY14" s="172">
        <v>-1.9381907115184841E-7</v>
      </c>
      <c r="AZ14" s="172">
        <v>1.782679103068748E-11</v>
      </c>
      <c r="BC14" s="146"/>
      <c r="BH14" s="161">
        <v>95.760447741647312</v>
      </c>
      <c r="BI14" s="161">
        <v>2.7131780912102672E-2</v>
      </c>
      <c r="BJ14" s="161">
        <v>78.555343808258939</v>
      </c>
      <c r="BK14" s="161">
        <v>2.5862221691228097E-2</v>
      </c>
      <c r="BL14" s="161"/>
      <c r="BM14" t="str">
        <f t="shared" si="24"/>
        <v>1+0.2511767i</v>
      </c>
      <c r="BN14">
        <f t="shared" si="25"/>
        <v>-0.26569924548454993</v>
      </c>
      <c r="BO14">
        <f t="shared" si="26"/>
        <v>-14.099679943012932</v>
      </c>
      <c r="BP14" t="str">
        <f t="shared" si="27"/>
        <v>1+0.2511767i</v>
      </c>
      <c r="BQ14">
        <f t="shared" si="28"/>
        <v>-0.26569924548454993</v>
      </c>
      <c r="BR14">
        <f t="shared" si="29"/>
        <v>-14.099679943012932</v>
      </c>
      <c r="BS14">
        <f t="shared" si="30"/>
        <v>-0.53139849096909986</v>
      </c>
      <c r="BT14">
        <f t="shared" si="31"/>
        <v>-28.199359886025864</v>
      </c>
    </row>
    <row r="15" spans="1:74" x14ac:dyDescent="0.3">
      <c r="A15">
        <v>3.162147</v>
      </c>
      <c r="B15">
        <v>-5.9853749999999994</v>
      </c>
      <c r="C15">
        <v>-55.990496</v>
      </c>
      <c r="D15">
        <v>3.162147</v>
      </c>
      <c r="F15">
        <v>-3.1794090000000002</v>
      </c>
      <c r="G15">
        <v>-77.403970000000001</v>
      </c>
      <c r="H15">
        <f t="shared" si="0"/>
        <v>-2.3516205478833054</v>
      </c>
      <c r="I15">
        <f t="shared" si="1"/>
        <v>-42.308529918655118</v>
      </c>
      <c r="K15">
        <v>-5.2673370000000004</v>
      </c>
      <c r="L15">
        <v>-67.730967000000007</v>
      </c>
      <c r="M15">
        <f t="shared" si="2"/>
        <v>-1.5395485478833053</v>
      </c>
      <c r="N15">
        <f t="shared" si="3"/>
        <v>-32.635526918655124</v>
      </c>
      <c r="Q15">
        <v>-6.7917249999999996</v>
      </c>
      <c r="R15">
        <v>-59.475906999999999</v>
      </c>
      <c r="S15">
        <f t="shared" si="4"/>
        <v>-0.96393654788330529</v>
      </c>
      <c r="T15">
        <f t="shared" si="5"/>
        <v>-24.380466918655117</v>
      </c>
      <c r="V15">
        <v>-8.0454830000000008</v>
      </c>
      <c r="W15">
        <v>-54.924391999999997</v>
      </c>
      <c r="X15">
        <f t="shared" si="6"/>
        <v>-0.71769454788330656</v>
      </c>
      <c r="Y15">
        <f t="shared" si="7"/>
        <v>-19.828951918655115</v>
      </c>
      <c r="AA15">
        <v>-9.8051019999999998</v>
      </c>
      <c r="AB15">
        <v>-50.294750000000001</v>
      </c>
      <c r="AC15">
        <f t="shared" si="8"/>
        <v>-0.47731354788330549</v>
      </c>
      <c r="AD15">
        <f t="shared" si="9"/>
        <v>-15.199309918655118</v>
      </c>
      <c r="AF15">
        <v>-10.496484000000001</v>
      </c>
      <c r="AG15">
        <v>-48.218651000000001</v>
      </c>
      <c r="AH15">
        <f t="shared" si="10"/>
        <v>-0.16869554788330632</v>
      </c>
      <c r="AI15">
        <f t="shared" si="11"/>
        <v>-13.123210918655118</v>
      </c>
      <c r="AK15">
        <v>-11.027995000000001</v>
      </c>
      <c r="AL15">
        <v>-47.907817000000001</v>
      </c>
      <c r="AM15">
        <f t="shared" si="12"/>
        <v>9.9793452116693659E-2</v>
      </c>
      <c r="AN15">
        <f t="shared" si="13"/>
        <v>-12.812376918655119</v>
      </c>
      <c r="AP15">
        <v>-13.832655000000001</v>
      </c>
      <c r="AQ15">
        <v>-50.137827000000001</v>
      </c>
      <c r="AR15">
        <f t="shared" si="14"/>
        <v>-0.20486654788330672</v>
      </c>
      <c r="AS15">
        <f t="shared" si="15"/>
        <v>-15.042386918655119</v>
      </c>
      <c r="AW15" s="173" t="s">
        <v>207</v>
      </c>
      <c r="AX15" s="172">
        <v>-0.65641091051665401</v>
      </c>
      <c r="BC15" s="146"/>
      <c r="BH15" s="161">
        <v>98.439901626636328</v>
      </c>
      <c r="BI15" s="161">
        <v>2.6292721207050156E-2</v>
      </c>
      <c r="BJ15" s="161"/>
      <c r="BK15" s="161"/>
      <c r="BL15" s="161"/>
      <c r="BM15" t="str">
        <f t="shared" si="24"/>
        <v>1+0.3162147i</v>
      </c>
      <c r="BN15">
        <f t="shared" si="25"/>
        <v>-0.41389422605834736</v>
      </c>
      <c r="BO15">
        <f t="shared" si="26"/>
        <v>-17.547720040672441</v>
      </c>
      <c r="BP15" t="str">
        <f t="shared" si="27"/>
        <v>1+0.3162147i</v>
      </c>
      <c r="BQ15">
        <f t="shared" si="28"/>
        <v>-0.41389422605834736</v>
      </c>
      <c r="BR15">
        <f t="shared" si="29"/>
        <v>-17.547720040672441</v>
      </c>
      <c r="BS15">
        <f t="shared" si="30"/>
        <v>-0.82778845211669472</v>
      </c>
      <c r="BT15">
        <f t="shared" si="31"/>
        <v>-35.095440081344883</v>
      </c>
    </row>
    <row r="16" spans="1:74" x14ac:dyDescent="0.3">
      <c r="A16">
        <v>3.981109</v>
      </c>
      <c r="B16">
        <v>-7.2127429999999997</v>
      </c>
      <c r="C16">
        <v>-68.044466999999997</v>
      </c>
      <c r="D16">
        <v>3.981109</v>
      </c>
      <c r="F16">
        <v>-4.5219509999999996</v>
      </c>
      <c r="G16">
        <v>-93.484380999999999</v>
      </c>
      <c r="H16">
        <f t="shared" si="0"/>
        <v>-3.2440880533920851</v>
      </c>
      <c r="I16">
        <f t="shared" si="1"/>
        <v>-50.068299810980101</v>
      </c>
      <c r="K16">
        <v>-6.2910329999999997</v>
      </c>
      <c r="L16">
        <v>-81.878120999999993</v>
      </c>
      <c r="M16">
        <f t="shared" si="2"/>
        <v>-2.1131700533920852</v>
      </c>
      <c r="N16">
        <f t="shared" si="3"/>
        <v>-38.462039810980095</v>
      </c>
      <c r="Q16">
        <v>-7.8347530000000001</v>
      </c>
      <c r="R16">
        <v>-73.513490000000004</v>
      </c>
      <c r="S16">
        <f t="shared" si="4"/>
        <v>-1.5568900533920855</v>
      </c>
      <c r="T16">
        <f t="shared" si="5"/>
        <v>-30.097408810980106</v>
      </c>
      <c r="V16">
        <v>-8.7913899999999998</v>
      </c>
      <c r="W16">
        <v>-67.709374999999994</v>
      </c>
      <c r="X16">
        <f t="shared" si="6"/>
        <v>-1.0135270533920853</v>
      </c>
      <c r="Y16">
        <f t="shared" si="7"/>
        <v>-24.293293810980096</v>
      </c>
      <c r="AA16">
        <v>-10.136825999999999</v>
      </c>
      <c r="AB16">
        <v>-63.063271999999998</v>
      </c>
      <c r="AC16">
        <f t="shared" si="8"/>
        <v>-0.35896305339208467</v>
      </c>
      <c r="AD16">
        <f t="shared" si="9"/>
        <v>-19.647190810980099</v>
      </c>
      <c r="AF16">
        <v>-11.364051</v>
      </c>
      <c r="AG16">
        <v>-60.192681999999998</v>
      </c>
      <c r="AH16">
        <f t="shared" si="10"/>
        <v>-0.58618805339208535</v>
      </c>
      <c r="AI16">
        <f t="shared" si="11"/>
        <v>-16.776600810980099</v>
      </c>
      <c r="AK16">
        <v>-11.702182000000001</v>
      </c>
      <c r="AL16">
        <v>-59.200918000000001</v>
      </c>
      <c r="AM16">
        <f t="shared" si="12"/>
        <v>-0.12431905339208593</v>
      </c>
      <c r="AN16">
        <f t="shared" si="13"/>
        <v>-15.784836810980103</v>
      </c>
      <c r="AP16">
        <v>-14.112617</v>
      </c>
      <c r="AQ16">
        <v>-56.618287000000002</v>
      </c>
      <c r="AR16">
        <f t="shared" si="14"/>
        <v>-3.4754053392085815E-2</v>
      </c>
      <c r="AS16">
        <f t="shared" si="15"/>
        <v>-13.202205810980104</v>
      </c>
      <c r="BM16" t="str">
        <f t="shared" si="24"/>
        <v>1+0.3981109i</v>
      </c>
      <c r="BN16">
        <f t="shared" si="25"/>
        <v>-0.63893147330395728</v>
      </c>
      <c r="BO16">
        <f t="shared" si="26"/>
        <v>-21.708040594509949</v>
      </c>
      <c r="BP16" t="str">
        <f t="shared" si="27"/>
        <v>1+0.3981109i</v>
      </c>
      <c r="BQ16">
        <f t="shared" si="28"/>
        <v>-0.63893147330395728</v>
      </c>
      <c r="BR16">
        <f t="shared" si="29"/>
        <v>-21.708040594509949</v>
      </c>
      <c r="BS16">
        <f t="shared" si="30"/>
        <v>-1.2778629466079146</v>
      </c>
      <c r="BT16">
        <f t="shared" si="31"/>
        <v>-43.416081189019899</v>
      </c>
    </row>
    <row r="17" spans="1:72" x14ac:dyDescent="0.3">
      <c r="A17">
        <v>5.0121130000000003</v>
      </c>
      <c r="B17">
        <v>-8.8242010000000004</v>
      </c>
      <c r="C17">
        <v>-79.489788000000004</v>
      </c>
      <c r="D17">
        <v>5.0121130000000003</v>
      </c>
      <c r="F17">
        <v>-6.3816810000000004</v>
      </c>
      <c r="G17">
        <v>-110.330659</v>
      </c>
      <c r="H17">
        <f t="shared" si="0"/>
        <v>-4.4350576552988059</v>
      </c>
      <c r="I17">
        <f t="shared" si="1"/>
        <v>-57.08956665308105</v>
      </c>
      <c r="K17">
        <v>-7.7791810000000003</v>
      </c>
      <c r="L17">
        <v>-97.814845000000005</v>
      </c>
      <c r="M17">
        <f t="shared" si="2"/>
        <v>-2.932557655298806</v>
      </c>
      <c r="N17">
        <f t="shared" si="3"/>
        <v>-44.573752653081058</v>
      </c>
      <c r="Q17">
        <v>-9.0379199999999997</v>
      </c>
      <c r="R17">
        <v>-89.142735999999999</v>
      </c>
      <c r="S17">
        <f t="shared" si="4"/>
        <v>-2.0912966552988053</v>
      </c>
      <c r="T17">
        <f t="shared" si="5"/>
        <v>-35.901643653081052</v>
      </c>
      <c r="V17">
        <v>-9.8730820000000001</v>
      </c>
      <c r="W17">
        <v>-82.616490999999996</v>
      </c>
      <c r="X17">
        <f t="shared" si="6"/>
        <v>-1.4264586552988057</v>
      </c>
      <c r="Y17">
        <f t="shared" si="7"/>
        <v>-29.375398653081049</v>
      </c>
      <c r="AA17">
        <v>-11.304062999999999</v>
      </c>
      <c r="AB17">
        <v>-77.430845000000005</v>
      </c>
      <c r="AC17">
        <f t="shared" si="8"/>
        <v>-0.85743965529880484</v>
      </c>
      <c r="AD17">
        <f t="shared" si="9"/>
        <v>-24.189752653081058</v>
      </c>
      <c r="AF17">
        <v>-12.251906999999999</v>
      </c>
      <c r="AG17">
        <v>-74.531109000000001</v>
      </c>
      <c r="AH17">
        <f t="shared" si="10"/>
        <v>-0.80528365529880475</v>
      </c>
      <c r="AI17">
        <f t="shared" si="11"/>
        <v>-21.290016653081054</v>
      </c>
      <c r="AK17">
        <v>-12.494814</v>
      </c>
      <c r="AL17">
        <v>-71.241861</v>
      </c>
      <c r="AM17">
        <f t="shared" si="12"/>
        <v>-0.24819065529880535</v>
      </c>
      <c r="AN17">
        <f t="shared" si="13"/>
        <v>-18.000768653081053</v>
      </c>
      <c r="AP17">
        <v>-15.245404000000001</v>
      </c>
      <c r="AQ17">
        <v>-72.155293</v>
      </c>
      <c r="AR17">
        <f t="shared" si="14"/>
        <v>-0.49878065529880633</v>
      </c>
      <c r="AS17">
        <f t="shared" si="15"/>
        <v>-18.914200653081053</v>
      </c>
      <c r="BM17" t="str">
        <f t="shared" si="24"/>
        <v>1+0.5012113i</v>
      </c>
      <c r="BN17">
        <f t="shared" si="25"/>
        <v>-0.97331167235059723</v>
      </c>
      <c r="BO17">
        <f t="shared" si="26"/>
        <v>-26.620546173459473</v>
      </c>
      <c r="BP17" t="str">
        <f t="shared" si="27"/>
        <v>1+0.5012113i</v>
      </c>
      <c r="BQ17">
        <f t="shared" si="28"/>
        <v>-0.97331167235059723</v>
      </c>
      <c r="BR17">
        <f t="shared" si="29"/>
        <v>-26.620546173459473</v>
      </c>
      <c r="BS17">
        <f t="shared" si="30"/>
        <v>-1.9466233447011945</v>
      </c>
      <c r="BT17">
        <f t="shared" si="31"/>
        <v>-53.241092346918947</v>
      </c>
    </row>
    <row r="18" spans="1:72" x14ac:dyDescent="0.3">
      <c r="A18">
        <v>6.3094749999999999</v>
      </c>
      <c r="B18">
        <v>-10.436655</v>
      </c>
      <c r="C18">
        <v>-91.708522000000002</v>
      </c>
      <c r="D18">
        <v>6.3094749999999999</v>
      </c>
      <c r="F18">
        <v>-8.63795</v>
      </c>
      <c r="G18">
        <v>-128.26998</v>
      </c>
      <c r="H18">
        <f t="shared" si="0"/>
        <v>-5.7272179161074259</v>
      </c>
      <c r="I18">
        <f t="shared" si="1"/>
        <v>-63.770431726573065</v>
      </c>
      <c r="K18">
        <v>-9.7414009999999998</v>
      </c>
      <c r="L18">
        <v>-116.561954</v>
      </c>
      <c r="M18">
        <f t="shared" si="2"/>
        <v>-3.9306689161074257</v>
      </c>
      <c r="N18">
        <f t="shared" si="3"/>
        <v>-52.062405726573061</v>
      </c>
      <c r="Q18">
        <v>-10.282708</v>
      </c>
      <c r="R18">
        <v>-102.65052799999999</v>
      </c>
      <c r="S18">
        <f t="shared" si="4"/>
        <v>-2.3719759161074254</v>
      </c>
      <c r="T18">
        <f t="shared" si="5"/>
        <v>-38.150979726573055</v>
      </c>
      <c r="V18">
        <v>-11.287694</v>
      </c>
      <c r="W18">
        <v>-98.162126999999998</v>
      </c>
      <c r="X18">
        <f t="shared" si="6"/>
        <v>-1.876961916107426</v>
      </c>
      <c r="Y18">
        <f t="shared" si="7"/>
        <v>-33.662578726573059</v>
      </c>
      <c r="AA18">
        <v>-12.476191999999999</v>
      </c>
      <c r="AB18">
        <v>-91.135182</v>
      </c>
      <c r="AC18">
        <f t="shared" si="8"/>
        <v>-1.0654599161074252</v>
      </c>
      <c r="AD18">
        <f t="shared" si="9"/>
        <v>-26.635633726573062</v>
      </c>
      <c r="AF18">
        <v>-13.378944000000001</v>
      </c>
      <c r="AG18">
        <v>-88.977658000000005</v>
      </c>
      <c r="AH18">
        <f t="shared" si="10"/>
        <v>-0.96821191610742652</v>
      </c>
      <c r="AI18">
        <f t="shared" si="11"/>
        <v>-24.478109726573066</v>
      </c>
      <c r="AK18">
        <v>-13.56185</v>
      </c>
      <c r="AL18">
        <v>-86.639334000000005</v>
      </c>
      <c r="AM18">
        <f t="shared" si="12"/>
        <v>-0.3511179161074256</v>
      </c>
      <c r="AN18">
        <f t="shared" si="13"/>
        <v>-22.139785726573066</v>
      </c>
      <c r="AP18">
        <v>-15.53144</v>
      </c>
      <c r="AQ18">
        <v>-79.570302999999996</v>
      </c>
      <c r="AR18">
        <f t="shared" si="14"/>
        <v>0.17929208389257401</v>
      </c>
      <c r="AS18">
        <f t="shared" si="15"/>
        <v>-15.070754726573057</v>
      </c>
      <c r="BM18" t="str">
        <f t="shared" si="24"/>
        <v>1+0.6309475i</v>
      </c>
      <c r="BN18">
        <f t="shared" si="25"/>
        <v>-1.455366041946287</v>
      </c>
      <c r="BO18">
        <f t="shared" si="26"/>
        <v>-32.249774136713469</v>
      </c>
      <c r="BP18" t="str">
        <f t="shared" si="27"/>
        <v>1+0.6309475i</v>
      </c>
      <c r="BQ18">
        <f t="shared" si="28"/>
        <v>-1.455366041946287</v>
      </c>
      <c r="BR18">
        <f t="shared" si="29"/>
        <v>-32.249774136713469</v>
      </c>
      <c r="BS18">
        <f t="shared" si="30"/>
        <v>-2.9107320838925741</v>
      </c>
      <c r="BT18">
        <f t="shared" si="31"/>
        <v>-64.499548273426939</v>
      </c>
    </row>
    <row r="19" spans="1:72" x14ac:dyDescent="0.3">
      <c r="A19">
        <v>7.9433439999999997</v>
      </c>
      <c r="B19">
        <v>-12.414909</v>
      </c>
      <c r="C19">
        <v>-104.776256</v>
      </c>
      <c r="D19">
        <v>7.9433439999999997</v>
      </c>
      <c r="F19">
        <v>-11.443386</v>
      </c>
      <c r="G19">
        <v>-147.63089500000001</v>
      </c>
      <c r="H19">
        <f t="shared" si="0"/>
        <v>-7.1944817820711773</v>
      </c>
      <c r="I19">
        <f t="shared" si="1"/>
        <v>-70.70824592273388</v>
      </c>
      <c r="K19">
        <v>-12.055149</v>
      </c>
      <c r="L19">
        <v>-133.99275</v>
      </c>
      <c r="M19">
        <f t="shared" si="2"/>
        <v>-4.9062447820711768</v>
      </c>
      <c r="N19">
        <f t="shared" si="3"/>
        <v>-57.070100922733872</v>
      </c>
      <c r="Q19">
        <v>-12.446922000000001</v>
      </c>
      <c r="R19">
        <v>-122.36213600000001</v>
      </c>
      <c r="S19">
        <f t="shared" si="4"/>
        <v>-3.1980177820711777</v>
      </c>
      <c r="T19">
        <f t="shared" si="5"/>
        <v>-45.439486922733877</v>
      </c>
      <c r="V19">
        <v>-13.137185000000001</v>
      </c>
      <c r="W19">
        <v>-117.571324</v>
      </c>
      <c r="X19">
        <f t="shared" si="6"/>
        <v>-2.3882807820711776</v>
      </c>
      <c r="Y19">
        <f t="shared" si="7"/>
        <v>-40.648674922733875</v>
      </c>
      <c r="AA19">
        <v>-14.082272</v>
      </c>
      <c r="AB19">
        <v>-111.375378</v>
      </c>
      <c r="AC19">
        <f t="shared" si="8"/>
        <v>-1.3333677820711767</v>
      </c>
      <c r="AD19">
        <f t="shared" si="9"/>
        <v>-34.452728922733868</v>
      </c>
      <c r="AF19">
        <v>-15.048959</v>
      </c>
      <c r="AG19">
        <v>-105.02180199999999</v>
      </c>
      <c r="AH19">
        <f t="shared" si="10"/>
        <v>-1.300054782071177</v>
      </c>
      <c r="AI19">
        <f t="shared" si="11"/>
        <v>-28.099152922733865</v>
      </c>
      <c r="AK19">
        <v>-15.078332</v>
      </c>
      <c r="AL19">
        <v>-104.616173</v>
      </c>
      <c r="AM19">
        <f t="shared" si="12"/>
        <v>-0.52942778207117658</v>
      </c>
      <c r="AN19">
        <f t="shared" si="13"/>
        <v>-27.693523922733874</v>
      </c>
      <c r="AP19">
        <v>-16.863849999999999</v>
      </c>
      <c r="AQ19">
        <v>-97.112522999999996</v>
      </c>
      <c r="AR19">
        <f t="shared" si="14"/>
        <v>0.18505421792882348</v>
      </c>
      <c r="AS19">
        <f t="shared" si="15"/>
        <v>-20.189873922733867</v>
      </c>
      <c r="BM19" t="str">
        <f t="shared" si="24"/>
        <v>1+0.7943344i</v>
      </c>
      <c r="BN19">
        <f t="shared" si="25"/>
        <v>-2.1244521089644115</v>
      </c>
      <c r="BO19">
        <f t="shared" si="26"/>
        <v>-38.461324538633065</v>
      </c>
      <c r="BP19" t="str">
        <f t="shared" si="27"/>
        <v>1+0.7943344i</v>
      </c>
      <c r="BQ19">
        <f t="shared" si="28"/>
        <v>-2.1244521089644115</v>
      </c>
      <c r="BR19">
        <f t="shared" si="29"/>
        <v>-38.461324538633065</v>
      </c>
      <c r="BS19">
        <f t="shared" si="30"/>
        <v>-4.248904217928823</v>
      </c>
      <c r="BT19">
        <f t="shared" si="31"/>
        <v>-76.922649077266129</v>
      </c>
    </row>
    <row r="20" spans="1:72" x14ac:dyDescent="0.3">
      <c r="A20">
        <v>10.000294999999999</v>
      </c>
      <c r="B20">
        <v>-14.779495000000001</v>
      </c>
      <c r="C20">
        <v>-117.170357</v>
      </c>
      <c r="D20">
        <v>10.000294999999999</v>
      </c>
      <c r="F20">
        <v>-14.837838</v>
      </c>
      <c r="G20">
        <v>-167.26056500000001</v>
      </c>
      <c r="H20">
        <f t="shared" si="0"/>
        <v>-8.8169818529760917</v>
      </c>
      <c r="I20">
        <f t="shared" si="1"/>
        <v>-77.258874799434963</v>
      </c>
      <c r="K20">
        <v>-15.318896000000001</v>
      </c>
      <c r="L20">
        <v>-154.13933900000001</v>
      </c>
      <c r="M20">
        <f t="shared" si="2"/>
        <v>-6.3980398529760922</v>
      </c>
      <c r="N20">
        <f t="shared" si="3"/>
        <v>-64.137648799434956</v>
      </c>
      <c r="Q20">
        <v>-15.284039999999999</v>
      </c>
      <c r="R20">
        <v>-142.62768199999999</v>
      </c>
      <c r="S20">
        <f t="shared" si="4"/>
        <v>-4.2631838529760913</v>
      </c>
      <c r="T20">
        <f t="shared" si="5"/>
        <v>-52.625991799434942</v>
      </c>
      <c r="V20">
        <v>-15.879968</v>
      </c>
      <c r="W20">
        <v>-135.80307199999999</v>
      </c>
      <c r="X20">
        <f t="shared" si="6"/>
        <v>-3.3591118529760919</v>
      </c>
      <c r="Y20">
        <f t="shared" si="7"/>
        <v>-45.801381799434935</v>
      </c>
      <c r="AA20">
        <v>-16.688901999999999</v>
      </c>
      <c r="AB20">
        <v>-129.849887</v>
      </c>
      <c r="AC20">
        <f t="shared" si="8"/>
        <v>-2.1680458529760891</v>
      </c>
      <c r="AD20">
        <f t="shared" si="9"/>
        <v>-39.848196799434945</v>
      </c>
      <c r="AF20">
        <v>-17.528338999999999</v>
      </c>
      <c r="AG20">
        <v>-125.679428</v>
      </c>
      <c r="AH20">
        <f t="shared" si="10"/>
        <v>-2.0074828529760893</v>
      </c>
      <c r="AI20">
        <f t="shared" si="11"/>
        <v>-35.677737799434951</v>
      </c>
      <c r="AK20">
        <v>-17.648678</v>
      </c>
      <c r="AL20">
        <v>-123.730304</v>
      </c>
      <c r="AM20">
        <f t="shared" si="12"/>
        <v>-1.3278218529760906</v>
      </c>
      <c r="AN20">
        <f t="shared" si="13"/>
        <v>-33.728613799434953</v>
      </c>
      <c r="AP20">
        <v>-18.890034</v>
      </c>
      <c r="AQ20">
        <v>-112.94975599999999</v>
      </c>
      <c r="AR20">
        <f t="shared" si="14"/>
        <v>-6.917785297609047E-2</v>
      </c>
      <c r="AS20">
        <f t="shared" si="15"/>
        <v>-22.948065799434943</v>
      </c>
      <c r="BM20" t="str">
        <f t="shared" si="24"/>
        <v>1+1.0000295i</v>
      </c>
      <c r="BN20">
        <f t="shared" si="25"/>
        <v>-3.0104280735119544</v>
      </c>
      <c r="BO20">
        <f t="shared" si="26"/>
        <v>-45.000845100282525</v>
      </c>
      <c r="BP20" t="str">
        <f t="shared" si="27"/>
        <v>1+1.0000295i</v>
      </c>
      <c r="BQ20">
        <f t="shared" si="28"/>
        <v>-3.0104280735119544</v>
      </c>
      <c r="BR20">
        <f t="shared" si="29"/>
        <v>-45.000845100282525</v>
      </c>
      <c r="BS20">
        <f t="shared" si="30"/>
        <v>-6.0208561470239088</v>
      </c>
      <c r="BT20">
        <f t="shared" si="31"/>
        <v>-90.001690200565051</v>
      </c>
    </row>
    <row r="21" spans="1:72" x14ac:dyDescent="0.3">
      <c r="A21">
        <v>12.589451</v>
      </c>
      <c r="B21">
        <v>-16.969998</v>
      </c>
      <c r="C21">
        <v>-130.369213</v>
      </c>
      <c r="D21">
        <v>12.589451</v>
      </c>
      <c r="F21">
        <v>-18.724951000000001</v>
      </c>
      <c r="G21">
        <v>-185.881663</v>
      </c>
      <c r="H21">
        <f t="shared" si="0"/>
        <v>-10.475932370167753</v>
      </c>
      <c r="I21">
        <f t="shared" si="1"/>
        <v>-82.803006109917447</v>
      </c>
      <c r="K21">
        <v>-18.577562</v>
      </c>
      <c r="L21">
        <v>-172.49140800000001</v>
      </c>
      <c r="M21">
        <f t="shared" si="2"/>
        <v>-7.4285433701677519</v>
      </c>
      <c r="N21">
        <f t="shared" si="3"/>
        <v>-69.412751109917451</v>
      </c>
      <c r="Q21">
        <v>-18.505568</v>
      </c>
      <c r="R21">
        <v>-162.14247</v>
      </c>
      <c r="S21">
        <f t="shared" si="4"/>
        <v>-5.2565493701677521</v>
      </c>
      <c r="T21">
        <f t="shared" si="5"/>
        <v>-59.063813109917447</v>
      </c>
      <c r="V21">
        <v>-18.337596000000001</v>
      </c>
      <c r="W21">
        <v>-152.77489499999999</v>
      </c>
      <c r="X21">
        <f t="shared" si="6"/>
        <v>-3.5885773701677532</v>
      </c>
      <c r="Y21">
        <f t="shared" si="7"/>
        <v>-49.696238109917431</v>
      </c>
      <c r="AA21">
        <v>-19.485752000000002</v>
      </c>
      <c r="AB21">
        <v>-147.34971200000001</v>
      </c>
      <c r="AC21">
        <f t="shared" si="8"/>
        <v>-2.7367333701677534</v>
      </c>
      <c r="AD21">
        <f t="shared" si="9"/>
        <v>-44.271055109917455</v>
      </c>
      <c r="AF21">
        <v>-19.744350000000001</v>
      </c>
      <c r="AG21">
        <v>-144.45082400000001</v>
      </c>
      <c r="AH21">
        <f t="shared" si="10"/>
        <v>-1.9953313701677526</v>
      </c>
      <c r="AI21">
        <f t="shared" si="11"/>
        <v>-41.372167109917456</v>
      </c>
      <c r="AK21">
        <v>-19.669698</v>
      </c>
      <c r="AL21">
        <v>-140.502702</v>
      </c>
      <c r="AM21">
        <f t="shared" si="12"/>
        <v>-1.1206793701677522</v>
      </c>
      <c r="AN21">
        <f t="shared" si="13"/>
        <v>-37.424045109917444</v>
      </c>
      <c r="AP21">
        <v>-20.827476000000001</v>
      </c>
      <c r="AQ21">
        <v>-131.10502099999999</v>
      </c>
      <c r="AR21">
        <f t="shared" si="14"/>
        <v>0.22154262983224715</v>
      </c>
      <c r="AS21">
        <f t="shared" si="15"/>
        <v>-28.026364109917438</v>
      </c>
      <c r="BM21" t="str">
        <f t="shared" si="24"/>
        <v>1+1.2589451i</v>
      </c>
      <c r="BN21">
        <f t="shared" si="25"/>
        <v>-4.124509314916124</v>
      </c>
      <c r="BO21">
        <f t="shared" si="26"/>
        <v>-51.539328445041278</v>
      </c>
      <c r="BP21" t="str">
        <f t="shared" si="27"/>
        <v>1+1.2589451i</v>
      </c>
      <c r="BQ21">
        <f t="shared" si="28"/>
        <v>-4.124509314916124</v>
      </c>
      <c r="BR21">
        <f t="shared" si="29"/>
        <v>-51.539328445041278</v>
      </c>
      <c r="BS21">
        <f t="shared" si="30"/>
        <v>-8.2490186298322481</v>
      </c>
      <c r="BT21">
        <f t="shared" si="31"/>
        <v>-103.07865689008256</v>
      </c>
    </row>
    <row r="22" spans="1:72" x14ac:dyDescent="0.3">
      <c r="A22">
        <v>15.849119</v>
      </c>
      <c r="B22">
        <v>-19.846578000000001</v>
      </c>
      <c r="C22">
        <v>-141.03987100000001</v>
      </c>
      <c r="D22">
        <v>15.849119</v>
      </c>
      <c r="F22">
        <v>-23.298531000000001</v>
      </c>
      <c r="G22">
        <v>-206.137495</v>
      </c>
      <c r="H22">
        <f t="shared" si="0"/>
        <v>-12.387575075209766</v>
      </c>
      <c r="I22">
        <f t="shared" si="1"/>
        <v>-90.637239734646144</v>
      </c>
      <c r="K22">
        <v>-22.531413000000001</v>
      </c>
      <c r="L22">
        <v>-189.717389</v>
      </c>
      <c r="M22">
        <f t="shared" si="2"/>
        <v>-8.7204570752097652</v>
      </c>
      <c r="N22">
        <f t="shared" si="3"/>
        <v>-74.21713373464614</v>
      </c>
      <c r="Q22">
        <v>-22.549420999999999</v>
      </c>
      <c r="R22">
        <v>-182.470382</v>
      </c>
      <c r="S22">
        <f t="shared" si="4"/>
        <v>-6.6384650752097638</v>
      </c>
      <c r="T22">
        <f t="shared" si="5"/>
        <v>-66.970126734646144</v>
      </c>
      <c r="V22">
        <v>-22.808036000000001</v>
      </c>
      <c r="W22">
        <v>-177.456018</v>
      </c>
      <c r="X22">
        <f t="shared" si="6"/>
        <v>-5.3970800752097663</v>
      </c>
      <c r="Y22">
        <f t="shared" si="7"/>
        <v>-61.955762734646143</v>
      </c>
      <c r="AA22">
        <v>-23.164536999999999</v>
      </c>
      <c r="AB22">
        <v>-168.83659299999999</v>
      </c>
      <c r="AC22">
        <f t="shared" si="8"/>
        <v>-3.7535810752097643</v>
      </c>
      <c r="AD22">
        <f t="shared" si="9"/>
        <v>-53.336337734646136</v>
      </c>
      <c r="AF22">
        <v>-23.948663</v>
      </c>
      <c r="AG22">
        <v>-165.01420400000001</v>
      </c>
      <c r="AH22">
        <f t="shared" si="10"/>
        <v>-3.5377070752097648</v>
      </c>
      <c r="AI22">
        <f t="shared" si="11"/>
        <v>-49.513948734646149</v>
      </c>
      <c r="AK22">
        <v>-23.582322999999999</v>
      </c>
      <c r="AL22">
        <v>-162.33164600000001</v>
      </c>
      <c r="AM22">
        <f t="shared" si="12"/>
        <v>-2.371367075209764</v>
      </c>
      <c r="AN22">
        <f t="shared" si="13"/>
        <v>-46.831390734646149</v>
      </c>
      <c r="AP22">
        <v>-24.156144999999999</v>
      </c>
      <c r="AQ22">
        <v>-148.005312</v>
      </c>
      <c r="AR22">
        <f t="shared" si="14"/>
        <v>-0.44518907520976381</v>
      </c>
      <c r="AS22">
        <f t="shared" si="15"/>
        <v>-32.505056734646146</v>
      </c>
      <c r="BM22" t="str">
        <f t="shared" si="24"/>
        <v>1+1.5849119i</v>
      </c>
      <c r="BN22">
        <f t="shared" si="25"/>
        <v>-5.4554779623951175</v>
      </c>
      <c r="BO22">
        <f t="shared" si="26"/>
        <v>-57.750127632676929</v>
      </c>
      <c r="BP22" t="str">
        <f t="shared" si="27"/>
        <v>1+1.5849119i</v>
      </c>
      <c r="BQ22">
        <f t="shared" si="28"/>
        <v>-5.4554779623951175</v>
      </c>
      <c r="BR22">
        <f t="shared" si="29"/>
        <v>-57.750127632676929</v>
      </c>
      <c r="BS22">
        <f t="shared" si="30"/>
        <v>-10.910955924790235</v>
      </c>
      <c r="BT22">
        <f t="shared" si="31"/>
        <v>-115.50025526535386</v>
      </c>
    </row>
    <row r="23" spans="1:72" x14ac:dyDescent="0.3">
      <c r="A23">
        <v>19.952953999999998</v>
      </c>
      <c r="B23">
        <v>-26.856745</v>
      </c>
      <c r="C23">
        <v>-151.51324500000001</v>
      </c>
      <c r="D23">
        <v>19.952953999999998</v>
      </c>
      <c r="F23">
        <v>-28.493304999999999</v>
      </c>
      <c r="G23">
        <v>-224.34713300000001</v>
      </c>
      <c r="H23">
        <f t="shared" si="0"/>
        <v>-14.546618901663761</v>
      </c>
      <c r="I23">
        <f t="shared" si="1"/>
        <v>-97.585260097218068</v>
      </c>
      <c r="K23">
        <v>-27.598175000000001</v>
      </c>
      <c r="L23">
        <v>-211.620383</v>
      </c>
      <c r="M23">
        <f t="shared" si="2"/>
        <v>-10.751488901663762</v>
      </c>
      <c r="N23">
        <f t="shared" si="3"/>
        <v>-84.858510097218058</v>
      </c>
      <c r="Q23">
        <v>-27.03304</v>
      </c>
      <c r="R23">
        <v>-202.58077399999999</v>
      </c>
      <c r="S23">
        <f t="shared" si="4"/>
        <v>-8.0863539016637613</v>
      </c>
      <c r="T23">
        <f t="shared" si="5"/>
        <v>-75.818901097218045</v>
      </c>
      <c r="V23">
        <v>-27.300550999999999</v>
      </c>
      <c r="W23">
        <v>-197.761628</v>
      </c>
      <c r="X23">
        <f t="shared" si="6"/>
        <v>-6.8538649016637603</v>
      </c>
      <c r="Y23">
        <f t="shared" si="7"/>
        <v>-70.999755097218056</v>
      </c>
      <c r="AA23">
        <v>-27.970939000000001</v>
      </c>
      <c r="AB23">
        <v>-189.90050400000001</v>
      </c>
      <c r="AC23">
        <f t="shared" si="8"/>
        <v>-5.5242529016637629</v>
      </c>
      <c r="AD23">
        <f t="shared" si="9"/>
        <v>-63.138631097218067</v>
      </c>
      <c r="AF23">
        <v>-27.902159999999999</v>
      </c>
      <c r="AG23">
        <v>-187.622773</v>
      </c>
      <c r="AH23">
        <f t="shared" si="10"/>
        <v>-4.4554739016637601</v>
      </c>
      <c r="AI23">
        <f t="shared" si="11"/>
        <v>-60.86090009721805</v>
      </c>
      <c r="AK23">
        <v>-27.679478</v>
      </c>
      <c r="AL23">
        <v>-180.51603900000001</v>
      </c>
      <c r="AM23">
        <f t="shared" si="12"/>
        <v>-3.4327919016637614</v>
      </c>
      <c r="AN23">
        <f t="shared" si="13"/>
        <v>-53.754166097218061</v>
      </c>
      <c r="AP23">
        <v>-28.959365999999999</v>
      </c>
      <c r="AQ23">
        <v>-169.971642</v>
      </c>
      <c r="AR23">
        <f t="shared" si="14"/>
        <v>-2.2126799016637611</v>
      </c>
      <c r="AS23">
        <f t="shared" si="15"/>
        <v>-43.209769097218057</v>
      </c>
      <c r="BM23" t="str">
        <f t="shared" si="24"/>
        <v>1+1.9952954i</v>
      </c>
      <c r="BN23">
        <f t="shared" si="25"/>
        <v>-6.9733430491681192</v>
      </c>
      <c r="BO23">
        <f t="shared" si="26"/>
        <v>-63.380936451390973</v>
      </c>
      <c r="BP23" t="str">
        <f t="shared" si="27"/>
        <v>1+1.9952954i</v>
      </c>
      <c r="BQ23">
        <f t="shared" si="28"/>
        <v>-6.9733430491681192</v>
      </c>
      <c r="BR23">
        <f t="shared" si="29"/>
        <v>-63.380936451390973</v>
      </c>
      <c r="BS23">
        <f t="shared" si="30"/>
        <v>-13.946686098336238</v>
      </c>
      <c r="BT23">
        <f t="shared" si="31"/>
        <v>-126.76187290278195</v>
      </c>
    </row>
    <row r="24" spans="1:72" x14ac:dyDescent="0.3">
      <c r="A24">
        <v>25.120683</v>
      </c>
      <c r="B24">
        <v>-28.671386999999999</v>
      </c>
      <c r="C24">
        <v>-162.45881800000001</v>
      </c>
      <c r="D24">
        <v>25.120683</v>
      </c>
      <c r="F24">
        <v>-33.157201000000001</v>
      </c>
      <c r="G24">
        <v>-239.69872900000001</v>
      </c>
      <c r="H24">
        <f t="shared" si="0"/>
        <v>-15.878274645949936</v>
      </c>
      <c r="I24">
        <f t="shared" si="1"/>
        <v>-103.11159033399574</v>
      </c>
      <c r="K24">
        <v>-33.294130000000003</v>
      </c>
      <c r="L24">
        <v>-233.78536</v>
      </c>
      <c r="M24">
        <f t="shared" si="2"/>
        <v>-13.115203645949938</v>
      </c>
      <c r="N24">
        <f t="shared" si="3"/>
        <v>-97.198221333995718</v>
      </c>
      <c r="Q24">
        <v>-32.036302999999997</v>
      </c>
      <c r="R24">
        <v>-223.03087199999999</v>
      </c>
      <c r="S24">
        <f t="shared" si="4"/>
        <v>-9.7573766459499325</v>
      </c>
      <c r="T24">
        <f t="shared" si="5"/>
        <v>-86.443733333995709</v>
      </c>
      <c r="V24">
        <v>-32.263263999999999</v>
      </c>
      <c r="W24">
        <v>-216.69251700000001</v>
      </c>
      <c r="X24">
        <f t="shared" si="6"/>
        <v>-8.4843376459499353</v>
      </c>
      <c r="Y24">
        <f t="shared" si="7"/>
        <v>-80.105378333995731</v>
      </c>
      <c r="AA24">
        <v>-31.784034999999999</v>
      </c>
      <c r="AB24">
        <v>-207.718357</v>
      </c>
      <c r="AC24">
        <f t="shared" si="8"/>
        <v>-6.0051086459499352</v>
      </c>
      <c r="AD24">
        <f t="shared" si="9"/>
        <v>-71.131218333995719</v>
      </c>
      <c r="AF24">
        <v>-33.210966999999997</v>
      </c>
      <c r="AG24">
        <v>-205.36519200000001</v>
      </c>
      <c r="AH24">
        <f t="shared" si="10"/>
        <v>-6.4320406459499324</v>
      </c>
      <c r="AI24">
        <f t="shared" si="11"/>
        <v>-68.778053333995729</v>
      </c>
      <c r="AK24">
        <v>-32.599004000000001</v>
      </c>
      <c r="AL24">
        <v>-201.97343499999999</v>
      </c>
      <c r="AM24">
        <f t="shared" si="12"/>
        <v>-5.0200776459499368</v>
      </c>
      <c r="AN24">
        <f t="shared" si="13"/>
        <v>-65.386296333995716</v>
      </c>
      <c r="AP24">
        <v>-32.461950000000002</v>
      </c>
      <c r="AQ24">
        <v>-189.039445</v>
      </c>
      <c r="AR24">
        <f t="shared" si="14"/>
        <v>-2.3830236459499377</v>
      </c>
      <c r="AS24">
        <f t="shared" si="15"/>
        <v>-52.452306333995722</v>
      </c>
      <c r="BM24" t="str">
        <f t="shared" si="24"/>
        <v>1+2.5120683i</v>
      </c>
      <c r="BN24">
        <f t="shared" si="25"/>
        <v>-8.6394631770250321</v>
      </c>
      <c r="BO24">
        <f t="shared" si="26"/>
        <v>-68.293569333002139</v>
      </c>
      <c r="BP24" t="str">
        <f t="shared" si="27"/>
        <v>1+2.5120683i</v>
      </c>
      <c r="BQ24">
        <f t="shared" si="28"/>
        <v>-8.6394631770250321</v>
      </c>
      <c r="BR24">
        <f t="shared" si="29"/>
        <v>-68.293569333002139</v>
      </c>
      <c r="BS24">
        <f t="shared" si="30"/>
        <v>-17.278926354050064</v>
      </c>
      <c r="BT24">
        <f t="shared" si="31"/>
        <v>-136.58713866600428</v>
      </c>
    </row>
    <row r="25" spans="1:72" x14ac:dyDescent="0.3">
      <c r="A25">
        <v>31.623455</v>
      </c>
      <c r="B25">
        <v>-34.065339000000002</v>
      </c>
      <c r="C25">
        <v>-169.62320199999999</v>
      </c>
      <c r="D25">
        <v>31.623455</v>
      </c>
      <c r="F25">
        <v>-40.671905000000002</v>
      </c>
      <c r="G25">
        <v>-257.61886800000002</v>
      </c>
      <c r="H25">
        <f t="shared" si="0"/>
        <v>-19.843712505287396</v>
      </c>
      <c r="I25">
        <f t="shared" si="1"/>
        <v>-112.71496252572445</v>
      </c>
      <c r="K25">
        <v>-39.860267</v>
      </c>
      <c r="L25">
        <v>-240.83859699999999</v>
      </c>
      <c r="M25">
        <f t="shared" si="2"/>
        <v>-16.132074505287395</v>
      </c>
      <c r="N25">
        <f t="shared" si="3"/>
        <v>-95.934691525724418</v>
      </c>
      <c r="Q25">
        <v>-39.010058000000001</v>
      </c>
      <c r="R25">
        <v>-229.781948</v>
      </c>
      <c r="S25">
        <f t="shared" si="4"/>
        <v>-13.181865505287394</v>
      </c>
      <c r="T25">
        <f t="shared" si="5"/>
        <v>-84.878042525724425</v>
      </c>
      <c r="V25">
        <v>-39.331507000000002</v>
      </c>
      <c r="W25">
        <v>-224.70078100000001</v>
      </c>
      <c r="X25">
        <f t="shared" si="6"/>
        <v>-12.003314505287396</v>
      </c>
      <c r="Y25">
        <f t="shared" si="7"/>
        <v>-79.796875525724431</v>
      </c>
      <c r="AA25">
        <v>-38.973995000000002</v>
      </c>
      <c r="AB25">
        <v>-214.73187899999999</v>
      </c>
      <c r="AC25">
        <f t="shared" si="8"/>
        <v>-9.6458025052873957</v>
      </c>
      <c r="AD25">
        <f t="shared" si="9"/>
        <v>-69.827973525724417</v>
      </c>
      <c r="AF25">
        <v>-39.027825</v>
      </c>
      <c r="AG25">
        <v>-206.17111600000001</v>
      </c>
      <c r="AH25">
        <f t="shared" si="10"/>
        <v>-8.6996325052873935</v>
      </c>
      <c r="AI25">
        <f t="shared" si="11"/>
        <v>-61.267210525724437</v>
      </c>
      <c r="AK25">
        <v>-39.127324000000002</v>
      </c>
      <c r="AL25">
        <v>-200.96210099999999</v>
      </c>
      <c r="AM25">
        <f t="shared" si="12"/>
        <v>-7.9991315052873952</v>
      </c>
      <c r="AN25">
        <f t="shared" si="13"/>
        <v>-56.058195525724415</v>
      </c>
      <c r="AP25">
        <v>-36.996569999999998</v>
      </c>
      <c r="AQ25">
        <v>-183.99518699999999</v>
      </c>
      <c r="AR25">
        <f t="shared" si="14"/>
        <v>-3.3683775052873921</v>
      </c>
      <c r="AS25">
        <f t="shared" si="15"/>
        <v>-39.091281525724412</v>
      </c>
      <c r="BM25" t="str">
        <f t="shared" si="24"/>
        <v>1+3.1623455i</v>
      </c>
      <c r="BN25">
        <f t="shared" si="25"/>
        <v>-10.414096247356303</v>
      </c>
      <c r="BO25">
        <f t="shared" si="26"/>
        <v>-72.451952737137788</v>
      </c>
      <c r="BP25" t="str">
        <f t="shared" si="27"/>
        <v>1+3.1623455i</v>
      </c>
      <c r="BQ25">
        <f t="shared" si="28"/>
        <v>-10.414096247356303</v>
      </c>
      <c r="BR25">
        <f t="shared" si="29"/>
        <v>-72.451952737137788</v>
      </c>
      <c r="BS25">
        <f t="shared" si="30"/>
        <v>-20.828192494712606</v>
      </c>
      <c r="BT25">
        <f t="shared" si="31"/>
        <v>-144.90390547427558</v>
      </c>
    </row>
    <row r="26" spans="1:72" x14ac:dyDescent="0.3">
      <c r="A26">
        <v>39.81109</v>
      </c>
      <c r="B26">
        <v>-43.853488999999996</v>
      </c>
      <c r="C26">
        <v>-174.54468299999999</v>
      </c>
      <c r="D26">
        <v>39.81109</v>
      </c>
      <c r="F26">
        <v>-46.072758999999998</v>
      </c>
      <c r="G26">
        <v>-293.826076</v>
      </c>
      <c r="H26">
        <f t="shared" si="0"/>
        <v>-21.541158409465829</v>
      </c>
      <c r="I26">
        <f t="shared" si="1"/>
        <v>-142.02646960538965</v>
      </c>
      <c r="K26">
        <v>-46.050215000000001</v>
      </c>
      <c r="L26">
        <v>-287.17721</v>
      </c>
      <c r="M26">
        <f t="shared" si="2"/>
        <v>-18.618614409465835</v>
      </c>
      <c r="N26">
        <f t="shared" si="3"/>
        <v>-135.37760360538965</v>
      </c>
      <c r="Q26">
        <v>-45.658651999999996</v>
      </c>
      <c r="R26">
        <v>-278.35946899999999</v>
      </c>
      <c r="S26">
        <f t="shared" si="4"/>
        <v>-16.127051409465828</v>
      </c>
      <c r="T26">
        <f t="shared" si="5"/>
        <v>-126.55986260538964</v>
      </c>
      <c r="V26">
        <v>-46.533723999999999</v>
      </c>
      <c r="W26">
        <v>-271.797774</v>
      </c>
      <c r="X26">
        <f t="shared" si="6"/>
        <v>-15.502123409465831</v>
      </c>
      <c r="Y26">
        <f t="shared" si="7"/>
        <v>-119.99816760538965</v>
      </c>
      <c r="AA26">
        <v>-46.362808999999999</v>
      </c>
      <c r="AB26">
        <v>-258.22083700000002</v>
      </c>
      <c r="AC26">
        <f t="shared" si="8"/>
        <v>-13.33120840946583</v>
      </c>
      <c r="AD26">
        <f t="shared" si="9"/>
        <v>-106.42123060538967</v>
      </c>
      <c r="AF26">
        <v>-47.915225999999997</v>
      </c>
      <c r="AG26">
        <v>-258.42947500000002</v>
      </c>
      <c r="AH26">
        <f t="shared" si="10"/>
        <v>-13.883625409465829</v>
      </c>
      <c r="AI26">
        <f t="shared" si="11"/>
        <v>-106.62986860538967</v>
      </c>
      <c r="AK26">
        <v>-47.801191000000003</v>
      </c>
      <c r="AL26">
        <v>-254.13707700000001</v>
      </c>
      <c r="AM26">
        <f t="shared" si="12"/>
        <v>-12.969590409465834</v>
      </c>
      <c r="AN26">
        <f t="shared" si="13"/>
        <v>-102.33747060538965</v>
      </c>
      <c r="AP26">
        <v>-48.576196000000003</v>
      </c>
      <c r="AQ26">
        <v>-183.591714</v>
      </c>
      <c r="AR26">
        <f t="shared" si="14"/>
        <v>-11.244595409465834</v>
      </c>
      <c r="AS26">
        <f t="shared" si="15"/>
        <v>-31.792107605389646</v>
      </c>
      <c r="BM26" t="str">
        <f t="shared" si="24"/>
        <v>1+3.981109i</v>
      </c>
      <c r="BN26">
        <f t="shared" si="25"/>
        <v>-12.265800295267084</v>
      </c>
      <c r="BO26">
        <f t="shared" si="26"/>
        <v>-75.899803197305175</v>
      </c>
      <c r="BP26" t="str">
        <f t="shared" si="27"/>
        <v>1+3.981109i</v>
      </c>
      <c r="BQ26">
        <f t="shared" si="28"/>
        <v>-12.265800295267084</v>
      </c>
      <c r="BR26">
        <f t="shared" si="29"/>
        <v>-75.899803197305175</v>
      </c>
      <c r="BS26">
        <f t="shared" si="30"/>
        <v>-24.531600590534168</v>
      </c>
      <c r="BT26">
        <f t="shared" si="31"/>
        <v>-151.79960639461035</v>
      </c>
    </row>
    <row r="27" spans="1:72" x14ac:dyDescent="0.3">
      <c r="A27">
        <v>50.121133999999998</v>
      </c>
      <c r="B27">
        <v>-48.916573</v>
      </c>
      <c r="C27">
        <v>-171.59804600000001</v>
      </c>
      <c r="D27">
        <v>50.121133999999998</v>
      </c>
      <c r="F27">
        <v>-54.062783000000003</v>
      </c>
      <c r="G27">
        <v>-334.39362799999998</v>
      </c>
      <c r="H27">
        <f t="shared" si="0"/>
        <v>-25.722893665647831</v>
      </c>
      <c r="I27">
        <f t="shared" si="1"/>
        <v>-176.96022882331357</v>
      </c>
      <c r="K27">
        <v>-52.168869000000001</v>
      </c>
      <c r="L27">
        <v>-342.36046699999997</v>
      </c>
      <c r="M27">
        <f t="shared" si="2"/>
        <v>-20.92897966564783</v>
      </c>
      <c r="N27">
        <f t="shared" si="3"/>
        <v>-184.92706782331356</v>
      </c>
      <c r="Q27">
        <v>-53.594602999999999</v>
      </c>
      <c r="R27">
        <v>-340.19400899999999</v>
      </c>
      <c r="S27">
        <f t="shared" si="4"/>
        <v>-20.254713665647827</v>
      </c>
      <c r="T27">
        <f t="shared" si="5"/>
        <v>-182.76060982331359</v>
      </c>
      <c r="V27">
        <v>-55.015954999999998</v>
      </c>
      <c r="W27">
        <v>-352.69250099999999</v>
      </c>
      <c r="X27">
        <f t="shared" si="6"/>
        <v>-20.176065665647826</v>
      </c>
      <c r="Y27">
        <f t="shared" si="7"/>
        <v>-195.25910182331359</v>
      </c>
      <c r="AA27">
        <v>-55.346474000000001</v>
      </c>
      <c r="AB27">
        <v>-346.59621399999997</v>
      </c>
      <c r="AC27">
        <f t="shared" si="8"/>
        <v>-18.506584665647829</v>
      </c>
      <c r="AD27">
        <f t="shared" si="9"/>
        <v>-189.16281482331357</v>
      </c>
      <c r="AF27">
        <v>-54.706713000000001</v>
      </c>
      <c r="AG27">
        <v>-370.95635299999998</v>
      </c>
      <c r="AH27">
        <f t="shared" si="10"/>
        <v>-16.866823665647829</v>
      </c>
      <c r="AI27">
        <f t="shared" si="11"/>
        <v>-213.52295382331357</v>
      </c>
      <c r="AK27">
        <v>-55.670001999999997</v>
      </c>
      <c r="AL27">
        <v>-374.83858099999998</v>
      </c>
      <c r="AM27">
        <f t="shared" si="12"/>
        <v>-17.030112665647824</v>
      </c>
      <c r="AN27">
        <f t="shared" si="13"/>
        <v>-217.40518182331357</v>
      </c>
      <c r="AP27">
        <v>-56.064306000000002</v>
      </c>
      <c r="AQ27">
        <v>-186.82693499999999</v>
      </c>
      <c r="AR27">
        <f t="shared" si="14"/>
        <v>-14.924416665647829</v>
      </c>
      <c r="AS27">
        <f t="shared" si="15"/>
        <v>-29.393535823313584</v>
      </c>
      <c r="BM27" t="str">
        <f t="shared" si="24"/>
        <v>1+5.0121134i</v>
      </c>
      <c r="BN27">
        <f t="shared" si="25"/>
        <v>-14.169944667176086</v>
      </c>
      <c r="BO27">
        <f t="shared" si="26"/>
        <v>-78.716699588343204</v>
      </c>
      <c r="BP27" t="str">
        <f t="shared" si="27"/>
        <v>1+5.0121134i</v>
      </c>
      <c r="BQ27">
        <f t="shared" si="28"/>
        <v>-14.169944667176086</v>
      </c>
      <c r="BR27">
        <f t="shared" si="29"/>
        <v>-78.716699588343204</v>
      </c>
      <c r="BS27">
        <f t="shared" si="30"/>
        <v>-28.339889334352172</v>
      </c>
      <c r="BT27">
        <f t="shared" si="31"/>
        <v>-157.43339917668641</v>
      </c>
    </row>
    <row r="28" spans="1:72" x14ac:dyDescent="0.3">
      <c r="A28">
        <v>63.098047999999999</v>
      </c>
      <c r="B28">
        <v>-50.085667000000001</v>
      </c>
      <c r="C28">
        <v>-206.151893</v>
      </c>
      <c r="G28">
        <f>1/3.8</f>
        <v>0.26315789473684209</v>
      </c>
      <c r="X28">
        <f>1/9.5</f>
        <v>0.10526315789473684</v>
      </c>
      <c r="AB28">
        <f>1/13.6</f>
        <v>7.3529411764705885E-2</v>
      </c>
      <c r="AM28">
        <f>1/15</f>
        <v>6.6666666666666666E-2</v>
      </c>
      <c r="BM28" t="str">
        <f t="shared" si="24"/>
        <v>1+6.3098048i</v>
      </c>
      <c r="BN28">
        <f t="shared" si="25"/>
        <v>-16.108052934028425</v>
      </c>
      <c r="BO28">
        <f t="shared" si="26"/>
        <v>-80.994462826162277</v>
      </c>
      <c r="BP28" t="str">
        <f t="shared" si="27"/>
        <v>1+6.3098048i</v>
      </c>
      <c r="BQ28">
        <f t="shared" si="28"/>
        <v>-16.108052934028425</v>
      </c>
      <c r="BR28">
        <f t="shared" si="29"/>
        <v>-80.994462826162277</v>
      </c>
      <c r="BS28">
        <f t="shared" si="30"/>
        <v>-32.21610586805685</v>
      </c>
      <c r="BT28">
        <f t="shared" si="31"/>
        <v>-161.98892565232455</v>
      </c>
    </row>
    <row r="29" spans="1:72" x14ac:dyDescent="0.3">
      <c r="A29">
        <v>79.433442999999997</v>
      </c>
      <c r="B29">
        <v>-54.404392000000001</v>
      </c>
      <c r="C29">
        <v>-238.59470499999998</v>
      </c>
      <c r="R29">
        <f>1/7.9</f>
        <v>0.12658227848101264</v>
      </c>
      <c r="AG29">
        <f>1/14</f>
        <v>7.1428571428571425E-2</v>
      </c>
      <c r="AM29">
        <f>1/22</f>
        <v>4.5454545454545456E-2</v>
      </c>
      <c r="BM29" t="str">
        <f t="shared" si="24"/>
        <v>1+7.9433443i</v>
      </c>
      <c r="BN29">
        <f t="shared" si="25"/>
        <v>-18.068357970584664</v>
      </c>
      <c r="BO29">
        <f t="shared" si="26"/>
        <v>-82.824692483217106</v>
      </c>
      <c r="BP29" t="str">
        <f t="shared" si="27"/>
        <v>1+7.9433443i</v>
      </c>
      <c r="BQ29">
        <f t="shared" si="28"/>
        <v>-18.068357970584664</v>
      </c>
      <c r="BR29">
        <f t="shared" si="29"/>
        <v>-82.824692483217106</v>
      </c>
      <c r="BS29">
        <f t="shared" si="30"/>
        <v>-36.136715941169328</v>
      </c>
      <c r="BT29">
        <f t="shared" si="31"/>
        <v>-165.64938496643421</v>
      </c>
    </row>
    <row r="30" spans="1:72" x14ac:dyDescent="0.3">
      <c r="A30">
        <v>100.00027</v>
      </c>
      <c r="B30">
        <v>-55.318598999999999</v>
      </c>
      <c r="C30">
        <v>-251.80307300000004</v>
      </c>
      <c r="BM30" t="str">
        <f t="shared" si="24"/>
        <v>1+10.000027i</v>
      </c>
      <c r="BN30">
        <f t="shared" si="25"/>
        <v>-20.043236957500671</v>
      </c>
      <c r="BO30">
        <f t="shared" si="26"/>
        <v>-84.28942217915295</v>
      </c>
      <c r="BP30" t="str">
        <f t="shared" si="27"/>
        <v>1+10.000027i</v>
      </c>
      <c r="BQ30">
        <f t="shared" si="28"/>
        <v>-20.043236957500671</v>
      </c>
      <c r="BR30">
        <f t="shared" si="29"/>
        <v>-84.28942217915295</v>
      </c>
      <c r="BS30">
        <f t="shared" si="30"/>
        <v>-40.086473915001342</v>
      </c>
      <c r="BT30">
        <f t="shared" si="31"/>
        <v>-168.5788443583059</v>
      </c>
    </row>
    <row r="31" spans="1:72" x14ac:dyDescent="0.3">
      <c r="A31">
        <v>125.89976799999999</v>
      </c>
      <c r="B31">
        <v>-61.449762</v>
      </c>
      <c r="C31">
        <v>-354.87647199999998</v>
      </c>
      <c r="BM31" t="str">
        <f t="shared" si="24"/>
        <v>1+12.5899768i</v>
      </c>
      <c r="BN31">
        <f t="shared" si="25"/>
        <v>-22.027811513695177</v>
      </c>
      <c r="BO31">
        <f t="shared" si="26"/>
        <v>-85.458629962067846</v>
      </c>
      <c r="BP31" t="str">
        <f t="shared" si="27"/>
        <v>1+12.5899768i</v>
      </c>
      <c r="BQ31">
        <f t="shared" si="28"/>
        <v>-22.027811513695177</v>
      </c>
      <c r="BR31">
        <f t="shared" si="29"/>
        <v>-85.458629962067846</v>
      </c>
      <c r="BS31">
        <f t="shared" si="30"/>
        <v>-44.055623027390354</v>
      </c>
      <c r="BT31">
        <f t="shared" si="31"/>
        <v>-170.91725992413569</v>
      </c>
    </row>
    <row r="32" spans="1:72" x14ac:dyDescent="0.3">
      <c r="A32">
        <v>158.482349</v>
      </c>
      <c r="B32">
        <v>-61.612836999999999</v>
      </c>
      <c r="C32">
        <v>-359.92659200000003</v>
      </c>
      <c r="BM32" t="str">
        <f t="shared" si="24"/>
        <v>1+15.8482349i</v>
      </c>
      <c r="BN32">
        <f t="shared" si="25"/>
        <v>-24.016874757552714</v>
      </c>
      <c r="BO32">
        <f t="shared" si="26"/>
        <v>-86.389508267046338</v>
      </c>
      <c r="BP32" t="str">
        <f t="shared" si="27"/>
        <v>1+15.8482349i</v>
      </c>
      <c r="BQ32">
        <f t="shared" si="28"/>
        <v>-24.016874757552714</v>
      </c>
      <c r="BR32">
        <f t="shared" si="29"/>
        <v>-86.389508267046338</v>
      </c>
      <c r="BS32">
        <f t="shared" si="30"/>
        <v>-48.033749515105427</v>
      </c>
      <c r="BT32">
        <f t="shared" si="31"/>
        <v>-172.77901653409268</v>
      </c>
    </row>
    <row r="33" spans="1:72" x14ac:dyDescent="0.3">
      <c r="A33">
        <v>199.52891600000001</v>
      </c>
      <c r="B33">
        <v>-55.344053000000002</v>
      </c>
      <c r="C33">
        <v>-484.44384400000001</v>
      </c>
      <c r="BM33" t="str">
        <f t="shared" si="24"/>
        <v>1+19.9528916i</v>
      </c>
      <c r="BN33">
        <f t="shared" si="25"/>
        <v>-26.0110118757271</v>
      </c>
      <c r="BO33">
        <f t="shared" si="26"/>
        <v>-87.130847968123575</v>
      </c>
      <c r="BP33" t="str">
        <f t="shared" si="27"/>
        <v>1+19.9528916i</v>
      </c>
      <c r="BQ33">
        <f t="shared" si="28"/>
        <v>-26.0110118757271</v>
      </c>
      <c r="BR33">
        <f t="shared" si="29"/>
        <v>-87.130847968123575</v>
      </c>
      <c r="BS33">
        <f t="shared" si="30"/>
        <v>-52.022023751454199</v>
      </c>
      <c r="BT33">
        <f t="shared" si="31"/>
        <v>-174.26169593624715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1"/>
  <sheetViews>
    <sheetView workbookViewId="0">
      <pane ySplit="1" topLeftCell="A50" activePane="bottomLeft" state="frozen"/>
      <selection pane="bottomLeft" activeCell="M6" sqref="M6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6" width="6.332031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2" width="5.109375" style="1" customWidth="1"/>
    <col min="13" max="13" width="6.6640625" style="1" customWidth="1"/>
    <col min="14" max="14" width="4.6640625" style="1" customWidth="1"/>
    <col min="15" max="15" width="7.33203125" style="1" bestFit="1" customWidth="1"/>
    <col min="16" max="17" width="6.33203125" style="1" customWidth="1"/>
    <col min="18" max="18" width="4.33203125" style="1" customWidth="1"/>
    <col min="19" max="19" width="8" style="1" customWidth="1"/>
    <col min="20" max="20" width="7.6640625" customWidth="1"/>
    <col min="22" max="22" width="9.88671875" bestFit="1" customWidth="1"/>
    <col min="23" max="23" width="10.6640625" customWidth="1"/>
    <col min="24" max="24" width="6.5546875" bestFit="1" customWidth="1"/>
    <col min="25" max="26" width="9.6640625" customWidth="1"/>
    <col min="27" max="27" width="7.88671875" customWidth="1"/>
    <col min="28" max="32" width="10" customWidth="1"/>
    <col min="33" max="34" width="11.5546875" customWidth="1"/>
    <col min="35" max="35" width="8.6640625" customWidth="1"/>
    <col min="36" max="36" width="11.5546875" bestFit="1" customWidth="1"/>
    <col min="37" max="37" width="9.6640625" customWidth="1"/>
    <col min="42" max="42" width="12" bestFit="1" customWidth="1"/>
    <col min="46" max="46" width="12" bestFit="1" customWidth="1"/>
  </cols>
  <sheetData>
    <row r="1" spans="1:49" ht="72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115</v>
      </c>
      <c r="O1" s="4" t="s">
        <v>25</v>
      </c>
      <c r="P1" s="4" t="s">
        <v>111</v>
      </c>
      <c r="Q1" s="4" t="s">
        <v>26</v>
      </c>
      <c r="R1" s="4" t="s">
        <v>100</v>
      </c>
      <c r="S1" s="4" t="s">
        <v>7</v>
      </c>
      <c r="T1" s="4" t="str">
        <f t="shared" ref="T1:T14" si="0">J1</f>
        <v>Charger Pwr, W</v>
      </c>
      <c r="U1" s="4" t="s">
        <v>45</v>
      </c>
      <c r="V1" s="4" t="s">
        <v>46</v>
      </c>
      <c r="W1" s="4" t="s">
        <v>47</v>
      </c>
      <c r="X1" s="4" t="s">
        <v>78</v>
      </c>
      <c r="Y1" s="4" t="s">
        <v>118</v>
      </c>
      <c r="Z1" s="4" t="s">
        <v>119</v>
      </c>
      <c r="AA1" s="4" t="s">
        <v>120</v>
      </c>
      <c r="AB1" s="4"/>
      <c r="AF1" s="4" t="s">
        <v>66</v>
      </c>
      <c r="AG1" s="4" t="s">
        <v>63</v>
      </c>
      <c r="AH1" s="4" t="s">
        <v>67</v>
      </c>
      <c r="AI1" s="4" t="s">
        <v>64</v>
      </c>
      <c r="AJ1" s="4" t="s">
        <v>107</v>
      </c>
      <c r="AK1" s="4" t="s">
        <v>108</v>
      </c>
      <c r="AL1" s="4" t="s">
        <v>101</v>
      </c>
      <c r="AM1" s="4" t="s">
        <v>102</v>
      </c>
      <c r="AN1" s="4" t="s">
        <v>88</v>
      </c>
      <c r="AO1" s="4" t="s">
        <v>85</v>
      </c>
      <c r="AP1" s="4" t="s">
        <v>84</v>
      </c>
      <c r="AQ1" s="4" t="s">
        <v>81</v>
      </c>
      <c r="AR1" s="4" t="s">
        <v>103</v>
      </c>
      <c r="AS1" s="4" t="s">
        <v>104</v>
      </c>
      <c r="AT1" s="4" t="s">
        <v>105</v>
      </c>
      <c r="AU1" s="4" t="s">
        <v>99</v>
      </c>
      <c r="AV1" s="4" t="s">
        <v>82</v>
      </c>
      <c r="AW1" s="4" t="s">
        <v>83</v>
      </c>
    </row>
    <row r="2" spans="1:49" x14ac:dyDescent="0.3">
      <c r="B2" s="113">
        <f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4" si="1">C2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3">
        <f t="shared" ref="Q2:Q14" si="2">O2/$W$40*100</f>
        <v>0</v>
      </c>
      <c r="R2" s="3">
        <f t="shared" ref="R2:R14" si="3">P2/$W$40*100</f>
        <v>0</v>
      </c>
      <c r="S2" s="3">
        <f t="shared" ref="S2:S14" si="4">K2</f>
        <v>1E-3</v>
      </c>
      <c r="T2" s="4">
        <f t="shared" si="0"/>
        <v>0</v>
      </c>
      <c r="U2">
        <f>T2*0.001341022</f>
        <v>0</v>
      </c>
      <c r="X2" s="4"/>
      <c r="Y2" s="4"/>
      <c r="Z2" s="4"/>
      <c r="AA2" s="4"/>
      <c r="AB2" s="97"/>
      <c r="AF2" s="95">
        <f t="shared" ref="AF2:AF8" si="5">C2/$AD$32*$AD$27</f>
        <v>2.7777777777777779E-5</v>
      </c>
      <c r="AG2" s="95">
        <f t="shared" ref="AG2:AG14" si="6">AF2/$AD$27*$AD$32</f>
        <v>1E-3</v>
      </c>
      <c r="AH2" s="96">
        <f t="shared" ref="AH2:AH14" si="7">MAX(($AD$35+$AE$35*LN($AG2)),0)</f>
        <v>0</v>
      </c>
      <c r="AI2" s="96">
        <f>MAX(($AD$35+$AE$35*LN($AG2))/$AD$31,0)</f>
        <v>0</v>
      </c>
      <c r="AJ2" s="96">
        <f t="shared" ref="AJ2:AJ14" si="8">($AD$36+$AE$36*AI2*$AD$31)/$AD$31</f>
        <v>-22.202069774198112</v>
      </c>
      <c r="AK2" s="96">
        <f t="shared" ref="AK2:AK14" si="9">($AD$37+$AE$37*AJ2*$AD$31)/$AD$31</f>
        <v>0.53820371820708912</v>
      </c>
      <c r="AM2">
        <f>MAX($AD$36+$AE$36*AH2, 0)</f>
        <v>0</v>
      </c>
      <c r="AN2" s="127">
        <f>MAX($AD$39+$AH2*($AE$39+$AH2*$AF$39), 0)</f>
        <v>0</v>
      </c>
      <c r="AO2" s="127"/>
      <c r="AP2" s="127"/>
      <c r="AR2" s="127">
        <f>MAX($AD$39+$AM2*($AE$39+$AM2*$AF$39), 0)</f>
        <v>0</v>
      </c>
      <c r="AS2" s="127">
        <f>AR2/MAX(AM2,0.00000001)*5252</f>
        <v>0</v>
      </c>
      <c r="AT2" s="127"/>
    </row>
    <row r="3" spans="1:49" x14ac:dyDescent="0.3">
      <c r="B3" s="113">
        <f>C3/180+1</f>
        <v>1.0408972290491105</v>
      </c>
      <c r="C3" s="111">
        <f>EXP((0-$AD$35)/$AE$35)</f>
        <v>7.361501228839896</v>
      </c>
      <c r="D3" s="110"/>
      <c r="E3" s="110"/>
      <c r="F3" s="110"/>
      <c r="G3" s="110"/>
      <c r="H3" s="110"/>
      <c r="I3" s="114"/>
      <c r="J3" s="4"/>
      <c r="K3" s="1">
        <f>C3</f>
        <v>7.361501228839896</v>
      </c>
      <c r="L3" s="1">
        <f>LN(K3)</f>
        <v>1.9962638832512341</v>
      </c>
      <c r="M3" s="3"/>
      <c r="N3" s="4"/>
      <c r="O3" s="4">
        <v>0</v>
      </c>
      <c r="P3" s="4">
        <v>0</v>
      </c>
      <c r="Q3" s="3">
        <f t="shared" si="2"/>
        <v>0</v>
      </c>
      <c r="R3" s="3">
        <f t="shared" si="3"/>
        <v>0</v>
      </c>
      <c r="S3" s="3">
        <f t="shared" si="4"/>
        <v>7.361501228839896</v>
      </c>
      <c r="T3" s="4">
        <f t="shared" si="0"/>
        <v>0</v>
      </c>
      <c r="U3">
        <f>T3*0.001341022</f>
        <v>0</v>
      </c>
      <c r="X3" s="4"/>
      <c r="Y3" s="4"/>
      <c r="Z3" s="4"/>
      <c r="AA3" s="4"/>
      <c r="AB3" s="97"/>
      <c r="AF3" s="95">
        <f t="shared" si="5"/>
        <v>0.20448614524555267</v>
      </c>
      <c r="AG3" s="95">
        <f t="shared" si="6"/>
        <v>7.361501228839896</v>
      </c>
      <c r="AH3" s="96">
        <f t="shared" si="7"/>
        <v>0</v>
      </c>
      <c r="AI3" s="96">
        <f t="shared" ref="AI3:AI14" si="10">MAX(($AD$35+$AE$35*LN(AG3))/$AD$31,0)</f>
        <v>0</v>
      </c>
      <c r="AJ3" s="96">
        <f t="shared" si="8"/>
        <v>-22.202069774198112</v>
      </c>
      <c r="AK3" s="96">
        <f t="shared" si="9"/>
        <v>0.53820371820708912</v>
      </c>
      <c r="AM3">
        <f>MAX($AD$36+$AE$36*AH3, 0)</f>
        <v>0</v>
      </c>
      <c r="AN3" s="127">
        <f t="shared" ref="AN3:AN14" si="11">MAX($AD$39+$AH3*($AE$39+$AH3*$AF$39), 0)</f>
        <v>0</v>
      </c>
      <c r="AO3" s="127"/>
      <c r="AP3" t="e">
        <f>AO3/AH3*2</f>
        <v>#DIV/0!</v>
      </c>
      <c r="AR3" s="127">
        <f t="shared" ref="AR3:AR14" si="12">MAX($AD$39+$AM3*($AE$39+$AM3*$AF$39), 0)</f>
        <v>0</v>
      </c>
      <c r="AS3" s="127">
        <f t="shared" ref="AS3:AS14" si="13">AR3/MAX(AM3,0.00000001)*5252</f>
        <v>0</v>
      </c>
      <c r="AT3" s="127"/>
    </row>
    <row r="4" spans="1:49" x14ac:dyDescent="0.3">
      <c r="B4" s="113">
        <f>C4/180+1</f>
        <v>1.0444444444444445</v>
      </c>
      <c r="C4" s="109">
        <v>8</v>
      </c>
      <c r="D4" s="109">
        <v>3.0000000000000001E-3</v>
      </c>
      <c r="E4" s="109">
        <v>13.8</v>
      </c>
      <c r="F4" s="112">
        <v>0.43</v>
      </c>
      <c r="G4" s="109">
        <v>6700</v>
      </c>
      <c r="H4" s="105">
        <v>100000000</v>
      </c>
      <c r="I4" s="115">
        <v>0</v>
      </c>
      <c r="J4" s="2">
        <f>E4*F4</f>
        <v>5.9340000000000002</v>
      </c>
      <c r="K4" s="1">
        <f t="shared" si="1"/>
        <v>8</v>
      </c>
      <c r="L4" s="1">
        <f>LN(K4)</f>
        <v>2.0794415416798357</v>
      </c>
      <c r="M4" s="3">
        <f t="shared" ref="M4:N13" si="14">1/G4/0.000001</f>
        <v>149.25373134328359</v>
      </c>
      <c r="N4" s="3">
        <f t="shared" si="14"/>
        <v>0.01</v>
      </c>
      <c r="O4" s="3">
        <f t="shared" ref="O4:O13" si="15">M4*60/$W$27</f>
        <v>8955.2238805970155</v>
      </c>
      <c r="P4" s="3">
        <f t="shared" ref="P4:P13" si="16">N4*60/$W$27</f>
        <v>0.6</v>
      </c>
      <c r="Q4" s="3">
        <f t="shared" si="2"/>
        <v>19.434079601990049</v>
      </c>
      <c r="R4" s="3">
        <f t="shared" si="3"/>
        <v>1.3020833333333333E-3</v>
      </c>
      <c r="S4" s="3">
        <f t="shared" si="4"/>
        <v>8</v>
      </c>
      <c r="T4" s="4">
        <f t="shared" si="0"/>
        <v>5.9340000000000002</v>
      </c>
      <c r="U4">
        <f>T4*0.001341022</f>
        <v>7.9576245480000012E-3</v>
      </c>
      <c r="V4" s="127">
        <f t="shared" ref="V4:V13" si="17">U4/O4*5252</f>
        <v>4.6669345940807206E-3</v>
      </c>
      <c r="W4">
        <f t="shared" ref="W4:W13" si="18">-V4/2/O4</f>
        <v>-2.6057051483617353E-7</v>
      </c>
      <c r="X4" s="4"/>
      <c r="Y4" s="4"/>
      <c r="Z4" s="4"/>
      <c r="AA4" s="4"/>
      <c r="AB4" s="97"/>
      <c r="AF4" s="95">
        <f t="shared" si="5"/>
        <v>0.22222222222222224</v>
      </c>
      <c r="AG4" s="95">
        <f t="shared" si="6"/>
        <v>8</v>
      </c>
      <c r="AH4" s="96">
        <f t="shared" si="7"/>
        <v>1180.2918436956534</v>
      </c>
      <c r="AI4" s="96">
        <f t="shared" si="10"/>
        <v>2.5613972302423034</v>
      </c>
      <c r="AJ4" s="96">
        <f t="shared" si="8"/>
        <v>-19.579847910331843</v>
      </c>
      <c r="AK4" s="96">
        <f t="shared" si="9"/>
        <v>3.0771780157392215</v>
      </c>
      <c r="AM4">
        <f>MAX($AD$36+$AE$36*AH4, 0)</f>
        <v>0</v>
      </c>
      <c r="AN4" s="127">
        <f t="shared" si="11"/>
        <v>0</v>
      </c>
      <c r="AO4" s="127">
        <f>AN4/AH4*5252</f>
        <v>0</v>
      </c>
      <c r="AP4">
        <f>AO4/AH4*2</f>
        <v>0</v>
      </c>
      <c r="AQ4" s="95"/>
      <c r="AR4" s="127">
        <f t="shared" si="12"/>
        <v>0</v>
      </c>
      <c r="AS4" s="127">
        <f t="shared" si="13"/>
        <v>0</v>
      </c>
      <c r="AU4" s="95"/>
      <c r="AV4" s="128">
        <f>$W$31/$W$30</f>
        <v>1.0526315789473683E-4</v>
      </c>
      <c r="AW4" t="e">
        <f t="shared" ref="AW4:AW14" si="19">$W$33/$W$30/$W$28/AP4</f>
        <v>#DIV/0!</v>
      </c>
    </row>
    <row r="5" spans="1:49" ht="15" customHeight="1" x14ac:dyDescent="0.3">
      <c r="B5" s="113">
        <f t="shared" ref="B5:B24" si="20">C5/180+1</f>
        <v>1.0722222222222222</v>
      </c>
      <c r="C5" s="73">
        <v>13</v>
      </c>
      <c r="D5" s="109">
        <v>3.0000000000000001E-3</v>
      </c>
      <c r="E5" s="73">
        <v>13.8</v>
      </c>
      <c r="F5" s="106">
        <v>0.53600000000000003</v>
      </c>
      <c r="G5" s="73">
        <v>4620</v>
      </c>
      <c r="H5" s="105">
        <v>100000000</v>
      </c>
      <c r="I5" s="78">
        <v>0</v>
      </c>
      <c r="J5" s="2">
        <f>E5*F5</f>
        <v>7.3968000000000007</v>
      </c>
      <c r="K5" s="1">
        <f t="shared" si="1"/>
        <v>13</v>
      </c>
      <c r="L5" s="1">
        <f t="shared" ref="L5:L14" si="21">LN(K5)</f>
        <v>2.5649493574615367</v>
      </c>
      <c r="M5" s="3">
        <f t="shared" si="14"/>
        <v>216.45021645021646</v>
      </c>
      <c r="N5" s="3">
        <f t="shared" si="14"/>
        <v>0.01</v>
      </c>
      <c r="O5" s="3">
        <f t="shared" si="15"/>
        <v>12987.012987012988</v>
      </c>
      <c r="P5" s="3">
        <f t="shared" si="16"/>
        <v>0.6</v>
      </c>
      <c r="Q5" s="3">
        <f t="shared" si="2"/>
        <v>28.183621933621932</v>
      </c>
      <c r="R5" s="3">
        <f t="shared" si="3"/>
        <v>1.3020833333333333E-3</v>
      </c>
      <c r="S5" s="3">
        <f t="shared" si="4"/>
        <v>13</v>
      </c>
      <c r="T5" s="4">
        <f t="shared" si="0"/>
        <v>7.3968000000000007</v>
      </c>
      <c r="U5">
        <f>T5*0.001341022</f>
        <v>9.9192715296000013E-3</v>
      </c>
      <c r="V5" s="127">
        <f t="shared" si="17"/>
        <v>4.011393083656359E-3</v>
      </c>
      <c r="W5">
        <f t="shared" si="18"/>
        <v>-1.5443863372076981E-7</v>
      </c>
      <c r="AB5" s="97"/>
      <c r="AF5" s="95">
        <f t="shared" si="5"/>
        <v>0.36111111111111105</v>
      </c>
      <c r="AG5" s="95">
        <f t="shared" si="6"/>
        <v>12.999999999999998</v>
      </c>
      <c r="AH5" s="96">
        <f t="shared" si="7"/>
        <v>8069.6528312921109</v>
      </c>
      <c r="AI5" s="96">
        <f t="shared" si="10"/>
        <v>17.512267429019339</v>
      </c>
      <c r="AJ5" s="96">
        <f t="shared" si="8"/>
        <v>-4.2739444541345701</v>
      </c>
      <c r="AK5" s="96">
        <f t="shared" si="9"/>
        <v>17.897165603858483</v>
      </c>
      <c r="AM5">
        <f>MAX($AD$36+$AE$36*AH5, 0)</f>
        <v>0</v>
      </c>
      <c r="AN5" s="127">
        <f t="shared" si="11"/>
        <v>0</v>
      </c>
      <c r="AO5" s="127">
        <f>AN5/AH5*5252</f>
        <v>0</v>
      </c>
      <c r="AP5">
        <f t="shared" ref="AP5:AP14" si="22">AO5/AH5*2</f>
        <v>0</v>
      </c>
      <c r="AQ5" s="95"/>
      <c r="AR5" s="127">
        <f t="shared" si="12"/>
        <v>0</v>
      </c>
      <c r="AS5" s="127">
        <f t="shared" si="13"/>
        <v>0</v>
      </c>
      <c r="AU5" s="95"/>
      <c r="AV5" s="128">
        <f t="shared" ref="AV5:AV14" si="23">$W$31/$W$30</f>
        <v>1.0526315789473683E-4</v>
      </c>
      <c r="AW5" t="e">
        <f t="shared" si="19"/>
        <v>#DIV/0!</v>
      </c>
    </row>
    <row r="6" spans="1:49" ht="15" customHeight="1" x14ac:dyDescent="0.3">
      <c r="B6" s="113">
        <f t="shared" si="20"/>
        <v>1.1388888888888888</v>
      </c>
      <c r="C6" s="73">
        <v>25</v>
      </c>
      <c r="D6" s="109">
        <v>0.66800000000000004</v>
      </c>
      <c r="E6" s="73">
        <v>13.77</v>
      </c>
      <c r="F6" s="106">
        <v>1.48</v>
      </c>
      <c r="G6" s="73">
        <v>3260</v>
      </c>
      <c r="H6" s="105">
        <v>6410</v>
      </c>
      <c r="I6" s="78">
        <v>4.08</v>
      </c>
      <c r="J6" s="2">
        <f>E6*F6</f>
        <v>20.3796</v>
      </c>
      <c r="K6" s="1">
        <f>C6</f>
        <v>25</v>
      </c>
      <c r="L6" s="1">
        <f>LN(K6)</f>
        <v>3.2188758248682006</v>
      </c>
      <c r="M6" s="3">
        <f>1/G6/0.000001</f>
        <v>306.74846625766872</v>
      </c>
      <c r="N6" s="3">
        <f>1/H6/0.000001</f>
        <v>156.00624024960999</v>
      </c>
      <c r="O6" s="3">
        <f t="shared" si="15"/>
        <v>18404.907975460123</v>
      </c>
      <c r="P6" s="3">
        <f t="shared" si="16"/>
        <v>9360.3744149765989</v>
      </c>
      <c r="Q6" s="3">
        <f t="shared" si="2"/>
        <v>39.941206543967276</v>
      </c>
      <c r="R6" s="3">
        <f t="shared" si="3"/>
        <v>20.3133125325013</v>
      </c>
      <c r="S6" s="3">
        <f t="shared" si="4"/>
        <v>25</v>
      </c>
      <c r="T6" s="4">
        <f t="shared" si="0"/>
        <v>20.3796</v>
      </c>
      <c r="U6">
        <f>T6*0.001341022</f>
        <v>2.7329491951200002E-2</v>
      </c>
      <c r="V6" s="127">
        <f t="shared" si="17"/>
        <v>7.7987073838718312E-3</v>
      </c>
      <c r="W6">
        <f t="shared" si="18"/>
        <v>-2.118648839285181E-7</v>
      </c>
      <c r="AB6" s="97"/>
      <c r="AF6" s="95">
        <f t="shared" si="5"/>
        <v>0.69444444444444442</v>
      </c>
      <c r="AG6" s="95">
        <f t="shared" si="6"/>
        <v>25</v>
      </c>
      <c r="AH6" s="96">
        <f t="shared" si="7"/>
        <v>17348.876248230645</v>
      </c>
      <c r="AI6" s="96">
        <f t="shared" si="10"/>
        <v>37.649471024806083</v>
      </c>
      <c r="AJ6" s="96">
        <f t="shared" si="8"/>
        <v>16.341450503953713</v>
      </c>
      <c r="AK6" s="96">
        <f t="shared" si="9"/>
        <v>37.858084492272184</v>
      </c>
      <c r="AM6">
        <f>MAX($AD$36+$AE$36*AH6, 0)</f>
        <v>7530.1403922218742</v>
      </c>
      <c r="AN6" s="127">
        <f t="shared" si="11"/>
        <v>1.4843385324309564E-2</v>
      </c>
      <c r="AO6" s="127">
        <f>AN6/AH6*5252</f>
        <v>4.4935163873351426E-3</v>
      </c>
      <c r="AP6">
        <f t="shared" si="22"/>
        <v>5.1801814976845215E-7</v>
      </c>
      <c r="AQ6" s="95">
        <f t="shared" ref="AQ6:AQ13" si="24">$W$34/AP6</f>
        <v>8.6869543123372139E-2</v>
      </c>
      <c r="AR6" s="127">
        <f t="shared" si="12"/>
        <v>0</v>
      </c>
      <c r="AS6" s="127">
        <f t="shared" si="13"/>
        <v>0</v>
      </c>
      <c r="AT6">
        <f t="shared" ref="AT6:AT14" si="25">AS6/AM6*2</f>
        <v>0</v>
      </c>
      <c r="AU6" s="95"/>
      <c r="AV6" s="128">
        <f t="shared" si="23"/>
        <v>1.0526315789473683E-4</v>
      </c>
      <c r="AW6">
        <f t="shared" si="19"/>
        <v>140.36831132451306</v>
      </c>
    </row>
    <row r="7" spans="1:49" ht="13.95" customHeight="1" x14ac:dyDescent="0.3">
      <c r="B7" s="113">
        <f t="shared" si="20"/>
        <v>1.1944444444444444</v>
      </c>
      <c r="C7" s="73">
        <v>35</v>
      </c>
      <c r="D7" s="73">
        <v>0.98599999999999999</v>
      </c>
      <c r="E7" s="73">
        <v>13.69</v>
      </c>
      <c r="F7" s="73">
        <v>2.19</v>
      </c>
      <c r="G7" s="73">
        <v>2680</v>
      </c>
      <c r="H7" s="73">
        <v>4532</v>
      </c>
      <c r="I7" s="78">
        <v>6.04</v>
      </c>
      <c r="J7" s="2">
        <f t="shared" ref="J7:J13" si="26">E7*F7</f>
        <v>29.981099999999998</v>
      </c>
      <c r="K7" s="1">
        <f t="shared" si="1"/>
        <v>35</v>
      </c>
      <c r="L7" s="1">
        <f t="shared" si="21"/>
        <v>3.5553480614894135</v>
      </c>
      <c r="M7" s="3">
        <f t="shared" si="14"/>
        <v>373.13432835820896</v>
      </c>
      <c r="N7" s="3">
        <f t="shared" si="14"/>
        <v>220.65313327449252</v>
      </c>
      <c r="O7" s="3">
        <f t="shared" si="15"/>
        <v>22388.059701492537</v>
      </c>
      <c r="P7" s="3">
        <f t="shared" si="16"/>
        <v>13239.187996469551</v>
      </c>
      <c r="Q7" s="3">
        <f t="shared" si="2"/>
        <v>48.585199004975124</v>
      </c>
      <c r="R7" s="3">
        <f t="shared" si="3"/>
        <v>28.730876728449545</v>
      </c>
      <c r="S7" s="3">
        <f t="shared" si="4"/>
        <v>35</v>
      </c>
      <c r="T7" s="4">
        <f t="shared" si="0"/>
        <v>29.981099999999998</v>
      </c>
      <c r="U7">
        <f t="shared" ref="U7:U13" si="27">T7*0.001341022</f>
        <v>4.0205314684200001E-2</v>
      </c>
      <c r="V7" s="127">
        <f t="shared" si="17"/>
        <v>9.4317379682233565E-3</v>
      </c>
      <c r="W7">
        <f t="shared" si="18"/>
        <v>-2.106421479569883E-7</v>
      </c>
      <c r="X7">
        <v>0.18</v>
      </c>
      <c r="Y7">
        <f t="shared" ref="Y7:Y12" si="28">-X7*W7</f>
        <v>3.7915586632257891E-8</v>
      </c>
      <c r="Z7">
        <f t="shared" ref="Z7:Z12" si="29">Y7/6.66*2048.5</f>
        <v>1.1662174056483527E-5</v>
      </c>
      <c r="AA7">
        <f t="shared" ref="AA7:AA12" si="30">Z7*144</f>
        <v>1.6793530641336278E-3</v>
      </c>
      <c r="AB7" s="97"/>
      <c r="AF7" s="95">
        <f t="shared" si="5"/>
        <v>0.97222222222222221</v>
      </c>
      <c r="AG7" s="95">
        <f t="shared" si="6"/>
        <v>35</v>
      </c>
      <c r="AH7" s="96">
        <f t="shared" si="7"/>
        <v>22123.420807632323</v>
      </c>
      <c r="AI7" s="96">
        <f t="shared" si="10"/>
        <v>48.010895849896535</v>
      </c>
      <c r="AJ7" s="96">
        <f t="shared" si="8"/>
        <v>26.948924579573251</v>
      </c>
      <c r="AK7" s="96">
        <f t="shared" si="9"/>
        <v>48.128803538153008</v>
      </c>
      <c r="AM7">
        <f t="shared" ref="AM7:AM14" si="31">MAX($AD$36+$AE$36*AH7, 0)</f>
        <v>12418.064446267355</v>
      </c>
      <c r="AN7" s="127">
        <f t="shared" si="11"/>
        <v>3.8056725878256127E-2</v>
      </c>
      <c r="AO7" s="127">
        <f>AN7/AH7*5252</f>
        <v>9.0344945318604156E-3</v>
      </c>
      <c r="AP7">
        <f t="shared" si="22"/>
        <v>8.1673576707844562E-7</v>
      </c>
      <c r="AQ7" s="95">
        <f t="shared" si="24"/>
        <v>5.5097378875630716E-2</v>
      </c>
      <c r="AR7" s="127">
        <f t="shared" si="12"/>
        <v>0</v>
      </c>
      <c r="AS7" s="127">
        <f t="shared" si="13"/>
        <v>0</v>
      </c>
      <c r="AT7">
        <f t="shared" si="25"/>
        <v>0</v>
      </c>
      <c r="AU7" s="95"/>
      <c r="AV7" s="128">
        <f t="shared" si="23"/>
        <v>1.0526315789473683E-4</v>
      </c>
      <c r="AW7">
        <f t="shared" si="19"/>
        <v>89.02920118038908</v>
      </c>
    </row>
    <row r="8" spans="1:49" ht="13.95" customHeight="1" x14ac:dyDescent="0.3">
      <c r="B8" s="113">
        <f>C8/180+1</f>
        <v>1.3</v>
      </c>
      <c r="C8" s="73">
        <v>54</v>
      </c>
      <c r="D8" s="73">
        <v>1.375</v>
      </c>
      <c r="E8" s="73">
        <v>13.62</v>
      </c>
      <c r="F8" s="73">
        <v>3.93</v>
      </c>
      <c r="G8" s="73">
        <v>2150</v>
      </c>
      <c r="H8" s="73">
        <v>3180</v>
      </c>
      <c r="I8" s="78">
        <v>8.24</v>
      </c>
      <c r="J8" s="2">
        <f>E8*F8</f>
        <v>53.526600000000002</v>
      </c>
      <c r="K8" s="1">
        <f>C8</f>
        <v>54</v>
      </c>
      <c r="L8" s="1">
        <f>LN(K8)</f>
        <v>3.9889840465642745</v>
      </c>
      <c r="M8" s="3">
        <f>1/G8/0.000001</f>
        <v>465.11627906976747</v>
      </c>
      <c r="N8" s="3">
        <f>1/H8/0.000001</f>
        <v>314.46540880503147</v>
      </c>
      <c r="O8" s="3">
        <f t="shared" si="15"/>
        <v>27906.976744186049</v>
      </c>
      <c r="P8" s="3">
        <f t="shared" si="16"/>
        <v>18867.92452830189</v>
      </c>
      <c r="Q8" s="3">
        <f t="shared" si="2"/>
        <v>60.562015503875976</v>
      </c>
      <c r="R8" s="3">
        <f t="shared" si="3"/>
        <v>40.946016771488473</v>
      </c>
      <c r="S8" s="3">
        <f t="shared" si="4"/>
        <v>54</v>
      </c>
      <c r="T8" s="4">
        <f t="shared" si="0"/>
        <v>53.526600000000002</v>
      </c>
      <c r="U8">
        <f>T8*0.001341022</f>
        <v>7.1780348185200002E-2</v>
      </c>
      <c r="V8" s="127">
        <f t="shared" si="17"/>
        <v>1.3508822260627353E-2</v>
      </c>
      <c r="W8">
        <f t="shared" si="18"/>
        <v>-2.4203306550290671E-7</v>
      </c>
      <c r="X8">
        <v>0.18</v>
      </c>
      <c r="Y8">
        <f>-X8*W8</f>
        <v>4.3565951790523206E-8</v>
      </c>
      <c r="Z8">
        <f>Y8/6.66*2048.5</f>
        <v>1.3400127964397415E-5</v>
      </c>
      <c r="AA8">
        <f>Z8*144</f>
        <v>1.9296184268732279E-3</v>
      </c>
      <c r="AB8" s="97"/>
      <c r="AF8" s="95">
        <f t="shared" si="5"/>
        <v>1.5</v>
      </c>
      <c r="AG8" s="95">
        <f t="shared" si="6"/>
        <v>54</v>
      </c>
      <c r="AH8" s="96">
        <f t="shared" si="7"/>
        <v>28276.719974572956</v>
      </c>
      <c r="AI8" s="96">
        <f t="shared" si="10"/>
        <v>61.364409667042004</v>
      </c>
      <c r="AJ8" s="96">
        <f t="shared" si="8"/>
        <v>40.619539772456378</v>
      </c>
      <c r="AK8" s="96">
        <f t="shared" si="9"/>
        <v>61.365418290119948</v>
      </c>
      <c r="AM8">
        <f t="shared" si="31"/>
        <v>18717.4839271479</v>
      </c>
      <c r="AN8" s="127">
        <f t="shared" si="11"/>
        <v>8.0150286593492603E-2</v>
      </c>
      <c r="AO8" s="127">
        <f>AN8/AH8*5252</f>
        <v>1.488677985167834E-2</v>
      </c>
      <c r="AP8">
        <f t="shared" si="22"/>
        <v>1.0529354087082843E-6</v>
      </c>
      <c r="AQ8" s="95">
        <f t="shared" si="24"/>
        <v>4.2737664274397333E-2</v>
      </c>
      <c r="AR8" s="127">
        <f t="shared" si="12"/>
        <v>2.0653285932688642E-2</v>
      </c>
      <c r="AS8" s="127">
        <f t="shared" si="13"/>
        <v>5.7951730126052873E-3</v>
      </c>
      <c r="AT8">
        <f t="shared" si="25"/>
        <v>6.1922564327141741E-7</v>
      </c>
      <c r="AU8" s="95">
        <f t="shared" ref="AU8:AU13" si="32">$W$34/AT8</f>
        <v>7.2671409023472425E-2</v>
      </c>
      <c r="AV8" s="128">
        <f t="shared" si="23"/>
        <v>1.0526315789473683E-4</v>
      </c>
      <c r="AW8">
        <f t="shared" si="19"/>
        <v>69.057733567578751</v>
      </c>
    </row>
    <row r="9" spans="1:49" ht="13.95" customHeight="1" x14ac:dyDescent="0.3">
      <c r="B9" s="113">
        <f>C9/180+1</f>
        <v>1.3555555555555556</v>
      </c>
      <c r="C9" s="73">
        <v>64</v>
      </c>
      <c r="D9" s="73">
        <v>1.49</v>
      </c>
      <c r="E9" s="73">
        <v>13.54</v>
      </c>
      <c r="F9" s="73">
        <v>4.6100000000000003</v>
      </c>
      <c r="G9" s="73">
        <v>2020</v>
      </c>
      <c r="H9" s="73">
        <v>2850</v>
      </c>
      <c r="I9" s="78">
        <v>8.8000000000000007</v>
      </c>
      <c r="J9" s="2">
        <f>E9*F9</f>
        <v>62.419400000000003</v>
      </c>
      <c r="K9" s="1">
        <f>C9</f>
        <v>64</v>
      </c>
      <c r="L9" s="1">
        <f>LN(K9)</f>
        <v>4.1588830833596715</v>
      </c>
      <c r="M9" s="3">
        <f>1/G9/0.000001</f>
        <v>495.04950495049508</v>
      </c>
      <c r="N9" s="3">
        <f>1/H9/0.000001</f>
        <v>350.87719298245611</v>
      </c>
      <c r="O9" s="3">
        <f t="shared" si="15"/>
        <v>29702.970297029704</v>
      </c>
      <c r="P9" s="3">
        <f t="shared" si="16"/>
        <v>21052.631578947367</v>
      </c>
      <c r="Q9" s="3">
        <f t="shared" si="2"/>
        <v>64.459570957095707</v>
      </c>
      <c r="R9" s="3">
        <f t="shared" si="3"/>
        <v>45.687134502923968</v>
      </c>
      <c r="S9" s="3">
        <f t="shared" si="4"/>
        <v>64</v>
      </c>
      <c r="T9" s="4">
        <f t="shared" si="0"/>
        <v>62.419400000000003</v>
      </c>
      <c r="U9">
        <f>T9*0.001341022</f>
        <v>8.3705788626800004E-2</v>
      </c>
      <c r="V9" s="127">
        <f t="shared" si="17"/>
        <v>1.4800634329554439E-2</v>
      </c>
      <c r="W9">
        <f t="shared" si="18"/>
        <v>-2.4914401121416636E-7</v>
      </c>
      <c r="X9">
        <v>0.18</v>
      </c>
      <c r="Y9">
        <f>-X9*W9</f>
        <v>4.484592201854994E-8</v>
      </c>
      <c r="Z9">
        <f>Y9/6.66*2048.5</f>
        <v>1.3793824512762695E-5</v>
      </c>
      <c r="AA9">
        <f>Z9*144</f>
        <v>1.986310729837828E-3</v>
      </c>
      <c r="AB9" s="97"/>
      <c r="AF9" s="95"/>
      <c r="AG9" s="134">
        <v>70.201599999999999</v>
      </c>
      <c r="AH9" s="135">
        <f t="shared" si="7"/>
        <v>31999.995048805355</v>
      </c>
      <c r="AI9" s="135">
        <f t="shared" si="10"/>
        <v>69.444433699664401</v>
      </c>
      <c r="AJ9" s="135">
        <f t="shared" si="8"/>
        <v>48.891437402681838</v>
      </c>
      <c r="AK9" s="135">
        <f t="shared" si="9"/>
        <v>69.374708336993905</v>
      </c>
      <c r="AL9" s="136"/>
      <c r="AM9" s="136">
        <f t="shared" si="31"/>
        <v>22529.174355155788</v>
      </c>
      <c r="AN9" s="137">
        <f t="shared" si="11"/>
        <v>0.11227974297099894</v>
      </c>
      <c r="AO9" s="137">
        <f t="shared" ref="AO9:AO14" si="33">AN9/AH9*5252</f>
        <v>1.8427915666371371E-2</v>
      </c>
      <c r="AP9" s="136">
        <f t="shared" si="22"/>
        <v>1.1517449073517487E-6</v>
      </c>
      <c r="AQ9" s="134">
        <f t="shared" si="24"/>
        <v>3.9071151704477884E-2</v>
      </c>
      <c r="AR9" s="137">
        <f t="shared" si="12"/>
        <v>4.0410093517432376E-2</v>
      </c>
      <c r="AS9" s="137">
        <f t="shared" si="13"/>
        <v>9.4203989816868394E-3</v>
      </c>
      <c r="AT9" s="136">
        <f t="shared" si="25"/>
        <v>8.3628444018242383E-7</v>
      </c>
      <c r="AU9" s="134">
        <f t="shared" si="32"/>
        <v>5.3809443100703722E-2</v>
      </c>
      <c r="AV9" s="138">
        <f t="shared" si="23"/>
        <v>1.0526315789473683E-4</v>
      </c>
      <c r="AW9" s="136">
        <f t="shared" si="19"/>
        <v>63.133192475440495</v>
      </c>
    </row>
    <row r="10" spans="1:49" ht="13.95" customHeight="1" x14ac:dyDescent="0.3">
      <c r="B10" s="113">
        <f t="shared" si="20"/>
        <v>1.4944444444444445</v>
      </c>
      <c r="C10" s="73">
        <v>89</v>
      </c>
      <c r="D10" s="73">
        <v>1.81</v>
      </c>
      <c r="E10" s="73">
        <v>13.45</v>
      </c>
      <c r="F10" s="73">
        <v>6.61</v>
      </c>
      <c r="G10" s="73">
        <v>1770</v>
      </c>
      <c r="H10" s="73">
        <v>2400</v>
      </c>
      <c r="I10" s="78">
        <v>10.8</v>
      </c>
      <c r="J10" s="2">
        <f t="shared" si="26"/>
        <v>88.904499999999999</v>
      </c>
      <c r="K10" s="1">
        <f t="shared" si="1"/>
        <v>89</v>
      </c>
      <c r="L10" s="1">
        <f t="shared" si="21"/>
        <v>4.4886363697321396</v>
      </c>
      <c r="M10" s="3">
        <f t="shared" si="14"/>
        <v>564.9717514124294</v>
      </c>
      <c r="N10" s="3">
        <f t="shared" si="14"/>
        <v>416.66666666666669</v>
      </c>
      <c r="O10" s="3">
        <f t="shared" si="15"/>
        <v>33898.305084745763</v>
      </c>
      <c r="P10" s="3">
        <f t="shared" si="16"/>
        <v>25000</v>
      </c>
      <c r="Q10" s="3">
        <f t="shared" si="2"/>
        <v>73.56403013182674</v>
      </c>
      <c r="R10" s="3">
        <f t="shared" si="3"/>
        <v>54.253472222222221</v>
      </c>
      <c r="S10" s="3">
        <f t="shared" si="4"/>
        <v>89</v>
      </c>
      <c r="T10" s="4">
        <f t="shared" si="0"/>
        <v>88.904499999999999</v>
      </c>
      <c r="U10">
        <f t="shared" si="27"/>
        <v>0.11922289039900001</v>
      </c>
      <c r="V10" s="127">
        <f t="shared" si="17"/>
        <v>1.8471679301078667E-2</v>
      </c>
      <c r="W10">
        <f t="shared" si="18"/>
        <v>-2.7245726969091031E-7</v>
      </c>
      <c r="X10">
        <v>0.18</v>
      </c>
      <c r="Y10">
        <f t="shared" si="28"/>
        <v>4.9042308544363851E-8</v>
      </c>
      <c r="Z10">
        <f t="shared" si="29"/>
        <v>1.508455991788729E-5</v>
      </c>
      <c r="AA10">
        <f t="shared" si="30"/>
        <v>2.1721766281757697E-3</v>
      </c>
      <c r="AB10" s="97"/>
      <c r="AF10" s="95">
        <f>C10/$AD$32*$AD$27</f>
        <v>2.4722222222222223</v>
      </c>
      <c r="AG10" s="95">
        <f t="shared" si="6"/>
        <v>89</v>
      </c>
      <c r="AH10" s="96">
        <f t="shared" si="7"/>
        <v>35366.791670025093</v>
      </c>
      <c r="AI10" s="96">
        <f t="shared" si="10"/>
        <v>76.75084997835306</v>
      </c>
      <c r="AJ10" s="96">
        <f t="shared" si="8"/>
        <v>56.37135667731674</v>
      </c>
      <c r="AK10" s="96">
        <f t="shared" si="9"/>
        <v>76.617162931553622</v>
      </c>
      <c r="AM10">
        <f t="shared" si="31"/>
        <v>25975.921156907556</v>
      </c>
      <c r="AN10" s="127">
        <f t="shared" si="11"/>
        <v>0.14565577213038161</v>
      </c>
      <c r="AO10" s="127">
        <f t="shared" si="33"/>
        <v>2.1630011632554215E-2</v>
      </c>
      <c r="AP10">
        <f t="shared" si="22"/>
        <v>1.2231820083859401E-6</v>
      </c>
      <c r="AQ10" s="95">
        <f t="shared" si="24"/>
        <v>3.6789291938147554E-2</v>
      </c>
      <c r="AR10" s="127">
        <f t="shared" si="12"/>
        <v>6.2805810923551059E-2</v>
      </c>
      <c r="AS10" s="127">
        <f t="shared" si="13"/>
        <v>1.2698534037657191E-2</v>
      </c>
      <c r="AT10">
        <f t="shared" si="25"/>
        <v>9.7771578231637638E-7</v>
      </c>
      <c r="AU10" s="95">
        <f t="shared" si="32"/>
        <v>4.6025645503427672E-2</v>
      </c>
      <c r="AV10" s="128">
        <f t="shared" si="23"/>
        <v>1.0526315789473683E-4</v>
      </c>
      <c r="AW10">
        <f t="shared" si="19"/>
        <v>59.446045167387481</v>
      </c>
    </row>
    <row r="11" spans="1:49" ht="13.95" customHeight="1" x14ac:dyDescent="0.3">
      <c r="B11" s="113">
        <f>C11/180+1</f>
        <v>1.6944444444444444</v>
      </c>
      <c r="C11" s="73">
        <v>125</v>
      </c>
      <c r="D11" s="73">
        <v>2.16</v>
      </c>
      <c r="E11" s="73">
        <v>13.2</v>
      </c>
      <c r="F11" s="73">
        <v>10.3</v>
      </c>
      <c r="G11" s="73">
        <v>1520</v>
      </c>
      <c r="H11" s="73">
        <v>2000</v>
      </c>
      <c r="I11" s="78">
        <v>14</v>
      </c>
      <c r="J11" s="2">
        <f>E11*F11</f>
        <v>135.96</v>
      </c>
      <c r="K11" s="1">
        <f>C11</f>
        <v>125</v>
      </c>
      <c r="L11" s="1">
        <f>LN(K11)</f>
        <v>4.8283137373023015</v>
      </c>
      <c r="M11" s="3">
        <f>1/G11/0.000001</f>
        <v>657.89473684210532</v>
      </c>
      <c r="N11" s="3">
        <f>1/H11/0.000001</f>
        <v>500.00000000000006</v>
      </c>
      <c r="O11" s="3">
        <f>M11*60/$W$27</f>
        <v>39473.68421052632</v>
      </c>
      <c r="P11" s="3">
        <f>N11*60/$W$27</f>
        <v>30000.000000000004</v>
      </c>
      <c r="Q11" s="3">
        <f t="shared" si="2"/>
        <v>85.663377192982466</v>
      </c>
      <c r="R11" s="3">
        <f t="shared" si="3"/>
        <v>65.104166666666671</v>
      </c>
      <c r="S11" s="3">
        <f>K11</f>
        <v>125</v>
      </c>
      <c r="T11" s="4">
        <f>J11</f>
        <v>135.96</v>
      </c>
      <c r="U11">
        <f>T11*0.001341022</f>
        <v>0.18232535112000003</v>
      </c>
      <c r="V11" s="127">
        <f>U11/O11*5252</f>
        <v>2.4258509516750081E-2</v>
      </c>
      <c r="W11">
        <f>-V11/2/O11</f>
        <v>-3.072744538788343E-7</v>
      </c>
      <c r="X11">
        <v>0.14000000000000001</v>
      </c>
      <c r="Y11">
        <f>-X11*W11</f>
        <v>4.3018423543036807E-8</v>
      </c>
      <c r="Z11">
        <f>Y11/6.66*2048.5</f>
        <v>1.3231717811998633E-5</v>
      </c>
      <c r="AA11">
        <f>Z11*144</f>
        <v>1.9053673649278033E-3</v>
      </c>
      <c r="AB11" s="97"/>
      <c r="AF11" s="95">
        <f>C11/$AD$32*$AD$27</f>
        <v>3.4722222222222223</v>
      </c>
      <c r="AG11" s="95">
        <f t="shared" si="6"/>
        <v>125</v>
      </c>
      <c r="AH11" s="96">
        <f t="shared" si="7"/>
        <v>40186.817071139434</v>
      </c>
      <c r="AI11" s="96">
        <f>MAX(($AD$35+$AE$35*LN(AG11))/$AD$31,0)</f>
        <v>87.210974546743557</v>
      </c>
      <c r="AJ11" s="96">
        <f t="shared" si="8"/>
        <v>67.079874285654896</v>
      </c>
      <c r="AK11" s="96">
        <f t="shared" si="9"/>
        <v>86.985717685403912</v>
      </c>
      <c r="AM11">
        <f t="shared" si="31"/>
        <v>30910.406070829777</v>
      </c>
      <c r="AN11" s="127">
        <f t="shared" si="11"/>
        <v>0.20058398668919561</v>
      </c>
      <c r="AO11" s="127">
        <f t="shared" si="33"/>
        <v>2.621424573702338E-2</v>
      </c>
      <c r="AP11">
        <f t="shared" si="22"/>
        <v>1.3046191585971313E-6</v>
      </c>
      <c r="AQ11" s="95">
        <f t="shared" si="24"/>
        <v>3.4492824747713272E-2</v>
      </c>
      <c r="AR11" s="127">
        <f t="shared" si="12"/>
        <v>0.10235763443239904</v>
      </c>
      <c r="AS11" s="127">
        <f t="shared" si="13"/>
        <v>1.7391628398770127E-2</v>
      </c>
      <c r="AT11">
        <f t="shared" si="25"/>
        <v>1.1252927806200935E-6</v>
      </c>
      <c r="AU11" s="95">
        <f t="shared" si="32"/>
        <v>3.9989592730882637E-2</v>
      </c>
      <c r="AV11" s="128">
        <f t="shared" si="23"/>
        <v>1.0526315789473683E-4</v>
      </c>
      <c r="AW11">
        <f t="shared" si="19"/>
        <v>55.735294426179998</v>
      </c>
    </row>
    <row r="12" spans="1:49" ht="13.95" customHeight="1" x14ac:dyDescent="0.3">
      <c r="B12" s="113">
        <f t="shared" si="20"/>
        <v>1.8611111111111112</v>
      </c>
      <c r="C12" s="73">
        <v>155</v>
      </c>
      <c r="D12" s="73">
        <v>2.5299999999999998</v>
      </c>
      <c r="E12" s="73">
        <v>12.85</v>
      </c>
      <c r="F12" s="73">
        <v>15</v>
      </c>
      <c r="G12" s="73">
        <v>1364</v>
      </c>
      <c r="H12" s="73">
        <v>1740</v>
      </c>
      <c r="I12" s="78">
        <v>15.8</v>
      </c>
      <c r="J12" s="2">
        <f t="shared" si="26"/>
        <v>192.75</v>
      </c>
      <c r="K12" s="1">
        <f t="shared" si="1"/>
        <v>155</v>
      </c>
      <c r="L12" s="1">
        <f t="shared" si="21"/>
        <v>5.0434251169192468</v>
      </c>
      <c r="M12" s="3">
        <f t="shared" si="14"/>
        <v>733.13782991202345</v>
      </c>
      <c r="N12" s="3">
        <f t="shared" si="14"/>
        <v>574.71264367816093</v>
      </c>
      <c r="O12" s="3">
        <f t="shared" si="15"/>
        <v>43988.269794721404</v>
      </c>
      <c r="P12" s="3">
        <f t="shared" si="16"/>
        <v>34482.758620689652</v>
      </c>
      <c r="Q12" s="3">
        <f t="shared" si="2"/>
        <v>95.460654936461381</v>
      </c>
      <c r="R12" s="3">
        <f t="shared" si="3"/>
        <v>74.83237547892719</v>
      </c>
      <c r="S12" s="3">
        <f t="shared" si="4"/>
        <v>155</v>
      </c>
      <c r="T12" s="4">
        <f t="shared" si="0"/>
        <v>192.75</v>
      </c>
      <c r="U12">
        <f t="shared" si="27"/>
        <v>0.25848199050000004</v>
      </c>
      <c r="V12" s="127">
        <f t="shared" si="17"/>
        <v>3.0861577880676404E-2</v>
      </c>
      <c r="W12">
        <f t="shared" si="18"/>
        <v>-3.5079326857702185E-7</v>
      </c>
      <c r="X12">
        <v>0.14000000000000001</v>
      </c>
      <c r="Y12">
        <f t="shared" si="28"/>
        <v>4.9111057600783063E-8</v>
      </c>
      <c r="Z12">
        <f t="shared" si="29"/>
        <v>1.5105705930210826E-5</v>
      </c>
      <c r="AA12">
        <f t="shared" si="30"/>
        <v>2.1752216539503589E-3</v>
      </c>
      <c r="AB12" s="97"/>
      <c r="AF12" s="95">
        <f>C12/$AD$32*$AD$27</f>
        <v>4.3055555555555554</v>
      </c>
      <c r="AG12" s="95">
        <f t="shared" si="6"/>
        <v>155</v>
      </c>
      <c r="AH12" s="96">
        <f t="shared" si="7"/>
        <v>43239.249799405501</v>
      </c>
      <c r="AI12" s="96">
        <f t="shared" si="10"/>
        <v>93.835177516070971</v>
      </c>
      <c r="AJ12" s="96">
        <f t="shared" si="8"/>
        <v>73.861379962232448</v>
      </c>
      <c r="AK12" s="96">
        <f t="shared" si="9"/>
        <v>93.551931188792182</v>
      </c>
      <c r="AM12">
        <f t="shared" si="31"/>
        <v>34035.323886596707</v>
      </c>
      <c r="AN12" s="127">
        <f t="shared" si="11"/>
        <v>0.23972060902426137</v>
      </c>
      <c r="AO12" s="127">
        <f t="shared" si="33"/>
        <v>2.911735620844955E-2</v>
      </c>
      <c r="AP12">
        <f t="shared" si="22"/>
        <v>1.3468020996446561E-6</v>
      </c>
      <c r="AQ12" s="95">
        <f t="shared" si="24"/>
        <v>3.3412481322885462E-2</v>
      </c>
      <c r="AR12" s="127">
        <f t="shared" si="12"/>
        <v>0.13196579932248606</v>
      </c>
      <c r="AS12" s="127">
        <f t="shared" si="13"/>
        <v>2.0363678052572821E-2</v>
      </c>
      <c r="AT12">
        <f t="shared" si="25"/>
        <v>1.1966202008491623E-6</v>
      </c>
      <c r="AU12" s="95">
        <f t="shared" si="32"/>
        <v>3.7605917038728308E-2</v>
      </c>
      <c r="AV12" s="128">
        <f t="shared" si="23"/>
        <v>1.0526315789473683E-4</v>
      </c>
      <c r="AW12">
        <f t="shared" si="19"/>
        <v>53.989619512496461</v>
      </c>
    </row>
    <row r="13" spans="1:49" ht="13.95" customHeight="1" x14ac:dyDescent="0.3">
      <c r="B13" s="113">
        <f t="shared" si="20"/>
        <v>1.9166666666666665</v>
      </c>
      <c r="C13" s="73">
        <v>165</v>
      </c>
      <c r="D13" s="73">
        <v>2.63</v>
      </c>
      <c r="E13" s="73">
        <v>12.75</v>
      </c>
      <c r="F13" s="73">
        <v>16.399999999999999</v>
      </c>
      <c r="G13" s="73">
        <v>1316</v>
      </c>
      <c r="H13" s="73">
        <v>1680</v>
      </c>
      <c r="I13" s="78">
        <v>17.2</v>
      </c>
      <c r="J13" s="2">
        <f t="shared" si="26"/>
        <v>209.1</v>
      </c>
      <c r="K13" s="1">
        <f t="shared" si="1"/>
        <v>165</v>
      </c>
      <c r="L13" s="1">
        <f t="shared" si="21"/>
        <v>5.1059454739005803</v>
      </c>
      <c r="M13" s="3">
        <f t="shared" si="14"/>
        <v>759.87841945288756</v>
      </c>
      <c r="N13" s="3">
        <f t="shared" si="14"/>
        <v>595.2380952380953</v>
      </c>
      <c r="O13" s="3">
        <f t="shared" si="15"/>
        <v>45592.705167173255</v>
      </c>
      <c r="P13" s="3">
        <f t="shared" si="16"/>
        <v>35714.285714285717</v>
      </c>
      <c r="Q13" s="3">
        <f t="shared" si="2"/>
        <v>98.942502532928074</v>
      </c>
      <c r="R13" s="3">
        <f t="shared" si="3"/>
        <v>77.504960317460331</v>
      </c>
      <c r="S13" s="3">
        <f t="shared" si="4"/>
        <v>165</v>
      </c>
      <c r="T13" s="4">
        <f t="shared" si="0"/>
        <v>209.1</v>
      </c>
      <c r="U13">
        <f t="shared" si="27"/>
        <v>0.2804077002</v>
      </c>
      <c r="V13" s="127">
        <f t="shared" si="17"/>
        <v>3.2301247229145437E-2</v>
      </c>
      <c r="W13">
        <f t="shared" si="18"/>
        <v>-3.5423701127962827E-7</v>
      </c>
      <c r="AB13" s="97"/>
      <c r="AF13" s="95">
        <f>C13/$AD$32*$AD$27</f>
        <v>4.583333333333333</v>
      </c>
      <c r="AG13" s="95">
        <f t="shared" si="6"/>
        <v>165</v>
      </c>
      <c r="AH13" s="96">
        <f t="shared" si="7"/>
        <v>44126.414319351083</v>
      </c>
      <c r="AI13" s="96">
        <f t="shared" si="10"/>
        <v>95.760447741647312</v>
      </c>
      <c r="AJ13" s="96">
        <f t="shared" si="8"/>
        <v>75.832368928625399</v>
      </c>
      <c r="AK13" s="96">
        <f t="shared" si="9"/>
        <v>95.460347252035845</v>
      </c>
      <c r="AM13">
        <f t="shared" si="31"/>
        <v>34943.555602310582</v>
      </c>
      <c r="AN13" s="127">
        <f t="shared" si="11"/>
        <v>0.2517282669713366</v>
      </c>
      <c r="AO13" s="127">
        <f t="shared" si="33"/>
        <v>2.996112143999155E-2</v>
      </c>
      <c r="AP13">
        <f t="shared" si="22"/>
        <v>1.3579676437408819E-6</v>
      </c>
      <c r="AQ13" s="95">
        <f t="shared" si="24"/>
        <v>3.3137755680272003E-2</v>
      </c>
      <c r="AR13" s="127">
        <f t="shared" si="12"/>
        <v>0.14123450569139354</v>
      </c>
      <c r="AS13" s="127">
        <f t="shared" si="13"/>
        <v>2.1227479891661367E-2</v>
      </c>
      <c r="AT13">
        <f t="shared" si="25"/>
        <v>1.2149582105066456E-6</v>
      </c>
      <c r="AU13" s="95">
        <f t="shared" si="32"/>
        <v>3.7038310956584011E-2</v>
      </c>
      <c r="AV13" s="128">
        <f t="shared" si="23"/>
        <v>1.0526315789473683E-4</v>
      </c>
      <c r="AW13">
        <f t="shared" si="19"/>
        <v>53.545703576661204</v>
      </c>
    </row>
    <row r="14" spans="1:49" ht="13.95" customHeight="1" thickBot="1" x14ac:dyDescent="0.35">
      <c r="B14" s="116">
        <f t="shared" si="20"/>
        <v>2</v>
      </c>
      <c r="C14" s="117">
        <v>180</v>
      </c>
      <c r="D14" s="117"/>
      <c r="E14" s="117"/>
      <c r="F14" s="117"/>
      <c r="G14" s="117"/>
      <c r="H14" s="117"/>
      <c r="I14" s="118"/>
      <c r="K14" s="1">
        <f t="shared" si="1"/>
        <v>180</v>
      </c>
      <c r="L14" s="1">
        <f t="shared" si="21"/>
        <v>5.1929568508902104</v>
      </c>
      <c r="O14" s="3">
        <f>AI14*$AD$31</f>
        <v>45361.106669554021</v>
      </c>
      <c r="P14" s="3">
        <f>N14*60/$W$27</f>
        <v>0</v>
      </c>
      <c r="Q14" s="3">
        <f t="shared" si="2"/>
        <v>98.439901626636328</v>
      </c>
      <c r="R14" s="3">
        <f t="shared" si="3"/>
        <v>0</v>
      </c>
      <c r="S14" s="1">
        <f t="shared" si="4"/>
        <v>180</v>
      </c>
      <c r="T14" s="4">
        <f t="shared" si="0"/>
        <v>0</v>
      </c>
      <c r="U14">
        <f>T14*0.001341022</f>
        <v>0</v>
      </c>
      <c r="AB14" s="97"/>
      <c r="AF14" s="95">
        <f>C14/$AD$32*$AD$27</f>
        <v>5</v>
      </c>
      <c r="AG14" s="95">
        <f t="shared" si="6"/>
        <v>180</v>
      </c>
      <c r="AH14" s="96">
        <f t="shared" si="7"/>
        <v>45361.106669554021</v>
      </c>
      <c r="AI14" s="96">
        <f t="shared" si="10"/>
        <v>98.439901626636328</v>
      </c>
      <c r="AJ14" s="96">
        <f t="shared" si="8"/>
        <v>78.575450898685531</v>
      </c>
      <c r="AK14" s="96">
        <f t="shared" si="9"/>
        <v>98.116344715094769</v>
      </c>
      <c r="AM14">
        <f t="shared" si="31"/>
        <v>36207.567774114286</v>
      </c>
      <c r="AN14" s="127">
        <f t="shared" si="11"/>
        <v>0.26891409453189768</v>
      </c>
      <c r="AO14" s="127">
        <f t="shared" si="33"/>
        <v>3.1135413753683283E-2</v>
      </c>
      <c r="AP14">
        <f t="shared" si="22"/>
        <v>1.3727801651973849E-6</v>
      </c>
      <c r="AR14" s="127">
        <f t="shared" si="12"/>
        <v>0.15463125520306809</v>
      </c>
      <c r="AS14" s="127">
        <f t="shared" si="13"/>
        <v>2.2429657727717388E-2</v>
      </c>
      <c r="AT14">
        <f t="shared" si="25"/>
        <v>1.2389486014441944E-6</v>
      </c>
      <c r="AV14" s="128">
        <f t="shared" si="23"/>
        <v>1.0526315789473683E-4</v>
      </c>
      <c r="AW14">
        <f t="shared" si="19"/>
        <v>52.967936718397489</v>
      </c>
    </row>
    <row r="15" spans="1:49" ht="13.95" customHeight="1" x14ac:dyDescent="0.3"/>
    <row r="16" spans="1:49" ht="13.95" customHeight="1" x14ac:dyDescent="0.3">
      <c r="B16" s="120">
        <f t="shared" si="20"/>
        <v>1.05</v>
      </c>
      <c r="C16" s="73">
        <v>9</v>
      </c>
      <c r="D16" s="119"/>
      <c r="E16" s="73">
        <v>13.8</v>
      </c>
      <c r="F16" s="73">
        <v>0.42399999999999999</v>
      </c>
      <c r="G16" s="73">
        <v>6160</v>
      </c>
      <c r="H16" s="119"/>
      <c r="I16" s="119"/>
      <c r="J16" s="2">
        <f>E16*F16</f>
        <v>5.8512000000000004</v>
      </c>
      <c r="K16" s="1">
        <f>C16</f>
        <v>9</v>
      </c>
      <c r="L16" s="1">
        <f>LN(K16)</f>
        <v>2.1972245773362196</v>
      </c>
      <c r="M16" s="3">
        <f>1/G16/0.000001</f>
        <v>162.33766233766235</v>
      </c>
      <c r="N16" s="3"/>
      <c r="O16" s="3">
        <f>M16*60/$W$27</f>
        <v>9740.2597402597403</v>
      </c>
      <c r="P16" s="3"/>
      <c r="Q16" s="3">
        <f t="shared" ref="Q16:Q24" si="34">O16/$W$40*100</f>
        <v>21.137716450216452</v>
      </c>
      <c r="R16" s="3"/>
      <c r="S16" s="3">
        <f>K16</f>
        <v>9</v>
      </c>
      <c r="T16" s="4">
        <f>J16</f>
        <v>5.8512000000000004</v>
      </c>
      <c r="U16">
        <f>T16*0.001341022</f>
        <v>7.8465879264000005E-3</v>
      </c>
      <c r="V16">
        <f>U16/O16*5252</f>
        <v>4.230922058383821E-3</v>
      </c>
      <c r="W16">
        <f>-V16/2/O16</f>
        <v>-2.1718733233036949E-7</v>
      </c>
      <c r="X16">
        <v>0.18</v>
      </c>
      <c r="Y16">
        <f>-X16*W16</f>
        <v>3.9093719819466504E-8</v>
      </c>
      <c r="Z16">
        <f>Y16/6.66*2048.5</f>
        <v>1.2024547304831401E-5</v>
      </c>
      <c r="AA16">
        <f>Z16*144</f>
        <v>1.7315348118957217E-3</v>
      </c>
    </row>
    <row r="17" spans="1:32" ht="13.95" customHeight="1" x14ac:dyDescent="0.3">
      <c r="B17" s="120">
        <f t="shared" si="20"/>
        <v>1.0722222222222222</v>
      </c>
      <c r="C17" s="73">
        <v>13</v>
      </c>
      <c r="D17" s="119"/>
      <c r="E17" s="73">
        <v>13.8</v>
      </c>
      <c r="F17" s="73">
        <v>0.56499999999999995</v>
      </c>
      <c r="G17" s="73">
        <v>5080</v>
      </c>
      <c r="H17" s="119"/>
      <c r="I17" s="119"/>
      <c r="J17" s="2">
        <f t="shared" ref="J17:J24" si="35">E17*F17</f>
        <v>7.7969999999999997</v>
      </c>
      <c r="K17" s="1">
        <f t="shared" ref="K17:K24" si="36">C17</f>
        <v>13</v>
      </c>
      <c r="L17" s="1">
        <f t="shared" ref="L17:L24" si="37">LN(K17)</f>
        <v>2.5649493574615367</v>
      </c>
      <c r="M17" s="3">
        <f t="shared" ref="M17:M24" si="38">1/G17/0.000001</f>
        <v>196.85039370078741</v>
      </c>
      <c r="N17" s="3"/>
      <c r="O17" s="3">
        <f t="shared" ref="O17:O24" si="39">M17*60/$W$27</f>
        <v>11811.023622047245</v>
      </c>
      <c r="P17" s="3"/>
      <c r="Q17" s="3">
        <f t="shared" si="34"/>
        <v>25.631561679790028</v>
      </c>
      <c r="R17" s="3"/>
      <c r="S17" s="3">
        <f t="shared" ref="S17:S24" si="40">K17</f>
        <v>13</v>
      </c>
      <c r="T17" s="4">
        <f t="shared" ref="T17:T24" si="41">J17</f>
        <v>7.7969999999999997</v>
      </c>
      <c r="U17">
        <f t="shared" ref="U17:U24" si="42">T17*0.001341022</f>
        <v>1.0455948534E-2</v>
      </c>
      <c r="V17">
        <f t="shared" ref="V17:V24" si="43">U17/O17*5252</f>
        <v>4.6494396639814237E-3</v>
      </c>
      <c r="W17">
        <f t="shared" ref="W17:W24" si="44">-V17/2/O17</f>
        <v>-1.9682627910854693E-7</v>
      </c>
      <c r="X17">
        <v>0.18</v>
      </c>
      <c r="Y17">
        <f t="shared" ref="Y17:Y24" si="45">-X17*W17</f>
        <v>3.5428730239538448E-8</v>
      </c>
      <c r="Z17">
        <f t="shared" ref="Z17:Z24" si="46">Y17/6.66*2048.5</f>
        <v>1.0897260344698876E-5</v>
      </c>
      <c r="AA17">
        <f t="shared" ref="AA17:AA24" si="47">Z17*144</f>
        <v>1.569205489636638E-3</v>
      </c>
    </row>
    <row r="18" spans="1:32" ht="13.95" customHeight="1" x14ac:dyDescent="0.3">
      <c r="B18" s="120">
        <f t="shared" si="20"/>
        <v>1.1444444444444444</v>
      </c>
      <c r="C18" s="73">
        <v>26</v>
      </c>
      <c r="D18" s="119"/>
      <c r="E18" s="73">
        <v>13.75</v>
      </c>
      <c r="F18" s="73">
        <v>1.32</v>
      </c>
      <c r="G18" s="73">
        <v>3180</v>
      </c>
      <c r="H18" s="119"/>
      <c r="I18" s="119"/>
      <c r="J18" s="2">
        <f t="shared" si="35"/>
        <v>18.150000000000002</v>
      </c>
      <c r="K18" s="1">
        <f t="shared" si="36"/>
        <v>26</v>
      </c>
      <c r="L18" s="1">
        <f t="shared" si="37"/>
        <v>3.2580965380214821</v>
      </c>
      <c r="M18" s="3">
        <f t="shared" si="38"/>
        <v>314.46540880503147</v>
      </c>
      <c r="N18" s="3"/>
      <c r="O18" s="3">
        <f t="shared" si="39"/>
        <v>18867.92452830189</v>
      </c>
      <c r="P18" s="3"/>
      <c r="Q18" s="3">
        <f t="shared" si="34"/>
        <v>40.946016771488473</v>
      </c>
      <c r="R18" s="3"/>
      <c r="S18" s="3">
        <f t="shared" si="40"/>
        <v>26</v>
      </c>
      <c r="T18" s="4">
        <f t="shared" si="41"/>
        <v>18.150000000000002</v>
      </c>
      <c r="U18">
        <f t="shared" si="42"/>
        <v>2.4339549300000006E-2</v>
      </c>
      <c r="V18">
        <f t="shared" si="43"/>
        <v>6.7750595849508004E-3</v>
      </c>
      <c r="W18">
        <f t="shared" si="44"/>
        <v>-1.7953907900119617E-7</v>
      </c>
      <c r="X18">
        <v>0.18</v>
      </c>
      <c r="Y18">
        <f t="shared" si="45"/>
        <v>3.2317034220215307E-8</v>
      </c>
      <c r="Z18">
        <f t="shared" si="46"/>
        <v>9.9401568468635218E-6</v>
      </c>
      <c r="AA18">
        <f t="shared" si="47"/>
        <v>1.4313825859483471E-3</v>
      </c>
    </row>
    <row r="19" spans="1:32" ht="13.95" customHeight="1" x14ac:dyDescent="0.3">
      <c r="B19" s="120">
        <f t="shared" si="20"/>
        <v>1.2</v>
      </c>
      <c r="C19" s="73">
        <v>36</v>
      </c>
      <c r="D19" s="119"/>
      <c r="E19" s="73">
        <v>13.71</v>
      </c>
      <c r="F19" s="73">
        <v>2.08</v>
      </c>
      <c r="G19" s="73">
        <v>2650</v>
      </c>
      <c r="H19" s="119"/>
      <c r="I19" s="119"/>
      <c r="J19" s="2">
        <f t="shared" si="35"/>
        <v>28.516800000000003</v>
      </c>
      <c r="K19" s="1">
        <f t="shared" si="36"/>
        <v>36</v>
      </c>
      <c r="L19" s="1">
        <f t="shared" si="37"/>
        <v>3.5835189384561099</v>
      </c>
      <c r="M19" s="3">
        <f t="shared" si="38"/>
        <v>377.35849056603774</v>
      </c>
      <c r="N19" s="3"/>
      <c r="O19" s="3">
        <f t="shared" si="39"/>
        <v>22641.509433962266</v>
      </c>
      <c r="P19" s="3"/>
      <c r="Q19" s="3">
        <f t="shared" si="34"/>
        <v>49.135220125786169</v>
      </c>
      <c r="R19" s="3"/>
      <c r="S19" s="3">
        <f t="shared" si="40"/>
        <v>36</v>
      </c>
      <c r="T19" s="4">
        <f t="shared" si="41"/>
        <v>28.516800000000003</v>
      </c>
      <c r="U19">
        <f t="shared" si="42"/>
        <v>3.8241656169600007E-2</v>
      </c>
      <c r="V19">
        <f t="shared" si="43"/>
        <v>8.8706620372876483E-3</v>
      </c>
      <c r="W19">
        <f t="shared" si="44"/>
        <v>-1.9589378665676887E-7</v>
      </c>
      <c r="X19">
        <v>0.18</v>
      </c>
      <c r="Y19">
        <f t="shared" si="45"/>
        <v>3.5260881598218394E-8</v>
      </c>
      <c r="Z19">
        <f t="shared" si="46"/>
        <v>1.0845633026118675E-5</v>
      </c>
      <c r="AA19">
        <f t="shared" si="47"/>
        <v>1.5617711557610891E-3</v>
      </c>
    </row>
    <row r="20" spans="1:32" ht="13.95" customHeight="1" x14ac:dyDescent="0.3">
      <c r="B20" s="120">
        <f t="shared" si="20"/>
        <v>1.3111111111111111</v>
      </c>
      <c r="C20" s="73">
        <v>56</v>
      </c>
      <c r="D20" s="119"/>
      <c r="E20" s="73">
        <v>13.6</v>
      </c>
      <c r="F20" s="73">
        <v>3.8</v>
      </c>
      <c r="G20" s="73">
        <v>2070</v>
      </c>
      <c r="H20" s="119"/>
      <c r="I20" s="119"/>
      <c r="J20" s="2">
        <f t="shared" si="35"/>
        <v>51.68</v>
      </c>
      <c r="K20" s="1">
        <f t="shared" si="36"/>
        <v>56</v>
      </c>
      <c r="L20" s="1">
        <f t="shared" si="37"/>
        <v>4.0253516907351496</v>
      </c>
      <c r="M20" s="3">
        <f t="shared" si="38"/>
        <v>483.09178743961354</v>
      </c>
      <c r="N20" s="3"/>
      <c r="O20" s="3">
        <f t="shared" si="39"/>
        <v>28985.507246376812</v>
      </c>
      <c r="P20" s="3"/>
      <c r="Q20" s="3">
        <f t="shared" si="34"/>
        <v>62.902576489533011</v>
      </c>
      <c r="R20" s="3"/>
      <c r="S20" s="3">
        <f t="shared" si="40"/>
        <v>56</v>
      </c>
      <c r="T20" s="4">
        <f t="shared" si="41"/>
        <v>51.68</v>
      </c>
      <c r="U20">
        <f t="shared" si="42"/>
        <v>6.9304016960000006E-2</v>
      </c>
      <c r="V20">
        <f t="shared" si="43"/>
        <v>1.255747204905024E-2</v>
      </c>
      <c r="W20">
        <f t="shared" si="44"/>
        <v>-2.1661639284611662E-7</v>
      </c>
      <c r="X20">
        <v>0.18</v>
      </c>
      <c r="Y20">
        <f t="shared" si="45"/>
        <v>3.8990950712300994E-8</v>
      </c>
      <c r="Z20">
        <f t="shared" si="46"/>
        <v>1.1992937317439727E-5</v>
      </c>
      <c r="AA20">
        <f t="shared" si="47"/>
        <v>1.7269829737113207E-3</v>
      </c>
    </row>
    <row r="21" spans="1:32" ht="13.95" customHeight="1" x14ac:dyDescent="0.3">
      <c r="B21" s="120">
        <f t="shared" si="20"/>
        <v>1.3555555555555556</v>
      </c>
      <c r="C21" s="73">
        <v>64</v>
      </c>
      <c r="D21" s="119"/>
      <c r="E21" s="73">
        <v>13.55</v>
      </c>
      <c r="F21" s="73">
        <v>4.38</v>
      </c>
      <c r="G21" s="73">
        <v>2000</v>
      </c>
      <c r="H21" s="119"/>
      <c r="I21" s="119"/>
      <c r="J21" s="2">
        <f t="shared" si="35"/>
        <v>59.349000000000004</v>
      </c>
      <c r="K21" s="1">
        <f t="shared" si="36"/>
        <v>64</v>
      </c>
      <c r="L21" s="1">
        <f t="shared" si="37"/>
        <v>4.1588830833596715</v>
      </c>
      <c r="M21" s="3">
        <f t="shared" si="38"/>
        <v>500.00000000000006</v>
      </c>
      <c r="N21" s="3"/>
      <c r="O21" s="3">
        <f t="shared" si="39"/>
        <v>30000.000000000004</v>
      </c>
      <c r="P21" s="3"/>
      <c r="Q21" s="3">
        <f t="shared" si="34"/>
        <v>65.104166666666671</v>
      </c>
      <c r="R21" s="3"/>
      <c r="S21" s="3">
        <f t="shared" si="40"/>
        <v>64</v>
      </c>
      <c r="T21" s="4">
        <f t="shared" si="41"/>
        <v>59.349000000000004</v>
      </c>
      <c r="U21">
        <f t="shared" si="42"/>
        <v>7.9588314678000011E-2</v>
      </c>
      <c r="V21">
        <f t="shared" si="43"/>
        <v>1.39332609562952E-2</v>
      </c>
      <c r="W21">
        <f t="shared" si="44"/>
        <v>-2.3222101593825331E-7</v>
      </c>
      <c r="X21">
        <v>0.18</v>
      </c>
      <c r="Y21">
        <f t="shared" si="45"/>
        <v>4.1799782868885597E-8</v>
      </c>
      <c r="Z21">
        <f t="shared" si="46"/>
        <v>1.2856885166203024E-5</v>
      </c>
      <c r="AA21">
        <f t="shared" si="47"/>
        <v>1.8513914639332356E-3</v>
      </c>
    </row>
    <row r="22" spans="1:32" ht="13.95" customHeight="1" x14ac:dyDescent="0.3">
      <c r="B22" s="120">
        <f t="shared" si="20"/>
        <v>1.4944444444444445</v>
      </c>
      <c r="C22" s="73">
        <v>89</v>
      </c>
      <c r="D22" s="119"/>
      <c r="E22" s="73">
        <v>13.42</v>
      </c>
      <c r="F22" s="73">
        <v>6.3</v>
      </c>
      <c r="G22" s="73">
        <v>1760</v>
      </c>
      <c r="H22" s="119"/>
      <c r="I22" s="119"/>
      <c r="J22" s="2">
        <f t="shared" si="35"/>
        <v>84.545999999999992</v>
      </c>
      <c r="K22" s="1">
        <f t="shared" si="36"/>
        <v>89</v>
      </c>
      <c r="L22" s="1">
        <f t="shared" si="37"/>
        <v>4.4886363697321396</v>
      </c>
      <c r="M22" s="3">
        <f t="shared" si="38"/>
        <v>568.18181818181813</v>
      </c>
      <c r="N22" s="3"/>
      <c r="O22" s="3">
        <f t="shared" si="39"/>
        <v>34090.909090909088</v>
      </c>
      <c r="P22" s="3"/>
      <c r="Q22" s="3">
        <f t="shared" si="34"/>
        <v>73.982007575757564</v>
      </c>
      <c r="R22" s="3"/>
      <c r="S22" s="3">
        <f t="shared" si="40"/>
        <v>89</v>
      </c>
      <c r="T22" s="4">
        <f t="shared" si="41"/>
        <v>84.545999999999992</v>
      </c>
      <c r="U22">
        <f t="shared" si="42"/>
        <v>0.11337804601199999</v>
      </c>
      <c r="V22">
        <f t="shared" si="43"/>
        <v>1.7466870597880702E-2</v>
      </c>
      <c r="W22">
        <f t="shared" si="44"/>
        <v>-2.5618076876891696E-7</v>
      </c>
      <c r="X22">
        <v>0.18</v>
      </c>
      <c r="Y22">
        <f t="shared" si="45"/>
        <v>4.611253837840505E-8</v>
      </c>
      <c r="Z22">
        <f t="shared" si="46"/>
        <v>1.4183413643868279E-5</v>
      </c>
      <c r="AA22">
        <f t="shared" si="47"/>
        <v>2.0424115647170323E-3</v>
      </c>
    </row>
    <row r="23" spans="1:32" ht="13.95" customHeight="1" x14ac:dyDescent="0.3">
      <c r="B23" s="120">
        <f t="shared" si="20"/>
        <v>1.7944444444444443</v>
      </c>
      <c r="C23" s="73">
        <v>143</v>
      </c>
      <c r="D23" s="119"/>
      <c r="E23" s="73">
        <v>13.1</v>
      </c>
      <c r="F23" s="73">
        <v>11.7</v>
      </c>
      <c r="G23" s="73">
        <v>1430</v>
      </c>
      <c r="H23" s="119"/>
      <c r="I23" s="119"/>
      <c r="J23" s="2">
        <f t="shared" si="35"/>
        <v>153.26999999999998</v>
      </c>
      <c r="K23" s="1">
        <f t="shared" si="36"/>
        <v>143</v>
      </c>
      <c r="L23" s="1">
        <f t="shared" si="37"/>
        <v>4.962844630259907</v>
      </c>
      <c r="M23" s="3">
        <f t="shared" si="38"/>
        <v>699.30069930069931</v>
      </c>
      <c r="N23" s="3"/>
      <c r="O23" s="3">
        <f t="shared" si="39"/>
        <v>41958.041958041955</v>
      </c>
      <c r="P23" s="3"/>
      <c r="Q23" s="3">
        <f t="shared" si="34"/>
        <v>91.054778554778551</v>
      </c>
      <c r="R23" s="3"/>
      <c r="S23" s="3">
        <f t="shared" si="40"/>
        <v>143</v>
      </c>
      <c r="T23" s="4">
        <f t="shared" si="41"/>
        <v>153.26999999999998</v>
      </c>
      <c r="U23">
        <f t="shared" si="42"/>
        <v>0.20553844193999998</v>
      </c>
      <c r="V23">
        <f t="shared" si="43"/>
        <v>2.5727794880141638E-2</v>
      </c>
      <c r="W23">
        <f t="shared" si="44"/>
        <v>-3.0658955565502124E-7</v>
      </c>
      <c r="X23">
        <v>0.18</v>
      </c>
      <c r="Y23">
        <f t="shared" si="45"/>
        <v>5.5186120017903822E-8</v>
      </c>
      <c r="Z23">
        <f t="shared" si="46"/>
        <v>1.6974289317819214E-5</v>
      </c>
      <c r="AA23">
        <f t="shared" si="47"/>
        <v>2.4442976617659669E-3</v>
      </c>
      <c r="AB23" s="97"/>
      <c r="AC23" s="97"/>
      <c r="AD23" s="97"/>
      <c r="AE23" s="97"/>
      <c r="AF23" s="97"/>
    </row>
    <row r="24" spans="1:32" ht="13.95" customHeight="1" x14ac:dyDescent="0.3">
      <c r="B24" s="120">
        <f t="shared" si="20"/>
        <v>1.9166666666666665</v>
      </c>
      <c r="C24" s="73">
        <v>165</v>
      </c>
      <c r="D24" s="119"/>
      <c r="E24" s="73">
        <v>12.72</v>
      </c>
      <c r="F24" s="73">
        <v>16.86</v>
      </c>
      <c r="G24" s="73">
        <v>1280</v>
      </c>
      <c r="H24" s="119"/>
      <c r="I24" s="119"/>
      <c r="J24" s="2">
        <f t="shared" si="35"/>
        <v>214.45920000000001</v>
      </c>
      <c r="K24" s="1">
        <f t="shared" si="36"/>
        <v>165</v>
      </c>
      <c r="L24" s="1">
        <f t="shared" si="37"/>
        <v>5.1059454739005803</v>
      </c>
      <c r="M24" s="3">
        <f t="shared" si="38"/>
        <v>781.25000000000011</v>
      </c>
      <c r="N24" s="3"/>
      <c r="O24" s="3">
        <f t="shared" si="39"/>
        <v>46875.000000000007</v>
      </c>
      <c r="P24" s="3"/>
      <c r="Q24" s="3">
        <f t="shared" si="34"/>
        <v>101.72526041666667</v>
      </c>
      <c r="R24" s="3"/>
      <c r="S24" s="3">
        <f t="shared" si="40"/>
        <v>165</v>
      </c>
      <c r="T24" s="4">
        <f t="shared" si="41"/>
        <v>214.45920000000001</v>
      </c>
      <c r="U24">
        <f t="shared" si="42"/>
        <v>0.28759450530240005</v>
      </c>
      <c r="V24">
        <f t="shared" si="43"/>
        <v>3.2222855292761705E-2</v>
      </c>
      <c r="W24">
        <f t="shared" si="44"/>
        <v>-3.4371045645612482E-7</v>
      </c>
      <c r="X24">
        <v>0.18</v>
      </c>
      <c r="Y24">
        <f t="shared" si="45"/>
        <v>6.1867882162102469E-8</v>
      </c>
      <c r="Z24">
        <f t="shared" si="46"/>
        <v>1.9029482974334368E-5</v>
      </c>
      <c r="AA24">
        <f t="shared" si="47"/>
        <v>2.7402455483041491E-3</v>
      </c>
    </row>
    <row r="25" spans="1:32" ht="13.95" customHeight="1" x14ac:dyDescent="0.3">
      <c r="B25" s="5"/>
      <c r="C25" s="6"/>
      <c r="D25" s="6"/>
      <c r="E25" s="6"/>
      <c r="F25" s="6"/>
      <c r="G25" s="6"/>
      <c r="H25" s="6"/>
      <c r="I25" s="6"/>
      <c r="J25" s="2"/>
      <c r="M25" s="3"/>
      <c r="N25" s="3"/>
      <c r="O25" s="3"/>
      <c r="P25" s="3"/>
      <c r="Q25" s="3"/>
      <c r="R25" s="3"/>
      <c r="S25" s="3"/>
      <c r="T25" s="4"/>
    </row>
    <row r="26" spans="1:32" ht="13.95" customHeight="1" thickBot="1" x14ac:dyDescent="0.35">
      <c r="B26" s="5"/>
      <c r="C26" s="6"/>
      <c r="D26" s="6"/>
      <c r="E26" s="6"/>
      <c r="F26" s="6"/>
      <c r="G26" s="6"/>
      <c r="H26" s="6"/>
      <c r="I26" s="6"/>
      <c r="J26" s="2"/>
      <c r="M26" s="3"/>
      <c r="N26" s="3"/>
      <c r="O26" s="3"/>
      <c r="P26" s="3"/>
      <c r="Q26" s="3"/>
      <c r="R26" s="3"/>
      <c r="S26" s="3"/>
      <c r="T26" s="3"/>
      <c r="V26" t="s">
        <v>32</v>
      </c>
      <c r="Y26" t="s">
        <v>33</v>
      </c>
      <c r="AB26" s="30"/>
      <c r="AC26" s="5" t="s">
        <v>56</v>
      </c>
      <c r="AD26" s="5"/>
      <c r="AE26" s="5"/>
      <c r="AF26" s="5"/>
    </row>
    <row r="27" spans="1:32" ht="13.95" customHeight="1" x14ac:dyDescent="0.3">
      <c r="A27" s="3" t="s">
        <v>28</v>
      </c>
      <c r="B27" s="11" t="s">
        <v>29</v>
      </c>
      <c r="C27" s="12"/>
      <c r="D27" s="12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3"/>
      <c r="V27" s="17" t="s">
        <v>3</v>
      </c>
      <c r="W27" s="18">
        <v>1</v>
      </c>
      <c r="Y27" s="17"/>
      <c r="Z27" s="23" t="s">
        <v>22</v>
      </c>
      <c r="AA27" s="7"/>
      <c r="AB27" s="30"/>
      <c r="AC27" s="62" t="s">
        <v>15</v>
      </c>
      <c r="AD27" s="63">
        <f>W45</f>
        <v>5</v>
      </c>
      <c r="AE27" s="64"/>
      <c r="AF27" s="29"/>
    </row>
    <row r="28" spans="1:32" x14ac:dyDescent="0.3">
      <c r="A28" s="3"/>
      <c r="B28" s="13" t="s">
        <v>30</v>
      </c>
      <c r="C28" s="14"/>
      <c r="D28" s="14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V28" s="19" t="s">
        <v>4</v>
      </c>
      <c r="W28" s="20">
        <v>4800</v>
      </c>
      <c r="X28" t="s">
        <v>77</v>
      </c>
      <c r="Y28" s="24" t="s">
        <v>16</v>
      </c>
      <c r="Z28" s="25">
        <v>0</v>
      </c>
      <c r="AB28" s="30"/>
      <c r="AC28" s="65" t="s">
        <v>14</v>
      </c>
      <c r="AD28" s="66">
        <f>W44</f>
        <v>0</v>
      </c>
      <c r="AE28" s="45"/>
      <c r="AF28" s="31"/>
    </row>
    <row r="29" spans="1:32" ht="13.95" customHeight="1" thickBot="1" x14ac:dyDescent="0.35">
      <c r="A29" s="3"/>
      <c r="B29" s="15" t="s">
        <v>31</v>
      </c>
      <c r="C29" s="16"/>
      <c r="D29" s="16"/>
      <c r="E29" s="6"/>
      <c r="F29" s="6"/>
      <c r="G29" s="6"/>
      <c r="H29" s="6"/>
      <c r="I29" s="6"/>
      <c r="J29" s="2"/>
      <c r="M29" s="3"/>
      <c r="N29" s="3"/>
      <c r="O29" s="3"/>
      <c r="P29" s="2"/>
      <c r="Q29" s="3"/>
      <c r="R29" s="3"/>
      <c r="S29" s="3"/>
      <c r="T29" s="3"/>
      <c r="V29" s="19" t="s">
        <v>5</v>
      </c>
      <c r="W29" s="20">
        <v>12</v>
      </c>
      <c r="Y29" s="26" t="s">
        <v>17</v>
      </c>
      <c r="Z29" s="27">
        <v>5</v>
      </c>
      <c r="AB29" s="30"/>
      <c r="AC29" s="65" t="s">
        <v>17</v>
      </c>
      <c r="AD29" s="66">
        <f>Z29</f>
        <v>5</v>
      </c>
      <c r="AE29" s="30"/>
      <c r="AF29" s="31"/>
    </row>
    <row r="30" spans="1:32" ht="13.95" customHeight="1" x14ac:dyDescent="0.3">
      <c r="B30" s="5"/>
      <c r="C30" s="6"/>
      <c r="D30" s="6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V30" s="57" t="s">
        <v>69</v>
      </c>
      <c r="W30" s="20">
        <v>3.9899999999999998E-2</v>
      </c>
      <c r="X30" t="s">
        <v>76</v>
      </c>
      <c r="AB30" s="30"/>
      <c r="AC30" s="65" t="s">
        <v>16</v>
      </c>
      <c r="AD30" s="66">
        <f>Z28</f>
        <v>0</v>
      </c>
      <c r="AE30" s="30"/>
      <c r="AF30" s="31"/>
    </row>
    <row r="31" spans="1:32" ht="23.4" x14ac:dyDescent="0.45">
      <c r="B31" s="5"/>
      <c r="C31" s="6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3"/>
      <c r="V31" s="57" t="s">
        <v>70</v>
      </c>
      <c r="W31" s="129">
        <v>4.1999999999999996E-6</v>
      </c>
      <c r="X31" t="s">
        <v>75</v>
      </c>
      <c r="AB31" s="94" t="s">
        <v>54</v>
      </c>
      <c r="AC31" s="65" t="s">
        <v>27</v>
      </c>
      <c r="AD31" s="66">
        <f>W40/100</f>
        <v>460.8</v>
      </c>
      <c r="AE31" s="30"/>
      <c r="AF31" s="31"/>
    </row>
    <row r="32" spans="1:32" x14ac:dyDescent="0.3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V32" s="57" t="s">
        <v>71</v>
      </c>
      <c r="W32" s="130">
        <f>W28*2*PI()/60</f>
        <v>502.6548245743669</v>
      </c>
      <c r="X32" t="s">
        <v>73</v>
      </c>
      <c r="AC32" s="65" t="s">
        <v>18</v>
      </c>
      <c r="AD32" s="66">
        <f>Y45</f>
        <v>180</v>
      </c>
      <c r="AE32" s="30"/>
      <c r="AF32" s="31"/>
    </row>
    <row r="33" spans="2:48" x14ac:dyDescent="0.3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V33" s="57" t="s">
        <v>72</v>
      </c>
      <c r="W33" s="132">
        <f>7/W32</f>
        <v>1.3926057520540842E-2</v>
      </c>
      <c r="X33" t="s">
        <v>74</v>
      </c>
      <c r="AC33" s="65" t="s">
        <v>13</v>
      </c>
      <c r="AD33" s="66">
        <f>Y44</f>
        <v>0</v>
      </c>
      <c r="AE33" s="30"/>
      <c r="AF33" s="31"/>
    </row>
    <row r="34" spans="2:48" ht="15" thickBot="1" x14ac:dyDescent="0.35"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V34" s="131" t="s">
        <v>79</v>
      </c>
      <c r="W34" s="133">
        <v>4.4999999999999999E-8</v>
      </c>
      <c r="X34" t="s">
        <v>80</v>
      </c>
      <c r="Z34" t="s">
        <v>112</v>
      </c>
      <c r="AC34" s="65" t="s">
        <v>121</v>
      </c>
      <c r="AD34" s="66">
        <f>W53</f>
        <v>0</v>
      </c>
      <c r="AE34" s="67">
        <f>W52</f>
        <v>14097.688046345114</v>
      </c>
      <c r="AF34" s="68">
        <f>W51</f>
        <v>-170.6101401015417</v>
      </c>
    </row>
    <row r="35" spans="2:48" x14ac:dyDescent="0.3">
      <c r="AC35" s="65" t="s">
        <v>21</v>
      </c>
      <c r="AD35" s="66">
        <f>W55</f>
        <v>-28327.005397586898</v>
      </c>
      <c r="AE35" s="67">
        <f>W54</f>
        <v>14190.01046667831</v>
      </c>
      <c r="AF35" s="31"/>
    </row>
    <row r="36" spans="2:48" ht="15" thickBot="1" x14ac:dyDescent="0.35">
      <c r="V36" t="s">
        <v>35</v>
      </c>
      <c r="AC36" s="65" t="s">
        <v>122</v>
      </c>
      <c r="AD36" s="66">
        <f>Z54</f>
        <v>-10230.71375195049</v>
      </c>
      <c r="AE36" s="69">
        <f>Z53</f>
        <v>1.0237466617461022</v>
      </c>
      <c r="AF36" s="31"/>
    </row>
    <row r="37" spans="2:48" ht="15" thickBot="1" x14ac:dyDescent="0.35">
      <c r="C37" s="6"/>
      <c r="D37" s="6"/>
      <c r="E37" s="6"/>
      <c r="F37" s="6"/>
      <c r="G37" s="6"/>
      <c r="H37" s="6"/>
      <c r="I37" s="6"/>
      <c r="J37" s="9"/>
      <c r="K37" s="6"/>
      <c r="L37" s="6"/>
      <c r="M37" s="10"/>
      <c r="N37" s="10"/>
      <c r="O37" s="10"/>
      <c r="P37" s="10"/>
      <c r="Q37" s="10"/>
      <c r="R37" s="10"/>
      <c r="S37" s="10"/>
      <c r="T37" s="10"/>
      <c r="V37" s="34">
        <v>240</v>
      </c>
      <c r="W37" s="35" t="s">
        <v>34</v>
      </c>
      <c r="X37" s="36"/>
      <c r="Y37" s="35"/>
      <c r="Z37" s="35"/>
      <c r="AA37" s="37"/>
      <c r="AC37" s="65" t="s">
        <v>123</v>
      </c>
      <c r="AD37" s="66">
        <f>Z52</f>
        <v>10153.923989583083</v>
      </c>
      <c r="AE37" s="69">
        <f>Z51</f>
        <v>0.96825304239840437</v>
      </c>
      <c r="AF37" s="31"/>
    </row>
    <row r="38" spans="2:48" x14ac:dyDescent="0.3">
      <c r="C38" s="6"/>
      <c r="D38" s="6"/>
      <c r="E38" s="6"/>
      <c r="F38" s="6"/>
      <c r="G38" s="6"/>
      <c r="H38" s="6"/>
      <c r="I38" s="6"/>
      <c r="J38" s="9"/>
      <c r="K38" s="6"/>
      <c r="L38" s="6"/>
      <c r="M38" s="10"/>
      <c r="N38" s="10"/>
      <c r="O38" s="10"/>
      <c r="P38" s="10"/>
      <c r="Q38" s="10"/>
      <c r="R38" s="10"/>
      <c r="S38" s="10"/>
      <c r="T38" s="10"/>
      <c r="V38" s="8"/>
      <c r="X38" s="8"/>
      <c r="Y38" s="8"/>
      <c r="AC38" s="65" t="s">
        <v>68</v>
      </c>
      <c r="AD38" s="124">
        <f>W61</f>
        <v>0</v>
      </c>
      <c r="AE38" s="124">
        <f>W60</f>
        <v>1.7497144954938875E-7</v>
      </c>
      <c r="AF38" s="139">
        <f>W59</f>
        <v>1.1535982759687281E-11</v>
      </c>
    </row>
    <row r="39" spans="2:48" ht="15" thickBot="1" x14ac:dyDescent="0.35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V39" t="s">
        <v>36</v>
      </c>
      <c r="AC39" s="70" t="s">
        <v>86</v>
      </c>
      <c r="AD39" s="125">
        <f>Z61</f>
        <v>0</v>
      </c>
      <c r="AE39" s="125">
        <f>Z60</f>
        <v>-2.2861135714873372E-6</v>
      </c>
      <c r="AF39" s="126">
        <f>Z59</f>
        <v>1.8108928058840401E-10</v>
      </c>
    </row>
    <row r="40" spans="2:48" ht="15" thickBot="1" x14ac:dyDescent="0.35">
      <c r="B40" t="s">
        <v>55</v>
      </c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V40" s="38" t="s">
        <v>6</v>
      </c>
      <c r="W40" s="39">
        <f>W28*W29/X40</f>
        <v>46080</v>
      </c>
      <c r="X40" s="40">
        <v>1.25</v>
      </c>
      <c r="Y40" s="35" t="s">
        <v>9</v>
      </c>
      <c r="Z40" s="41"/>
      <c r="AA40">
        <f>V37</f>
        <v>240</v>
      </c>
    </row>
    <row r="41" spans="2:48" x14ac:dyDescent="0.3">
      <c r="B41" t="s">
        <v>51</v>
      </c>
      <c r="C41" s="6" t="s">
        <v>52</v>
      </c>
      <c r="D41" s="6" t="s">
        <v>53</v>
      </c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</row>
    <row r="42" spans="2:48" ht="15" thickBot="1" x14ac:dyDescent="0.35">
      <c r="B42" s="73">
        <v>87</v>
      </c>
      <c r="C42" s="6">
        <f>B42/180*(2.4-0.53)+0.53</f>
        <v>1.4338333333333333</v>
      </c>
      <c r="D42" s="88">
        <f>(C42-1)*180</f>
        <v>78.089999999999989</v>
      </c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V42" t="s">
        <v>37</v>
      </c>
    </row>
    <row r="43" spans="2:48" ht="28.8" x14ac:dyDescent="0.3">
      <c r="B43" s="73">
        <v>90</v>
      </c>
      <c r="C43" s="6">
        <f t="shared" ref="C43:C48" si="48">B43/180*(2.4-0.53)+0.53</f>
        <v>1.4649999999999999</v>
      </c>
      <c r="D43" s="88">
        <f t="shared" ref="D43:D48" si="49">(C43-1)*180</f>
        <v>83.699999999999974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V43" s="17"/>
      <c r="W43" s="42" t="s">
        <v>19</v>
      </c>
      <c r="X43" s="28"/>
      <c r="Y43" s="42" t="s">
        <v>20</v>
      </c>
      <c r="Z43" s="29" t="s">
        <v>109</v>
      </c>
    </row>
    <row r="44" spans="2:48" x14ac:dyDescent="0.3">
      <c r="B44" s="73">
        <v>100</v>
      </c>
      <c r="C44" s="6">
        <f t="shared" si="48"/>
        <v>1.568888888888889</v>
      </c>
      <c r="D44" s="88">
        <f t="shared" si="49"/>
        <v>102.40000000000002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V44" s="57" t="s">
        <v>14</v>
      </c>
      <c r="W44" s="58">
        <v>0</v>
      </c>
      <c r="X44" s="45" t="s">
        <v>13</v>
      </c>
      <c r="Y44" s="59">
        <v>0</v>
      </c>
      <c r="Z44" s="89">
        <f>Z54/W40*100</f>
        <v>-22.202069774198112</v>
      </c>
      <c r="AA44" t="s">
        <v>106</v>
      </c>
    </row>
    <row r="45" spans="2:48" x14ac:dyDescent="0.3">
      <c r="B45" s="73">
        <v>110</v>
      </c>
      <c r="C45" s="6">
        <f t="shared" si="48"/>
        <v>1.6727777777777779</v>
      </c>
      <c r="D45" s="88">
        <f t="shared" si="49"/>
        <v>121.10000000000002</v>
      </c>
      <c r="E45" s="6"/>
      <c r="F45" s="6"/>
      <c r="G45" s="6"/>
      <c r="H45" s="6"/>
      <c r="I45" s="6"/>
      <c r="J45" s="2"/>
      <c r="M45" s="3"/>
      <c r="N45" s="3"/>
      <c r="O45" s="3"/>
      <c r="P45" s="3"/>
      <c r="Q45" s="3"/>
      <c r="R45" s="3"/>
      <c r="S45" s="3"/>
      <c r="T45" s="3"/>
      <c r="V45" s="57" t="s">
        <v>15</v>
      </c>
      <c r="W45" s="58">
        <v>5</v>
      </c>
      <c r="X45" s="45" t="s">
        <v>18</v>
      </c>
      <c r="Y45" s="59">
        <v>180</v>
      </c>
      <c r="Z45" s="60">
        <v>77</v>
      </c>
    </row>
    <row r="46" spans="2:48" x14ac:dyDescent="0.3">
      <c r="B46" s="73">
        <v>114</v>
      </c>
      <c r="C46" s="6">
        <f t="shared" si="48"/>
        <v>1.7143333333333333</v>
      </c>
      <c r="D46" s="88">
        <f t="shared" si="49"/>
        <v>128.57999999999998</v>
      </c>
      <c r="V46" s="19"/>
      <c r="W46" s="30" t="s">
        <v>40</v>
      </c>
      <c r="X46" s="30"/>
      <c r="Y46" s="61"/>
      <c r="Z46" s="89">
        <f>(Z45-Z44)/(W45-W44)</f>
        <v>19.840413954839622</v>
      </c>
      <c r="AG46" s="104"/>
      <c r="AH46" s="104"/>
      <c r="AQ46" s="3"/>
      <c r="AR46" s="3"/>
      <c r="AU46" s="3"/>
      <c r="AV46" s="3"/>
    </row>
    <row r="47" spans="2:48" x14ac:dyDescent="0.3">
      <c r="B47" s="73">
        <v>127.5</v>
      </c>
      <c r="C47" s="6">
        <f t="shared" si="48"/>
        <v>1.8545833333333333</v>
      </c>
      <c r="D47" s="88">
        <f t="shared" si="49"/>
        <v>153.82499999999999</v>
      </c>
      <c r="V47" s="19"/>
      <c r="W47" s="30"/>
      <c r="X47" s="30"/>
      <c r="Y47" s="61"/>
      <c r="Z47" s="89">
        <f>Z45-Z46*(W45-W44)</f>
        <v>-22.202069774198108</v>
      </c>
    </row>
    <row r="48" spans="2:48" ht="15" thickBot="1" x14ac:dyDescent="0.35">
      <c r="B48" s="80">
        <v>136.4</v>
      </c>
      <c r="C48" s="6">
        <f t="shared" si="48"/>
        <v>1.9470444444444444</v>
      </c>
      <c r="D48" s="88">
        <f t="shared" si="49"/>
        <v>170.46799999999999</v>
      </c>
      <c r="V48" s="21"/>
      <c r="W48" s="32"/>
      <c r="X48" s="32"/>
      <c r="Y48" s="47"/>
      <c r="Z48" s="48" t="s">
        <v>124</v>
      </c>
    </row>
    <row r="50" spans="22:27" ht="15" thickBot="1" x14ac:dyDescent="0.35">
      <c r="V50" t="s">
        <v>38</v>
      </c>
    </row>
    <row r="51" spans="22:27" x14ac:dyDescent="0.3">
      <c r="V51" s="49" t="s">
        <v>121</v>
      </c>
      <c r="W51" s="50">
        <f>INDEX(LINEST($P$4:$P$13,$D$4:$D$13^{1,2},FALSE,FALSE),1)</f>
        <v>-170.6101401015417</v>
      </c>
      <c r="X51" s="28"/>
      <c r="Y51" s="51" t="s">
        <v>123</v>
      </c>
      <c r="Z51" s="52">
        <f>INDEX(LINEST($O$4:$O$13,$P$4:$P$13),1)</f>
        <v>0.96825304239840437</v>
      </c>
    </row>
    <row r="52" spans="22:27" x14ac:dyDescent="0.3">
      <c r="V52" s="43"/>
      <c r="W52" s="54">
        <f>INDEX(LINEST($P$4:$P$13,$D$4:$D$13^{1,2},FALSE,FALSE),2)</f>
        <v>14097.688046345114</v>
      </c>
      <c r="X52" s="30"/>
      <c r="Y52" s="44"/>
      <c r="Z52" s="46">
        <f>INDEX(LINEST($O$4:$O$13,$P$4:$P$13),2)</f>
        <v>10153.923989583083</v>
      </c>
    </row>
    <row r="53" spans="22:27" x14ac:dyDescent="0.3">
      <c r="V53" s="43"/>
      <c r="W53" s="54">
        <f>INDEX(LINEST($P$4:$P$13,$D$4:$D$13^{1,2},FALSE,FALSE),3)</f>
        <v>0</v>
      </c>
      <c r="X53" s="30"/>
      <c r="Y53" s="44" t="s">
        <v>122</v>
      </c>
      <c r="Z53" s="46">
        <f>INDEX(LINEST($P$4:$P$13,$O$4:$O$13),1)</f>
        <v>1.0237466617461022</v>
      </c>
    </row>
    <row r="54" spans="22:27" x14ac:dyDescent="0.3">
      <c r="V54" s="43" t="s">
        <v>21</v>
      </c>
      <c r="W54" s="54">
        <f>INDEX(LINEST($O$6:$O$13,$L$6:$L$13),1)</f>
        <v>14190.01046667831</v>
      </c>
      <c r="X54" s="30"/>
      <c r="Y54" s="44"/>
      <c r="Z54" s="46">
        <f>INDEX(LINEST($P$4:$P$13,$O$4:$O$13),2)</f>
        <v>-10230.71375195049</v>
      </c>
      <c r="AA54" t="s">
        <v>60</v>
      </c>
    </row>
    <row r="55" spans="22:27" x14ac:dyDescent="0.3">
      <c r="V55" s="43"/>
      <c r="W55" s="54">
        <f>INDEX(LINEST($O$6:$O$13,$L$6:$L$13),2)</f>
        <v>-28327.005397586898</v>
      </c>
      <c r="X55" s="30"/>
      <c r="Y55" s="30"/>
      <c r="Z55" s="31"/>
    </row>
    <row r="56" spans="22:27" x14ac:dyDescent="0.3">
      <c r="V56" s="19"/>
      <c r="W56" s="30"/>
      <c r="X56" s="30"/>
      <c r="Y56" s="30"/>
      <c r="Z56" s="31"/>
    </row>
    <row r="57" spans="22:27" ht="15" thickBot="1" x14ac:dyDescent="0.35">
      <c r="V57" s="107" t="s">
        <v>62</v>
      </c>
      <c r="W57" s="108">
        <f>EXP((0-$AD$35)/$AE$35)</f>
        <v>7.361501228839896</v>
      </c>
      <c r="X57" s="32"/>
      <c r="Y57" s="32"/>
      <c r="Z57" s="33"/>
      <c r="AA57" t="s">
        <v>65</v>
      </c>
    </row>
    <row r="58" spans="22:27" ht="15" thickBot="1" x14ac:dyDescent="0.35"/>
    <row r="59" spans="22:27" x14ac:dyDescent="0.3">
      <c r="V59" s="49" t="s">
        <v>87</v>
      </c>
      <c r="W59" s="121">
        <f>INDEX(LINEST($V$4:$V$13,$O$4:$O$13^{1,2},FALSE,FALSE),1)</f>
        <v>1.1535982759687281E-11</v>
      </c>
      <c r="Y59" s="49" t="s">
        <v>86</v>
      </c>
      <c r="Z59" s="121">
        <f>INDEX(LINEST($U$4:$U$13,$O$4:$O$13^{1,2},FALSE,FALSE),1)</f>
        <v>1.8108928058840401E-10</v>
      </c>
    </row>
    <row r="60" spans="22:27" x14ac:dyDescent="0.3">
      <c r="V60" s="43"/>
      <c r="W60" s="122">
        <f>INDEX(LINEST($V$4:$V$13,$O$4:$O$13^{1,2},FALSE,FALSE),2)</f>
        <v>1.7497144954938875E-7</v>
      </c>
      <c r="Y60" s="43"/>
      <c r="Z60" s="122">
        <f>INDEX(LINEST($U$4:$U$13,$O$4:$O$13^{1,2},FALSE,FALSE),2)</f>
        <v>-2.2861135714873372E-6</v>
      </c>
    </row>
    <row r="61" spans="22:27" ht="15" thickBot="1" x14ac:dyDescent="0.35">
      <c r="V61" s="55"/>
      <c r="W61" s="123">
        <f>INDEX(LINEST($V$4:$V$13,$O$4:$O$13^{1,2},FALSE,FALSE),3)</f>
        <v>0</v>
      </c>
      <c r="Y61" s="55"/>
      <c r="Z61" s="123">
        <f>INDEX(LINEST($U$4:$U$13,$O$4:$O$13^{1,2},FALSE,FALSE),3)</f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workbookViewId="0">
      <pane ySplit="3" topLeftCell="A43" activePane="bottomLeft" state="frozen"/>
      <selection pane="bottomLeft" activeCell="I2" sqref="I2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5" width="5.6640625" style="1" bestFit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6.6640625" style="1" customWidth="1"/>
    <col min="13" max="13" width="4.6640625" style="1" customWidth="1"/>
    <col min="14" max="14" width="7.33203125" style="1" bestFit="1" customWidth="1"/>
    <col min="15" max="16" width="6.33203125" style="1" customWidth="1"/>
    <col min="17" max="17" width="4.33203125" style="1" customWidth="1"/>
    <col min="18" max="18" width="7.6640625" style="1" customWidth="1"/>
    <col min="19" max="19" width="8" style="1" customWidth="1"/>
    <col min="20" max="20" width="6.33203125" style="1" customWidth="1"/>
    <col min="21" max="21" width="8.109375" style="1" bestFit="1" customWidth="1"/>
    <col min="22" max="23" width="6.109375" customWidth="1"/>
    <col min="24" max="24" width="5.88671875" customWidth="1"/>
    <col min="26" max="26" width="9.88671875" bestFit="1" customWidth="1"/>
    <col min="27" max="27" width="10.6640625" customWidth="1"/>
    <col min="28" max="28" width="6.5546875" bestFit="1" customWidth="1"/>
    <col min="29" max="30" width="9.6640625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2" ht="57.6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100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  <c r="Y1" s="4" t="s">
        <v>45</v>
      </c>
      <c r="Z1" s="4" t="s">
        <v>46</v>
      </c>
      <c r="AA1" s="4" t="s">
        <v>47</v>
      </c>
      <c r="AB1" s="4" t="s">
        <v>48</v>
      </c>
      <c r="AC1" s="4" t="s">
        <v>118</v>
      </c>
      <c r="AD1" s="4" t="s">
        <v>119</v>
      </c>
      <c r="AE1" s="4" t="s">
        <v>120</v>
      </c>
      <c r="AF1" s="4" t="s">
        <v>58</v>
      </c>
    </row>
    <row r="2" spans="1:32" x14ac:dyDescent="0.3">
      <c r="B2" s="98">
        <f>C2/180+1</f>
        <v>1.2611111111111111</v>
      </c>
      <c r="C2" s="99">
        <v>47</v>
      </c>
      <c r="D2" s="99"/>
      <c r="E2" s="99">
        <v>12</v>
      </c>
      <c r="F2" s="99">
        <v>0.43</v>
      </c>
      <c r="G2" s="99">
        <v>4980</v>
      </c>
      <c r="H2" s="101">
        <v>1E+16</v>
      </c>
      <c r="I2" s="100"/>
      <c r="J2" s="2">
        <f>E2*F2</f>
        <v>5.16</v>
      </c>
      <c r="K2" s="1">
        <f>C2</f>
        <v>47</v>
      </c>
      <c r="L2" s="3">
        <f t="shared" ref="L2:M9" si="1">1/G2/0.000001</f>
        <v>200.80321285140565</v>
      </c>
      <c r="M2" s="3">
        <f t="shared" si="1"/>
        <v>1E-10</v>
      </c>
      <c r="N2" s="3">
        <f t="shared" ref="N2:O9" si="2">L2*60/$AA$16</f>
        <v>6024.0963855421696</v>
      </c>
      <c r="O2" s="3">
        <f t="shared" si="2"/>
        <v>3E-9</v>
      </c>
      <c r="P2" s="3">
        <f t="shared" ref="P2:Q9" si="3">N2/$AA$24*100</f>
        <v>27.192101740294518</v>
      </c>
      <c r="Q2" s="3">
        <f t="shared" si="3"/>
        <v>1.3541666666666668E-11</v>
      </c>
      <c r="R2" s="3">
        <f t="shared" ref="R2:R9" si="4">O2*$AD$35+$AD$36</f>
        <v>4180.4182204543986</v>
      </c>
      <c r="S2" s="3">
        <f t="shared" ref="S2:S9" si="5">K2</f>
        <v>47</v>
      </c>
      <c r="T2" s="3">
        <f t="shared" ref="T2:T9" si="6">R2/$AA$24*100</f>
        <v>18.869943356217771</v>
      </c>
      <c r="U2" s="3">
        <f t="shared" ref="U2:U9" si="7">$AA$38*LN(C2)+$AA$39</f>
        <v>464.32038932937508</v>
      </c>
      <c r="V2" s="3">
        <f t="shared" ref="V2:V9" si="8">D2*D2*$AA$35+D2*$AA$36+$AA$37</f>
        <v>0</v>
      </c>
      <c r="W2" s="3">
        <f t="shared" ref="W2:W9" si="9">V2/$AA$24*100</f>
        <v>0</v>
      </c>
      <c r="X2" s="4">
        <f t="shared" si="0"/>
        <v>5.16</v>
      </c>
      <c r="Y2">
        <f>X2*0.001341022</f>
        <v>6.9196735200000008E-3</v>
      </c>
      <c r="Z2">
        <f>Y2/N2*5252</f>
        <v>6.0327928042886395E-3</v>
      </c>
      <c r="AA2">
        <f>-Z2/2/N2</f>
        <v>-5.0072180275595703E-7</v>
      </c>
      <c r="AB2" s="4"/>
      <c r="AC2" s="4"/>
      <c r="AD2" s="4"/>
      <c r="AE2" s="4"/>
      <c r="AF2" s="97">
        <f t="shared" ref="AF2:AF9" si="10">(N2-$AH$29)/$AI$29</f>
        <v>49.951845286752039</v>
      </c>
    </row>
    <row r="3" spans="1:32" ht="15" customHeight="1" x14ac:dyDescent="0.3">
      <c r="B3" s="77">
        <v>1.4338333333333333</v>
      </c>
      <c r="C3" s="73">
        <v>78.089999999999989</v>
      </c>
      <c r="D3" s="73">
        <v>0.5</v>
      </c>
      <c r="E3" s="73">
        <v>12</v>
      </c>
      <c r="F3" s="73">
        <v>0.97</v>
      </c>
      <c r="G3" s="73">
        <v>3840</v>
      </c>
      <c r="H3" s="73">
        <v>9150</v>
      </c>
      <c r="I3" s="78">
        <v>3.2</v>
      </c>
      <c r="J3" s="2">
        <f>E3*F3</f>
        <v>11.64</v>
      </c>
      <c r="K3" s="1">
        <f t="shared" ref="K3:K9" si="11">C3</f>
        <v>78.089999999999989</v>
      </c>
      <c r="L3" s="3">
        <f t="shared" si="1"/>
        <v>260.41666666666669</v>
      </c>
      <c r="M3" s="3">
        <f t="shared" si="1"/>
        <v>109.2896174863388</v>
      </c>
      <c r="N3" s="3">
        <f t="shared" si="2"/>
        <v>7812.5000000000009</v>
      </c>
      <c r="O3" s="3">
        <f t="shared" si="2"/>
        <v>3278.688524590164</v>
      </c>
      <c r="P3" s="3">
        <f t="shared" si="3"/>
        <v>35.26475694444445</v>
      </c>
      <c r="Q3" s="3">
        <f t="shared" si="3"/>
        <v>14.799635701275045</v>
      </c>
      <c r="R3" s="3">
        <f t="shared" si="4"/>
        <v>7656.5024245703744</v>
      </c>
      <c r="S3" s="3">
        <f t="shared" si="5"/>
        <v>78.089999999999989</v>
      </c>
      <c r="T3" s="3">
        <f t="shared" si="6"/>
        <v>34.560601222019052</v>
      </c>
      <c r="U3" s="3">
        <f t="shared" si="7"/>
        <v>525.54976935129287</v>
      </c>
      <c r="V3" s="3">
        <f t="shared" si="8"/>
        <v>3494.6201834301496</v>
      </c>
      <c r="W3" s="3">
        <f t="shared" si="9"/>
        <v>15.774327216872205</v>
      </c>
      <c r="X3" s="4">
        <f t="shared" si="0"/>
        <v>11.64</v>
      </c>
      <c r="Y3">
        <f>X3*0.001341022</f>
        <v>1.5609496080000002E-2</v>
      </c>
      <c r="Z3">
        <f>Y3/N3*5252</f>
        <v>1.0493577396756479E-2</v>
      </c>
      <c r="AA3">
        <f>-Z3/2/N3</f>
        <v>-6.715889533924146E-7</v>
      </c>
      <c r="AF3" s="97">
        <f t="shared" si="10"/>
        <v>64.781299356256554</v>
      </c>
    </row>
    <row r="4" spans="1:32" ht="13.95" customHeight="1" x14ac:dyDescent="0.3">
      <c r="B4" s="77">
        <v>1.4649999999999999</v>
      </c>
      <c r="C4" s="73">
        <v>83.699999999999974</v>
      </c>
      <c r="D4" s="73">
        <v>0.74199999999999999</v>
      </c>
      <c r="E4" s="73">
        <v>12</v>
      </c>
      <c r="F4" s="73">
        <v>1.51</v>
      </c>
      <c r="G4" s="73">
        <v>3180</v>
      </c>
      <c r="H4" s="73">
        <v>6060</v>
      </c>
      <c r="I4" s="78">
        <v>4.5999999999999996</v>
      </c>
      <c r="J4" s="2">
        <f t="shared" ref="J4:J9" si="12">E4*F4</f>
        <v>18.12</v>
      </c>
      <c r="K4" s="1">
        <f t="shared" si="11"/>
        <v>83.699999999999974</v>
      </c>
      <c r="L4" s="3">
        <f t="shared" si="1"/>
        <v>314.46540880503147</v>
      </c>
      <c r="M4" s="3">
        <f t="shared" si="1"/>
        <v>165.01650165016503</v>
      </c>
      <c r="N4" s="3">
        <f t="shared" si="2"/>
        <v>9433.962264150945</v>
      </c>
      <c r="O4" s="3">
        <f t="shared" si="2"/>
        <v>4950.4950495049507</v>
      </c>
      <c r="P4" s="3">
        <f t="shared" si="3"/>
        <v>42.58385744234802</v>
      </c>
      <c r="Q4" s="3">
        <f t="shared" si="3"/>
        <v>22.345984598459847</v>
      </c>
      <c r="R4" s="3">
        <f t="shared" si="4"/>
        <v>9428.9612019182605</v>
      </c>
      <c r="S4" s="3">
        <f t="shared" si="5"/>
        <v>83.699999999999974</v>
      </c>
      <c r="T4" s="3">
        <f t="shared" si="6"/>
        <v>42.561283203103258</v>
      </c>
      <c r="U4" s="3">
        <f t="shared" si="7"/>
        <v>533.91649836277281</v>
      </c>
      <c r="V4" s="3">
        <f t="shared" si="8"/>
        <v>5100.5484588755035</v>
      </c>
      <c r="W4" s="3">
        <f t="shared" si="9"/>
        <v>23.02330901575748</v>
      </c>
      <c r="X4" s="4">
        <f t="shared" si="0"/>
        <v>18.12</v>
      </c>
      <c r="Y4">
        <f t="shared" ref="Y4:Y9" si="13">X4*0.001341022</f>
        <v>2.4299318640000005E-2</v>
      </c>
      <c r="Z4">
        <f t="shared" ref="Z4:Z9" si="14">Y4/N4*5252</f>
        <v>1.3527722278711681E-2</v>
      </c>
      <c r="AA4">
        <f t="shared" ref="AA4:AA9" si="15">-Z4/2/N4</f>
        <v>-7.1696928077171894E-7</v>
      </c>
      <c r="AB4">
        <v>0.18</v>
      </c>
      <c r="AC4">
        <f>-AB4*AA4</f>
        <v>1.2905447053890941E-7</v>
      </c>
      <c r="AD4">
        <f>AC4/6.66*2048.5</f>
        <v>3.9694907342185574E-5</v>
      </c>
      <c r="AE4">
        <f>AD4*144</f>
        <v>5.716066657274723E-3</v>
      </c>
      <c r="AF4" s="97">
        <f t="shared" si="10"/>
        <v>78.22647469434753</v>
      </c>
    </row>
    <row r="5" spans="1:32" ht="13.95" customHeight="1" x14ac:dyDescent="0.3">
      <c r="B5" s="77">
        <v>1.568888888888889</v>
      </c>
      <c r="C5" s="73">
        <v>102.40000000000002</v>
      </c>
      <c r="D5" s="73">
        <v>1.17</v>
      </c>
      <c r="E5" s="73">
        <v>12</v>
      </c>
      <c r="F5" s="73">
        <v>3</v>
      </c>
      <c r="G5" s="73">
        <v>2450</v>
      </c>
      <c r="H5" s="73">
        <v>3840</v>
      </c>
      <c r="I5" s="78">
        <v>7.4</v>
      </c>
      <c r="J5" s="2">
        <f t="shared" si="12"/>
        <v>36</v>
      </c>
      <c r="K5" s="1">
        <f t="shared" si="11"/>
        <v>102.40000000000002</v>
      </c>
      <c r="L5" s="3">
        <f t="shared" si="1"/>
        <v>408.16326530612247</v>
      </c>
      <c r="M5" s="3">
        <f t="shared" si="1"/>
        <v>260.41666666666669</v>
      </c>
      <c r="N5" s="3">
        <f t="shared" si="2"/>
        <v>12244.897959183674</v>
      </c>
      <c r="O5" s="3">
        <f t="shared" si="2"/>
        <v>7812.5000000000009</v>
      </c>
      <c r="P5" s="3">
        <f t="shared" si="3"/>
        <v>55.272108843537424</v>
      </c>
      <c r="Q5" s="3">
        <f t="shared" si="3"/>
        <v>35.26475694444445</v>
      </c>
      <c r="R5" s="3">
        <f t="shared" si="4"/>
        <v>12463.275113078895</v>
      </c>
      <c r="S5" s="3">
        <f t="shared" si="5"/>
        <v>102.40000000000002</v>
      </c>
      <c r="T5" s="3">
        <f t="shared" si="6"/>
        <v>56.257839052092237</v>
      </c>
      <c r="U5" s="3">
        <f t="shared" si="7"/>
        <v>558.23482705024071</v>
      </c>
      <c r="V5" s="3">
        <f t="shared" si="8"/>
        <v>7804.2947828053293</v>
      </c>
      <c r="W5" s="3">
        <f t="shared" si="9"/>
        <v>35.227719505718504</v>
      </c>
      <c r="X5" s="4">
        <f t="shared" si="0"/>
        <v>36</v>
      </c>
      <c r="Y5">
        <f t="shared" si="13"/>
        <v>4.8276792000000006E-2</v>
      </c>
      <c r="Z5">
        <f t="shared" si="14"/>
        <v>2.070655977936E-2</v>
      </c>
      <c r="AA5">
        <f t="shared" si="15"/>
        <v>-8.4551785765719992E-7</v>
      </c>
      <c r="AB5">
        <v>0.18</v>
      </c>
      <c r="AC5">
        <f>-AB5*AA5</f>
        <v>1.5219321437829598E-7</v>
      </c>
      <c r="AD5">
        <f>AC5/6.66*2048.5</f>
        <v>4.6811981930020919E-5</v>
      </c>
      <c r="AE5">
        <f>AD5*144</f>
        <v>6.7409253979230123E-3</v>
      </c>
      <c r="AF5" s="97">
        <f t="shared" si="10"/>
        <v>101.53477123592863</v>
      </c>
    </row>
    <row r="6" spans="1:32" ht="13.95" customHeight="1" x14ac:dyDescent="0.3">
      <c r="B6" s="77">
        <v>1.6727777777777779</v>
      </c>
      <c r="C6" s="73">
        <v>121.10000000000002</v>
      </c>
      <c r="D6" s="73">
        <v>1.52</v>
      </c>
      <c r="E6" s="73">
        <v>12</v>
      </c>
      <c r="F6" s="73">
        <v>4.5999999999999996</v>
      </c>
      <c r="G6" s="73">
        <v>2000</v>
      </c>
      <c r="H6" s="73">
        <v>2980</v>
      </c>
      <c r="I6" s="78">
        <v>9.4</v>
      </c>
      <c r="J6" s="2">
        <f t="shared" si="12"/>
        <v>55.199999999999996</v>
      </c>
      <c r="K6" s="1">
        <f t="shared" si="11"/>
        <v>121.10000000000002</v>
      </c>
      <c r="L6" s="3">
        <f t="shared" si="1"/>
        <v>500.00000000000006</v>
      </c>
      <c r="M6" s="3">
        <f t="shared" si="1"/>
        <v>335.57046979865771</v>
      </c>
      <c r="N6" s="3">
        <f t="shared" si="2"/>
        <v>15000.000000000002</v>
      </c>
      <c r="O6" s="3">
        <f t="shared" si="2"/>
        <v>10067.114093959732</v>
      </c>
      <c r="P6" s="3">
        <f t="shared" si="3"/>
        <v>67.708333333333343</v>
      </c>
      <c r="Q6" s="3">
        <f t="shared" si="3"/>
        <v>45.44183445190157</v>
      </c>
      <c r="R6" s="3">
        <f t="shared" si="4"/>
        <v>14853.629786790238</v>
      </c>
      <c r="S6" s="3">
        <f t="shared" si="5"/>
        <v>121.10000000000002</v>
      </c>
      <c r="T6" s="3">
        <f t="shared" si="6"/>
        <v>67.047634454261498</v>
      </c>
      <c r="U6" s="3">
        <f t="shared" si="7"/>
        <v>578.46273469155688</v>
      </c>
      <c r="V6" s="3">
        <f t="shared" si="8"/>
        <v>9885.6944218814369</v>
      </c>
      <c r="W6" s="3">
        <f t="shared" si="9"/>
        <v>44.622926209881491</v>
      </c>
      <c r="X6" s="4">
        <f t="shared" si="0"/>
        <v>55.199999999999996</v>
      </c>
      <c r="Y6">
        <f t="shared" si="13"/>
        <v>7.4024414400000002E-2</v>
      </c>
      <c r="Z6">
        <f t="shared" si="14"/>
        <v>2.5918414961919996E-2</v>
      </c>
      <c r="AA6">
        <f t="shared" si="15"/>
        <v>-8.6394716539733309E-7</v>
      </c>
      <c r="AB6">
        <v>0.14000000000000001</v>
      </c>
      <c r="AC6">
        <f>-AB6*AA6</f>
        <v>1.2095260315562663E-7</v>
      </c>
      <c r="AD6">
        <f>AC6/6.66*2048.5</f>
        <v>3.7202914048693865E-5</v>
      </c>
      <c r="AE6">
        <f>AD6*144</f>
        <v>5.3572196230119162E-3</v>
      </c>
      <c r="AF6" s="97">
        <f t="shared" si="10"/>
        <v>124.38009476401257</v>
      </c>
    </row>
    <row r="7" spans="1:32" ht="13.95" customHeight="1" x14ac:dyDescent="0.3">
      <c r="B7" s="77">
        <v>1.7143333333333333</v>
      </c>
      <c r="C7" s="73">
        <v>128.57999999999998</v>
      </c>
      <c r="D7" s="73">
        <v>1.7</v>
      </c>
      <c r="E7" s="73">
        <v>12</v>
      </c>
      <c r="F7" s="73">
        <v>5.4</v>
      </c>
      <c r="G7" s="73">
        <v>1930</v>
      </c>
      <c r="H7" s="73">
        <v>2760</v>
      </c>
      <c r="I7" s="78">
        <v>10.4</v>
      </c>
      <c r="J7" s="2">
        <f t="shared" si="12"/>
        <v>64.800000000000011</v>
      </c>
      <c r="K7" s="1">
        <f t="shared" si="11"/>
        <v>128.57999999999998</v>
      </c>
      <c r="L7" s="3">
        <f t="shared" si="1"/>
        <v>518.13471502590676</v>
      </c>
      <c r="M7" s="3">
        <f t="shared" si="1"/>
        <v>362.31884057971018</v>
      </c>
      <c r="N7" s="3">
        <f t="shared" si="2"/>
        <v>15544.041450777202</v>
      </c>
      <c r="O7" s="3">
        <f t="shared" si="2"/>
        <v>10869.565217391306</v>
      </c>
      <c r="P7" s="3">
        <f t="shared" si="3"/>
        <v>70.164075993091544</v>
      </c>
      <c r="Q7" s="3">
        <f t="shared" si="3"/>
        <v>49.064009661835762</v>
      </c>
      <c r="R7" s="3">
        <f t="shared" si="4"/>
        <v>15704.393027585378</v>
      </c>
      <c r="S7" s="3">
        <f t="shared" si="5"/>
        <v>128.57999999999998</v>
      </c>
      <c r="T7" s="3">
        <f t="shared" si="6"/>
        <v>70.887885193961779</v>
      </c>
      <c r="U7" s="3">
        <f t="shared" si="7"/>
        <v>585.69073547434391</v>
      </c>
      <c r="V7" s="3">
        <f t="shared" si="8"/>
        <v>10910.72055031222</v>
      </c>
      <c r="W7" s="3">
        <f t="shared" si="9"/>
        <v>49.249780261825997</v>
      </c>
      <c r="X7" s="4">
        <f t="shared" si="0"/>
        <v>64.800000000000011</v>
      </c>
      <c r="Y7">
        <f t="shared" si="13"/>
        <v>8.6898225600000017E-2</v>
      </c>
      <c r="Z7">
        <f t="shared" si="14"/>
        <v>2.9361056601427207E-2</v>
      </c>
      <c r="AA7">
        <f t="shared" si="15"/>
        <v>-9.4444732067924179E-7</v>
      </c>
      <c r="AB7">
        <v>0.12</v>
      </c>
      <c r="AC7">
        <f>-AB7*AA7</f>
        <v>1.1333367848150901E-7</v>
      </c>
      <c r="AD7">
        <f>AC7/6.66*2048.5</f>
        <v>3.4859465520926602E-5</v>
      </c>
      <c r="AE7">
        <f>AD7*144</f>
        <v>5.0197630350134305E-3</v>
      </c>
      <c r="AF7" s="97">
        <f t="shared" si="10"/>
        <v>128.89128991089385</v>
      </c>
    </row>
    <row r="8" spans="1:32" ht="13.95" customHeight="1" x14ac:dyDescent="0.3">
      <c r="B8" s="77">
        <v>1.8545833333333333</v>
      </c>
      <c r="C8" s="73">
        <v>153.82499999999999</v>
      </c>
      <c r="D8" s="73">
        <v>2.2000000000000002</v>
      </c>
      <c r="E8" s="73">
        <v>12</v>
      </c>
      <c r="F8" s="73">
        <v>8.6999999999999993</v>
      </c>
      <c r="G8" s="73">
        <v>1610</v>
      </c>
      <c r="H8" s="73">
        <v>2180</v>
      </c>
      <c r="I8" s="78">
        <v>13</v>
      </c>
      <c r="J8" s="2">
        <f t="shared" si="12"/>
        <v>104.39999999999999</v>
      </c>
      <c r="K8" s="1">
        <f t="shared" si="11"/>
        <v>153.82499999999999</v>
      </c>
      <c r="L8" s="3">
        <f t="shared" si="1"/>
        <v>621.11801242236027</v>
      </c>
      <c r="M8" s="3">
        <f t="shared" si="1"/>
        <v>458.71559633027528</v>
      </c>
      <c r="N8" s="3">
        <f t="shared" si="2"/>
        <v>18633.540372670806</v>
      </c>
      <c r="O8" s="3">
        <f t="shared" si="2"/>
        <v>13761.467889908257</v>
      </c>
      <c r="P8" s="3">
        <f t="shared" si="3"/>
        <v>84.10973084886129</v>
      </c>
      <c r="Q8" s="3">
        <f t="shared" si="3"/>
        <v>62.117737003058117</v>
      </c>
      <c r="R8" s="3">
        <f t="shared" si="4"/>
        <v>18770.404673520155</v>
      </c>
      <c r="S8" s="3">
        <f t="shared" si="5"/>
        <v>153.82499999999999</v>
      </c>
      <c r="T8" s="3">
        <f t="shared" si="6"/>
        <v>84.727521095750703</v>
      </c>
      <c r="U8" s="3">
        <f t="shared" si="7"/>
        <v>607.30966665297819</v>
      </c>
      <c r="V8" s="3">
        <f t="shared" si="8"/>
        <v>13596.184005950465</v>
      </c>
      <c r="W8" s="3">
        <f t="shared" si="9"/>
        <v>61.371663915748634</v>
      </c>
      <c r="X8" s="4">
        <f t="shared" si="0"/>
        <v>104.39999999999999</v>
      </c>
      <c r="Y8">
        <f t="shared" si="13"/>
        <v>0.14000269679999999</v>
      </c>
      <c r="Z8">
        <f t="shared" si="14"/>
        <v>3.9460786779523201E-2</v>
      </c>
      <c r="AA8">
        <f t="shared" si="15"/>
        <v>-1.0588644452505392E-6</v>
      </c>
      <c r="AF8" s="97">
        <f t="shared" si="10"/>
        <v>154.50943448945659</v>
      </c>
    </row>
    <row r="9" spans="1:32" ht="13.95" customHeight="1" thickBot="1" x14ac:dyDescent="0.35">
      <c r="B9" s="79">
        <v>1.9470444444444444</v>
      </c>
      <c r="C9" s="80">
        <v>170.46799999999999</v>
      </c>
      <c r="D9" s="80">
        <v>2.71</v>
      </c>
      <c r="E9" s="80">
        <v>12</v>
      </c>
      <c r="F9" s="80">
        <v>13</v>
      </c>
      <c r="G9" s="80">
        <v>1408</v>
      </c>
      <c r="H9" s="80">
        <v>1880</v>
      </c>
      <c r="I9" s="81">
        <v>15</v>
      </c>
      <c r="J9" s="2">
        <f t="shared" si="12"/>
        <v>156</v>
      </c>
      <c r="K9" s="1">
        <f t="shared" si="11"/>
        <v>170.46799999999999</v>
      </c>
      <c r="L9" s="3">
        <f t="shared" si="1"/>
        <v>710.22727272727275</v>
      </c>
      <c r="M9" s="3">
        <f t="shared" si="1"/>
        <v>531.91489361702133</v>
      </c>
      <c r="N9" s="3">
        <f t="shared" si="2"/>
        <v>21306.818181818184</v>
      </c>
      <c r="O9" s="3">
        <f t="shared" si="2"/>
        <v>15957.44680851064</v>
      </c>
      <c r="P9" s="3">
        <f t="shared" si="3"/>
        <v>96.176609848484858</v>
      </c>
      <c r="Q9" s="3">
        <f t="shared" si="3"/>
        <v>72.030141843971634</v>
      </c>
      <c r="R9" s="3">
        <f t="shared" si="4"/>
        <v>21098.594001137539</v>
      </c>
      <c r="S9" s="3">
        <f t="shared" si="5"/>
        <v>170.46799999999999</v>
      </c>
      <c r="T9" s="3">
        <f t="shared" si="6"/>
        <v>95.236709032912501</v>
      </c>
      <c r="U9" s="3">
        <f t="shared" si="7"/>
        <v>619.69894848212812</v>
      </c>
      <c r="V9" s="3">
        <f t="shared" si="8"/>
        <v>16090.182242180526</v>
      </c>
      <c r="W9" s="3">
        <f t="shared" si="9"/>
        <v>72.629294843175998</v>
      </c>
      <c r="X9" s="4">
        <f t="shared" si="0"/>
        <v>156</v>
      </c>
      <c r="Y9">
        <f t="shared" si="13"/>
        <v>0.20919943200000002</v>
      </c>
      <c r="Z9">
        <f t="shared" si="14"/>
        <v>5.1566376898150398E-2</v>
      </c>
      <c r="AA9">
        <f t="shared" si="15"/>
        <v>-1.2100909778765959E-6</v>
      </c>
      <c r="AF9" s="97">
        <f t="shared" si="10"/>
        <v>176.67627097160877</v>
      </c>
    </row>
    <row r="10" spans="1:32" ht="13.95" customHeight="1" x14ac:dyDescent="0.3">
      <c r="N10" s="1">
        <v>9.34</v>
      </c>
      <c r="AB10" t="s">
        <v>49</v>
      </c>
      <c r="AC10">
        <f>AVERAGE(AC4:AC7)</f>
        <v>1.2888349163858527E-7</v>
      </c>
      <c r="AD10">
        <f>AVERAGE(AD4:AD7)</f>
        <v>3.9642317210456738E-5</v>
      </c>
      <c r="AE10">
        <f>AVERAGE(AE4:AE7)</f>
        <v>5.7084936783057703E-3</v>
      </c>
      <c r="AF10" s="97"/>
    </row>
    <row r="11" spans="1:32" ht="13.95" customHeight="1" x14ac:dyDescent="0.3">
      <c r="V11" s="3">
        <f>D11*D11*$AA$35+D11*$AA$36+$AA$37</f>
        <v>0</v>
      </c>
      <c r="W11" s="3"/>
    </row>
    <row r="12" spans="1:32" ht="13.95" customHeight="1" x14ac:dyDescent="0.3"/>
    <row r="13" spans="1:32" ht="13.95" customHeight="1" x14ac:dyDescent="0.3"/>
    <row r="14" spans="1:32" ht="13.95" customHeight="1" x14ac:dyDescent="0.3">
      <c r="B14" s="5"/>
      <c r="C14" s="6"/>
      <c r="D14" s="6"/>
      <c r="E14" s="6"/>
      <c r="F14" s="6"/>
      <c r="G14" s="6"/>
      <c r="H14" s="6"/>
      <c r="I14" s="6"/>
      <c r="J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32" ht="13.95" customHeight="1" thickBot="1" x14ac:dyDescent="0.35">
      <c r="B15" s="5"/>
      <c r="C15" s="6"/>
      <c r="D15" s="6"/>
      <c r="E15" s="6"/>
      <c r="F15" s="6"/>
      <c r="G15" s="6"/>
      <c r="H15" s="6"/>
      <c r="I15" s="6"/>
      <c r="J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Z15" t="s">
        <v>32</v>
      </c>
      <c r="AC15" t="s">
        <v>33</v>
      </c>
      <c r="AF15" s="30"/>
    </row>
    <row r="16" spans="1:32" ht="13.95" customHeight="1" x14ac:dyDescent="0.3">
      <c r="A16" s="3" t="s">
        <v>28</v>
      </c>
      <c r="B16" s="11" t="s">
        <v>29</v>
      </c>
      <c r="C16" s="12"/>
      <c r="D16" s="12"/>
      <c r="E16" s="6"/>
      <c r="F16" s="6"/>
      <c r="G16" s="6"/>
      <c r="H16" s="6"/>
      <c r="I16" s="6"/>
      <c r="J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Z16" s="17" t="s">
        <v>3</v>
      </c>
      <c r="AA16" s="18">
        <v>2</v>
      </c>
      <c r="AC16" s="17"/>
      <c r="AD16" s="23" t="s">
        <v>22</v>
      </c>
      <c r="AE16" s="7"/>
      <c r="AF16" s="30"/>
    </row>
    <row r="17" spans="1:36" x14ac:dyDescent="0.3">
      <c r="A17" s="3"/>
      <c r="B17" s="13" t="s">
        <v>30</v>
      </c>
      <c r="C17" s="14"/>
      <c r="D17" s="14"/>
      <c r="E17" s="6"/>
      <c r="F17" s="6"/>
      <c r="G17" s="6"/>
      <c r="H17" s="6"/>
      <c r="I17" s="6"/>
      <c r="J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Z17" s="19" t="s">
        <v>4</v>
      </c>
      <c r="AA17" s="20">
        <v>4800</v>
      </c>
      <c r="AC17" s="24" t="s">
        <v>16</v>
      </c>
      <c r="AD17" s="25">
        <v>0</v>
      </c>
      <c r="AF17" s="30"/>
    </row>
    <row r="18" spans="1:36" ht="13.95" customHeight="1" thickBot="1" x14ac:dyDescent="0.35">
      <c r="A18" s="3"/>
      <c r="B18" s="15" t="s">
        <v>31</v>
      </c>
      <c r="C18" s="16"/>
      <c r="D18" s="16"/>
      <c r="E18" s="6"/>
      <c r="F18" s="6"/>
      <c r="G18" s="6"/>
      <c r="H18" s="6"/>
      <c r="I18" s="6"/>
      <c r="J18" s="2"/>
      <c r="L18" s="3"/>
      <c r="M18" s="3"/>
      <c r="N18" s="3"/>
      <c r="O18" s="2"/>
      <c r="P18" s="3"/>
      <c r="Q18" s="3"/>
      <c r="R18" s="3"/>
      <c r="S18" s="3"/>
      <c r="X18" s="3"/>
      <c r="Z18" s="21" t="s">
        <v>5</v>
      </c>
      <c r="AA18" s="22">
        <v>12</v>
      </c>
      <c r="AC18" s="26" t="s">
        <v>17</v>
      </c>
      <c r="AD18" s="27">
        <v>5</v>
      </c>
      <c r="AF18" s="30"/>
    </row>
    <row r="19" spans="1:36" ht="13.95" customHeight="1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/>
      <c r="O19" s="3"/>
      <c r="P19" s="3"/>
      <c r="Q19" s="3"/>
      <c r="R19" s="3"/>
      <c r="S19" s="3"/>
      <c r="X19" s="3"/>
      <c r="AF19" s="30"/>
    </row>
    <row r="20" spans="1:36" ht="24" thickBot="1" x14ac:dyDescent="0.5">
      <c r="B20" s="5"/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X20" s="3"/>
      <c r="Z20" t="s">
        <v>35</v>
      </c>
      <c r="AF20" s="94" t="s">
        <v>54</v>
      </c>
      <c r="AG20" s="5" t="s">
        <v>56</v>
      </c>
      <c r="AH20" s="5"/>
      <c r="AI20" s="5"/>
    </row>
    <row r="21" spans="1:36" ht="15" thickBot="1" x14ac:dyDescent="0.35">
      <c r="B21" s="5"/>
      <c r="C21" s="6"/>
      <c r="D21" s="6"/>
      <c r="E21" s="6"/>
      <c r="F21" s="6"/>
      <c r="G21" s="6"/>
      <c r="H21" s="6"/>
      <c r="I21" s="6"/>
      <c r="J21" s="2"/>
      <c r="L21" s="3"/>
      <c r="M21" s="3"/>
      <c r="N21" s="3"/>
      <c r="O21" s="3"/>
      <c r="P21" s="3"/>
      <c r="Q21" s="3"/>
      <c r="R21" s="3"/>
      <c r="S21" s="3"/>
      <c r="T21" s="3"/>
      <c r="V21" s="3"/>
      <c r="W21" s="3"/>
      <c r="X21" s="3"/>
      <c r="Z21" s="34">
        <v>210</v>
      </c>
      <c r="AA21" s="35" t="s">
        <v>34</v>
      </c>
      <c r="AB21" s="36"/>
      <c r="AC21" s="35"/>
      <c r="AD21" s="35"/>
      <c r="AE21" s="37"/>
      <c r="AG21" s="62" t="s">
        <v>15</v>
      </c>
      <c r="AH21" s="63">
        <f>AA29</f>
        <v>5</v>
      </c>
      <c r="AI21" s="64"/>
      <c r="AJ21" s="29"/>
    </row>
    <row r="22" spans="1:36" x14ac:dyDescent="0.3">
      <c r="B22" s="5"/>
      <c r="C22" s="6"/>
      <c r="D22" s="6"/>
      <c r="E22" s="6"/>
      <c r="F22" s="6"/>
      <c r="G22" s="6"/>
      <c r="H22" s="6"/>
      <c r="I22" s="6"/>
      <c r="J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Z22" s="8"/>
      <c r="AB22" s="8"/>
      <c r="AC22" s="8"/>
      <c r="AG22" s="65" t="s">
        <v>14</v>
      </c>
      <c r="AH22" s="66">
        <f>AA28</f>
        <v>0</v>
      </c>
      <c r="AI22" s="45"/>
      <c r="AJ22" s="31"/>
    </row>
    <row r="23" spans="1:36" ht="15" thickBot="1" x14ac:dyDescent="0.35">
      <c r="C23" s="6"/>
      <c r="D23" s="6"/>
      <c r="E23" s="6"/>
      <c r="F23" s="6"/>
      <c r="G23" s="6"/>
      <c r="H23" s="6"/>
      <c r="I23" s="6"/>
      <c r="J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Z23" t="s">
        <v>36</v>
      </c>
      <c r="AG23" s="65" t="s">
        <v>17</v>
      </c>
      <c r="AH23" s="66">
        <f>AD18</f>
        <v>5</v>
      </c>
      <c r="AI23" s="30"/>
      <c r="AJ23" s="31"/>
    </row>
    <row r="24" spans="1:36" ht="15" thickBot="1" x14ac:dyDescent="0.35">
      <c r="Z24" s="38" t="s">
        <v>6</v>
      </c>
      <c r="AA24" s="39">
        <f>AA17*AA18/AB24</f>
        <v>22153.846153846152</v>
      </c>
      <c r="AB24" s="40">
        <v>2.6</v>
      </c>
      <c r="AC24" s="35" t="s">
        <v>9</v>
      </c>
      <c r="AD24" s="41"/>
      <c r="AG24" s="65" t="s">
        <v>16</v>
      </c>
      <c r="AH24" s="66">
        <f>AD17</f>
        <v>0</v>
      </c>
      <c r="AI24" s="30"/>
      <c r="AJ24" s="31"/>
    </row>
    <row r="25" spans="1:36" x14ac:dyDescent="0.3">
      <c r="AG25" s="65" t="s">
        <v>27</v>
      </c>
      <c r="AH25" s="66">
        <f>AA24/100</f>
        <v>221.53846153846152</v>
      </c>
      <c r="AI25" s="30"/>
      <c r="AJ25" s="31"/>
    </row>
    <row r="26" spans="1:36" ht="15" thickBot="1" x14ac:dyDescent="0.35"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t="s">
        <v>37</v>
      </c>
      <c r="AG26" s="65" t="s">
        <v>18</v>
      </c>
      <c r="AH26" s="66">
        <f>AC29</f>
        <v>180</v>
      </c>
      <c r="AI26" s="30"/>
      <c r="AJ26" s="31"/>
    </row>
    <row r="27" spans="1:36" ht="28.8" x14ac:dyDescent="0.3">
      <c r="C27" s="6"/>
      <c r="D27" s="6"/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7"/>
      <c r="AA27" s="42" t="s">
        <v>19</v>
      </c>
      <c r="AB27" s="28"/>
      <c r="AC27" s="42" t="s">
        <v>20</v>
      </c>
      <c r="AD27" s="29" t="s">
        <v>109</v>
      </c>
      <c r="AG27" s="65" t="s">
        <v>13</v>
      </c>
      <c r="AH27" s="66">
        <f>AC28</f>
        <v>0</v>
      </c>
      <c r="AI27" s="30"/>
      <c r="AJ27" s="31"/>
    </row>
    <row r="28" spans="1:36" x14ac:dyDescent="0.3">
      <c r="C28" s="6"/>
      <c r="D28" s="6"/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57" t="s">
        <v>14</v>
      </c>
      <c r="AA28" s="58">
        <v>0</v>
      </c>
      <c r="AB28" s="45" t="s">
        <v>13</v>
      </c>
      <c r="AC28" s="59">
        <v>0</v>
      </c>
      <c r="AD28" s="89">
        <f>AD38/AA24*100</f>
        <v>-17.719588605194325</v>
      </c>
      <c r="AE28" t="s">
        <v>106</v>
      </c>
      <c r="AG28" s="65" t="s">
        <v>121</v>
      </c>
      <c r="AH28" s="66">
        <f>AA37</f>
        <v>0</v>
      </c>
      <c r="AI28" s="67">
        <f>AA36</f>
        <v>7227.227639740272</v>
      </c>
      <c r="AJ28" s="68">
        <f>AA35</f>
        <v>-475.97454575994487</v>
      </c>
    </row>
    <row r="29" spans="1:36" x14ac:dyDescent="0.3">
      <c r="B29" t="s">
        <v>55</v>
      </c>
      <c r="C29" s="6"/>
      <c r="D29" s="6"/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57" t="s">
        <v>15</v>
      </c>
      <c r="AA29" s="58">
        <v>5</v>
      </c>
      <c r="AB29" s="45" t="s">
        <v>18</v>
      </c>
      <c r="AC29" s="59">
        <v>180</v>
      </c>
      <c r="AD29" s="60">
        <v>77</v>
      </c>
      <c r="AG29" s="65" t="s">
        <v>59</v>
      </c>
      <c r="AH29" s="66">
        <f>AA39</f>
        <v>0</v>
      </c>
      <c r="AI29" s="67">
        <f>AA38</f>
        <v>120.59807502526535</v>
      </c>
      <c r="AJ29" s="31"/>
    </row>
    <row r="30" spans="1:36" x14ac:dyDescent="0.3">
      <c r="B30" t="s">
        <v>51</v>
      </c>
      <c r="C30" s="6" t="s">
        <v>52</v>
      </c>
      <c r="D30" s="6" t="s">
        <v>53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Z30" s="19"/>
      <c r="AA30" s="30" t="s">
        <v>40</v>
      </c>
      <c r="AB30" s="30"/>
      <c r="AC30" s="61"/>
      <c r="AD30" s="89">
        <f>(AD29-AD28)/(AA29-AA28)</f>
        <v>18.943917721038865</v>
      </c>
      <c r="AG30" s="65" t="s">
        <v>124</v>
      </c>
      <c r="AH30" s="91">
        <f>AD31</f>
        <v>-17.719588605194332</v>
      </c>
      <c r="AI30" s="92">
        <f>AD30</f>
        <v>18.943917721038865</v>
      </c>
      <c r="AJ30" s="31"/>
    </row>
    <row r="31" spans="1:36" x14ac:dyDescent="0.3">
      <c r="B31" s="73">
        <v>87</v>
      </c>
      <c r="C31" s="6">
        <f>B31/180*(2.4-0.53)+0.53</f>
        <v>1.4338333333333333</v>
      </c>
      <c r="D31" s="88">
        <f>(C31-1)*180</f>
        <v>78.089999999999989</v>
      </c>
      <c r="E31" s="6"/>
      <c r="F31" s="6"/>
      <c r="G31" s="6"/>
      <c r="H31" s="6"/>
      <c r="I31" s="6"/>
      <c r="J31" s="9"/>
      <c r="K31" s="6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Z31" s="19"/>
      <c r="AA31" s="30"/>
      <c r="AB31" s="30"/>
      <c r="AC31" s="61"/>
      <c r="AD31" s="89">
        <f>AD29-AD30*(AA29-AA28)</f>
        <v>-17.719588605194332</v>
      </c>
      <c r="AG31" s="65" t="s">
        <v>122</v>
      </c>
      <c r="AH31" s="66">
        <f>AD38</f>
        <v>-3925.570398689204</v>
      </c>
      <c r="AI31" s="69">
        <f>AD37</f>
        <v>0.94199104022164515</v>
      </c>
      <c r="AJ31" s="31"/>
    </row>
    <row r="32" spans="1:36" ht="15" thickBot="1" x14ac:dyDescent="0.35">
      <c r="B32" s="73">
        <v>90</v>
      </c>
      <c r="C32" s="6">
        <f t="shared" ref="C32:C37" si="16">B32/180*(2.4-0.53)+0.53</f>
        <v>1.4649999999999999</v>
      </c>
      <c r="D32" s="88">
        <f t="shared" ref="D32:D37" si="17">(C32-1)*180</f>
        <v>83.699999999999974</v>
      </c>
      <c r="E32" s="6"/>
      <c r="F32" s="6"/>
      <c r="G32" s="6"/>
      <c r="H32" s="6"/>
      <c r="I32" s="6"/>
      <c r="J32" s="9"/>
      <c r="K32" s="6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Z32" s="21"/>
      <c r="AA32" s="32"/>
      <c r="AB32" s="32"/>
      <c r="AC32" s="47"/>
      <c r="AD32" s="48" t="s">
        <v>124</v>
      </c>
      <c r="AG32" s="70" t="s">
        <v>123</v>
      </c>
      <c r="AH32" s="71">
        <f>AD36</f>
        <v>4180.4182204512181</v>
      </c>
      <c r="AI32" s="72">
        <f>AD35</f>
        <v>1.0602056822563426</v>
      </c>
      <c r="AJ32" s="33"/>
    </row>
    <row r="33" spans="2:40" x14ac:dyDescent="0.3">
      <c r="B33" s="73">
        <v>100</v>
      </c>
      <c r="C33" s="6">
        <f t="shared" si="16"/>
        <v>1.568888888888889</v>
      </c>
      <c r="D33" s="88">
        <f t="shared" si="17"/>
        <v>102.40000000000002</v>
      </c>
      <c r="E33" s="6"/>
      <c r="F33" s="6"/>
      <c r="G33" s="6"/>
      <c r="H33" s="6"/>
      <c r="I33" s="6"/>
      <c r="J33" s="9"/>
      <c r="K33" s="6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2:40" ht="15" thickBot="1" x14ac:dyDescent="0.35">
      <c r="B34" s="73">
        <v>110</v>
      </c>
      <c r="C34" s="6">
        <f t="shared" si="16"/>
        <v>1.6727777777777779</v>
      </c>
      <c r="D34" s="88">
        <f t="shared" si="17"/>
        <v>121.10000000000002</v>
      </c>
      <c r="E34" s="6"/>
      <c r="F34" s="6"/>
      <c r="G34" s="6"/>
      <c r="H34" s="6"/>
      <c r="I34" s="6"/>
      <c r="J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Z34" t="s">
        <v>38</v>
      </c>
    </row>
    <row r="35" spans="2:40" x14ac:dyDescent="0.3">
      <c r="B35" s="73">
        <v>114</v>
      </c>
      <c r="C35" s="6">
        <f t="shared" si="16"/>
        <v>1.7143333333333333</v>
      </c>
      <c r="D35" s="88">
        <f t="shared" si="17"/>
        <v>128.57999999999998</v>
      </c>
      <c r="Z35" s="49" t="s">
        <v>121</v>
      </c>
      <c r="AA35" s="50">
        <f>INDEX(LINEST($O$3:$O$9,$D$3:$D$9^{1,2},FALSE,FALSE),1)</f>
        <v>-475.97454575994487</v>
      </c>
      <c r="AB35" s="28"/>
      <c r="AC35" s="51" t="s">
        <v>123</v>
      </c>
      <c r="AD35" s="52">
        <f>INDEX(LINEST($N$3:$N$9,$O$3:$O$9),1)</f>
        <v>1.0602056822563426</v>
      </c>
      <c r="AG35" s="104"/>
      <c r="AM35" s="3"/>
      <c r="AN35" s="3"/>
    </row>
    <row r="36" spans="2:40" x14ac:dyDescent="0.3">
      <c r="B36" s="73">
        <v>127.5</v>
      </c>
      <c r="C36" s="6">
        <f t="shared" si="16"/>
        <v>1.8545833333333333</v>
      </c>
      <c r="D36" s="88">
        <f t="shared" si="17"/>
        <v>153.82499999999999</v>
      </c>
      <c r="Z36" s="43"/>
      <c r="AA36" s="53">
        <f>INDEX(LINEST($O$3:$O$9,$D$3:$D$9^{1,2},FALSE,FALSE),2)</f>
        <v>7227.227639740272</v>
      </c>
      <c r="AB36" s="30"/>
      <c r="AC36" s="44"/>
      <c r="AD36" s="46">
        <f>INDEX(LINEST($N$3:$N$9,$O$3:$O$9),2)</f>
        <v>4180.4182204512181</v>
      </c>
    </row>
    <row r="37" spans="2:40" ht="15" thickBot="1" x14ac:dyDescent="0.35">
      <c r="B37" s="80">
        <v>136.4</v>
      </c>
      <c r="C37" s="6">
        <f t="shared" si="16"/>
        <v>1.9470444444444444</v>
      </c>
      <c r="D37" s="88">
        <f t="shared" si="17"/>
        <v>170.46799999999999</v>
      </c>
      <c r="Z37" s="43"/>
      <c r="AA37" s="44">
        <f>INDEX(LINEST($O$3:$O$9,$D$3:$D$9^{1,2},FALSE,FALSE),3)</f>
        <v>0</v>
      </c>
      <c r="AB37" s="30"/>
      <c r="AC37" s="44" t="s">
        <v>122</v>
      </c>
      <c r="AD37" s="46">
        <f>INDEX(LINEST($O$3:$O$9,$N$3:$N$9),1)</f>
        <v>0.94199104022164515</v>
      </c>
    </row>
    <row r="38" spans="2:40" x14ac:dyDescent="0.3">
      <c r="Z38" s="43" t="s">
        <v>59</v>
      </c>
      <c r="AA38" s="54">
        <f>INDEX(LINEST($R$3:$R$9,$K$3:$K$9,FALSE),1)</f>
        <v>120.59807502526535</v>
      </c>
      <c r="AB38" s="30"/>
      <c r="AC38" s="44"/>
      <c r="AD38" s="46">
        <f>INDEX(LINEST($O$3:$O$9,$N$3:$N$9),2)</f>
        <v>-3925.570398689204</v>
      </c>
      <c r="AE38" t="s">
        <v>60</v>
      </c>
    </row>
    <row r="39" spans="2:40" ht="15" thickBot="1" x14ac:dyDescent="0.35">
      <c r="Z39" s="55"/>
      <c r="AA39" s="102">
        <f>INDEX(LINEST($R$3:$R$9,$K$3:$K$9,FALSE),2)</f>
        <v>0</v>
      </c>
      <c r="AB39" s="32"/>
      <c r="AC39" s="32"/>
      <c r="AD39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workbookViewId="0">
      <pane ySplit="2" topLeftCell="A3" activePane="bottomLeft" state="frozen"/>
      <selection pane="bottomLeft" activeCell="U6" sqref="U6"/>
    </sheetView>
  </sheetViews>
  <sheetFormatPr defaultRowHeight="14.4" x14ac:dyDescent="0.3"/>
  <cols>
    <col min="2" max="2" width="6" customWidth="1"/>
    <col min="3" max="3" width="6.88671875" style="1" customWidth="1"/>
    <col min="4" max="4" width="6.44140625" style="1" customWidth="1"/>
    <col min="5" max="5" width="6.33203125" style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7.33203125" style="1" bestFit="1" customWidth="1"/>
    <col min="13" max="13" width="4.33203125" style="1" customWidth="1"/>
    <col min="14" max="14" width="7.33203125" style="1" bestFit="1" customWidth="1"/>
    <col min="15" max="16" width="6.33203125" style="1" customWidth="1"/>
    <col min="17" max="17" width="10.5546875" style="1" customWidth="1"/>
    <col min="18" max="19" width="7.6640625" style="1" customWidth="1"/>
    <col min="20" max="20" width="6.33203125" style="1" customWidth="1"/>
    <col min="21" max="21" width="8.109375" style="1" bestFit="1" customWidth="1"/>
    <col min="22" max="24" width="6.109375" customWidth="1"/>
    <col min="26" max="26" width="9.88671875" bestFit="1" customWidth="1"/>
    <col min="27" max="27" width="10.6640625" customWidth="1"/>
    <col min="28" max="28" width="6.5546875" bestFit="1" customWidth="1"/>
    <col min="29" max="29" width="9.6640625" customWidth="1"/>
    <col min="30" max="30" width="8.5546875" bestFit="1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9" ht="58.2" thickBot="1" x14ac:dyDescent="0.35">
      <c r="A1" t="s">
        <v>39</v>
      </c>
      <c r="B1" s="82" t="s">
        <v>52</v>
      </c>
      <c r="C1" s="83" t="s">
        <v>0</v>
      </c>
      <c r="D1" s="83" t="s">
        <v>1</v>
      </c>
      <c r="E1" s="83" t="s">
        <v>10</v>
      </c>
      <c r="F1" s="83" t="s">
        <v>11</v>
      </c>
      <c r="G1" s="83" t="s">
        <v>23</v>
      </c>
      <c r="H1" s="83" t="s">
        <v>110</v>
      </c>
      <c r="I1" s="84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127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</row>
    <row r="2" spans="1:39" ht="15" thickBot="1" x14ac:dyDescent="0.35">
      <c r="B2" s="74">
        <f>C2/180+1</f>
        <v>1</v>
      </c>
      <c r="C2" s="85"/>
      <c r="D2" s="85"/>
      <c r="E2" s="85">
        <v>12.15</v>
      </c>
      <c r="F2" s="85"/>
      <c r="G2" s="85"/>
      <c r="H2" s="103">
        <v>100000000</v>
      </c>
      <c r="I2" s="86">
        <v>2.88</v>
      </c>
      <c r="J2" s="2">
        <f t="shared" ref="J2:J8" si="1">E2*F2</f>
        <v>0</v>
      </c>
      <c r="K2" s="1">
        <f t="shared" ref="K2:K9" si="2">C2</f>
        <v>0</v>
      </c>
      <c r="L2" s="3" t="e">
        <f t="shared" ref="L2:M9" si="3">1/G2/0.000001</f>
        <v>#DIV/0!</v>
      </c>
      <c r="M2" s="3">
        <f t="shared" si="3"/>
        <v>0.01</v>
      </c>
      <c r="N2" s="3" t="e">
        <f t="shared" ref="N2:O9" si="4">L2*60/$AA$13</f>
        <v>#DIV/0!</v>
      </c>
      <c r="O2" s="3">
        <f t="shared" si="4"/>
        <v>0.3</v>
      </c>
      <c r="P2" s="3" t="e">
        <f t="shared" ref="P2:Q9" si="5">N2/$AA$21*100</f>
        <v>#DIV/0!</v>
      </c>
      <c r="Q2" s="3">
        <f t="shared" si="5"/>
        <v>1.3541666666666667E-3</v>
      </c>
      <c r="R2" s="3">
        <f t="shared" ref="R2:R9" si="6">O2*$AD$32+$AD$33</f>
        <v>4180.7362821558954</v>
      </c>
      <c r="S2" s="3">
        <f t="shared" ref="S2:S9" si="7">K2</f>
        <v>0</v>
      </c>
      <c r="T2" s="3">
        <f t="shared" ref="T2:T9" si="8">R2/$AA$21*100</f>
        <v>18.87137905139814</v>
      </c>
      <c r="U2" s="3" t="e">
        <f t="shared" ref="U2:U9" si="9">$AA$35*LN(C2)+$AA$36</f>
        <v>#REF!</v>
      </c>
      <c r="V2" s="3">
        <f t="shared" ref="V2:V9" si="10">D2*D2*$AA$32+D2*$AA$33+$AA$34</f>
        <v>0</v>
      </c>
      <c r="W2" s="3">
        <f t="shared" ref="W2:W9" si="11">V2/$AA$21*100</f>
        <v>0</v>
      </c>
      <c r="X2" s="4">
        <f t="shared" si="0"/>
        <v>0</v>
      </c>
    </row>
    <row r="3" spans="1:39" x14ac:dyDescent="0.3">
      <c r="B3" s="74">
        <v>1.1637222222222223</v>
      </c>
      <c r="C3" s="85">
        <v>29.47000000000002</v>
      </c>
      <c r="D3" s="85">
        <v>0.54</v>
      </c>
      <c r="E3" s="85">
        <v>12.15</v>
      </c>
      <c r="F3" s="85">
        <v>1.56</v>
      </c>
      <c r="G3" s="85">
        <v>3810.7961637948006</v>
      </c>
      <c r="H3" s="85">
        <v>8615</v>
      </c>
      <c r="I3" s="86">
        <v>2.88</v>
      </c>
      <c r="J3" s="2">
        <f t="shared" si="1"/>
        <v>18.954000000000001</v>
      </c>
      <c r="K3" s="1">
        <f>C3</f>
        <v>29.47000000000002</v>
      </c>
      <c r="L3" s="3">
        <f t="shared" si="3"/>
        <v>262.41235611095965</v>
      </c>
      <c r="M3" s="3">
        <f t="shared" si="3"/>
        <v>116.07661056297157</v>
      </c>
      <c r="N3" s="3">
        <f>L3*60/$AA$13</f>
        <v>7872.3706833287897</v>
      </c>
      <c r="O3" s="3">
        <f>M3*60/$AA$13</f>
        <v>3482.2983168891469</v>
      </c>
      <c r="P3" s="3">
        <f>N3/$AA$21*100</f>
        <v>35.535006556692458</v>
      </c>
      <c r="Q3" s="3">
        <f>O3/$AA$21*100</f>
        <v>15.7187076804024</v>
      </c>
      <c r="R3" s="3">
        <f>O3*$AD$32+$AD$33</f>
        <v>7872.3706833287897</v>
      </c>
      <c r="S3" s="3">
        <f t="shared" si="7"/>
        <v>29.47000000000002</v>
      </c>
      <c r="T3" s="3">
        <f>R3/$AA$21*100</f>
        <v>35.535006556692458</v>
      </c>
      <c r="U3" s="3" t="e">
        <f t="shared" si="9"/>
        <v>#REF!</v>
      </c>
      <c r="V3" s="3">
        <f t="shared" si="10"/>
        <v>3895.0045670565864</v>
      </c>
      <c r="W3" s="3">
        <f t="shared" si="11"/>
        <v>17.581617837408203</v>
      </c>
      <c r="X3" s="4">
        <f t="shared" si="0"/>
        <v>18.954000000000001</v>
      </c>
    </row>
    <row r="4" spans="1:39" ht="13.95" customHeight="1" x14ac:dyDescent="0.3">
      <c r="B4" s="77">
        <v>1.2052777777777779</v>
      </c>
      <c r="C4" s="73">
        <v>36.950000000000017</v>
      </c>
      <c r="D4" s="73">
        <v>0.68</v>
      </c>
      <c r="E4" s="73">
        <v>12.14</v>
      </c>
      <c r="F4" s="73">
        <v>1.9</v>
      </c>
      <c r="G4" s="73">
        <v>3247.7925769058029</v>
      </c>
      <c r="H4" s="73">
        <v>6290</v>
      </c>
      <c r="I4" s="78">
        <v>4.0199999999999996</v>
      </c>
      <c r="J4" s="2">
        <f t="shared" si="1"/>
        <v>23.065999999999999</v>
      </c>
      <c r="K4" s="1">
        <f t="shared" si="2"/>
        <v>36.950000000000017</v>
      </c>
      <c r="L4" s="3">
        <f t="shared" si="3"/>
        <v>307.90143653592179</v>
      </c>
      <c r="M4" s="3">
        <f t="shared" si="3"/>
        <v>158.98251192368841</v>
      </c>
      <c r="N4" s="3">
        <f t="shared" si="4"/>
        <v>9237.0430960776539</v>
      </c>
      <c r="O4" s="3">
        <f t="shared" si="4"/>
        <v>4769.4753577106521</v>
      </c>
      <c r="P4" s="3">
        <f t="shared" si="5"/>
        <v>41.694986197572746</v>
      </c>
      <c r="Q4" s="3">
        <f t="shared" si="5"/>
        <v>21.528881822999473</v>
      </c>
      <c r="R4" s="3">
        <f t="shared" si="6"/>
        <v>9237.0430960776539</v>
      </c>
      <c r="S4" s="3">
        <f t="shared" si="7"/>
        <v>36.950000000000017</v>
      </c>
      <c r="T4" s="3">
        <f t="shared" si="8"/>
        <v>41.694986197572746</v>
      </c>
      <c r="U4" s="3" t="e">
        <f t="shared" si="9"/>
        <v>#REF!</v>
      </c>
      <c r="V4" s="3">
        <f t="shared" si="10"/>
        <v>4863.4075129077601</v>
      </c>
      <c r="W4" s="3">
        <f t="shared" si="11"/>
        <v>21.952881134653087</v>
      </c>
      <c r="X4" s="4">
        <f t="shared" si="0"/>
        <v>23.065999999999999</v>
      </c>
    </row>
    <row r="5" spans="1:39" ht="13.95" customHeight="1" x14ac:dyDescent="0.3">
      <c r="B5" s="77">
        <v>1.3299444444444444</v>
      </c>
      <c r="C5" s="73">
        <v>59.389999999999986</v>
      </c>
      <c r="D5" s="73">
        <v>1.18</v>
      </c>
      <c r="E5" s="73">
        <v>12.07</v>
      </c>
      <c r="F5" s="73">
        <v>3.66</v>
      </c>
      <c r="G5" s="73">
        <v>2314.9259570838622</v>
      </c>
      <c r="H5" s="73">
        <v>3623</v>
      </c>
      <c r="I5" s="78">
        <v>7.4</v>
      </c>
      <c r="J5" s="2">
        <f t="shared" si="1"/>
        <v>44.176200000000001</v>
      </c>
      <c r="K5" s="1">
        <f t="shared" si="2"/>
        <v>59.389999999999986</v>
      </c>
      <c r="L5" s="3">
        <f t="shared" si="3"/>
        <v>431.97925918101981</v>
      </c>
      <c r="M5" s="3">
        <f t="shared" si="3"/>
        <v>276.01435274634281</v>
      </c>
      <c r="N5" s="3">
        <f t="shared" si="4"/>
        <v>12959.377775430594</v>
      </c>
      <c r="O5" s="3">
        <f t="shared" si="4"/>
        <v>8280.4305823902851</v>
      </c>
      <c r="P5" s="3">
        <f t="shared" si="5"/>
        <v>58.497191347429769</v>
      </c>
      <c r="Q5" s="3">
        <f t="shared" si="5"/>
        <v>37.376943601067261</v>
      </c>
      <c r="R5" s="3">
        <f t="shared" si="6"/>
        <v>12959.377775430594</v>
      </c>
      <c r="S5" s="3">
        <f t="shared" si="7"/>
        <v>59.389999999999986</v>
      </c>
      <c r="T5" s="3">
        <f t="shared" si="8"/>
        <v>58.497191347429769</v>
      </c>
      <c r="U5" s="3" t="e">
        <f t="shared" si="9"/>
        <v>#REF!</v>
      </c>
      <c r="V5" s="3">
        <f t="shared" si="10"/>
        <v>8182.7859228288407</v>
      </c>
      <c r="W5" s="3">
        <f t="shared" si="11"/>
        <v>36.936186457213523</v>
      </c>
      <c r="X5" s="4">
        <f t="shared" si="0"/>
        <v>44.176200000000001</v>
      </c>
    </row>
    <row r="6" spans="1:39" ht="13.95" customHeight="1" x14ac:dyDescent="0.3">
      <c r="B6" s="77">
        <v>1.4442222222222223</v>
      </c>
      <c r="C6" s="73">
        <v>79.960000000000008</v>
      </c>
      <c r="D6" s="73">
        <v>1.57</v>
      </c>
      <c r="E6" s="73">
        <v>11.96</v>
      </c>
      <c r="F6" s="73">
        <v>6.51</v>
      </c>
      <c r="G6" s="73">
        <v>1890.4108937169444</v>
      </c>
      <c r="H6" s="73">
        <v>2721</v>
      </c>
      <c r="I6" s="78">
        <v>9.5</v>
      </c>
      <c r="J6" s="2">
        <f t="shared" si="1"/>
        <v>77.8596</v>
      </c>
      <c r="K6" s="1">
        <f t="shared" si="2"/>
        <v>79.960000000000008</v>
      </c>
      <c r="L6" s="3">
        <f t="shared" si="3"/>
        <v>528.98552548741941</v>
      </c>
      <c r="M6" s="3">
        <f t="shared" si="3"/>
        <v>367.51194413818456</v>
      </c>
      <c r="N6" s="3">
        <f t="shared" si="4"/>
        <v>15869.565764622583</v>
      </c>
      <c r="O6" s="3">
        <f t="shared" si="4"/>
        <v>11025.358324145536</v>
      </c>
      <c r="P6" s="3">
        <f t="shared" si="5"/>
        <v>71.633456576421381</v>
      </c>
      <c r="Q6" s="3">
        <f t="shared" si="5"/>
        <v>49.76724243537916</v>
      </c>
      <c r="R6" s="3">
        <f t="shared" si="6"/>
        <v>15869.565764622583</v>
      </c>
      <c r="S6" s="3">
        <f t="shared" si="7"/>
        <v>79.960000000000008</v>
      </c>
      <c r="T6" s="3">
        <f t="shared" si="8"/>
        <v>71.633456576421381</v>
      </c>
      <c r="U6" s="3" t="e">
        <f t="shared" si="9"/>
        <v>#REF!</v>
      </c>
      <c r="V6" s="3">
        <f t="shared" si="10"/>
        <v>10620.908743264474</v>
      </c>
      <c r="W6" s="3">
        <f t="shared" si="11"/>
        <v>47.941601966124367</v>
      </c>
      <c r="X6" s="4">
        <f t="shared" si="0"/>
        <v>77.8596</v>
      </c>
    </row>
    <row r="7" spans="1:39" ht="13.95" customHeight="1" x14ac:dyDescent="0.3">
      <c r="B7" s="77">
        <v>1.5169444444444444</v>
      </c>
      <c r="C7" s="73">
        <v>93.05</v>
      </c>
      <c r="D7" s="73">
        <v>1.88</v>
      </c>
      <c r="E7" s="73">
        <v>11.86</v>
      </c>
      <c r="F7" s="73">
        <v>8.49</v>
      </c>
      <c r="G7" s="73">
        <v>1735.553038041201</v>
      </c>
      <c r="H7" s="73">
        <v>2427</v>
      </c>
      <c r="I7" s="78">
        <v>10.5</v>
      </c>
      <c r="J7" s="2">
        <f t="shared" si="1"/>
        <v>100.6914</v>
      </c>
      <c r="K7" s="1">
        <f t="shared" si="2"/>
        <v>93.05</v>
      </c>
      <c r="L7" s="3">
        <f t="shared" si="3"/>
        <v>576.18521478815251</v>
      </c>
      <c r="M7" s="3">
        <f t="shared" si="3"/>
        <v>412.03131437989288</v>
      </c>
      <c r="N7" s="3">
        <f t="shared" si="4"/>
        <v>17285.556443644575</v>
      </c>
      <c r="O7" s="3">
        <f t="shared" si="4"/>
        <v>12360.939431396786</v>
      </c>
      <c r="P7" s="3">
        <f t="shared" si="5"/>
        <v>78.025081169228997</v>
      </c>
      <c r="Q7" s="3">
        <f t="shared" si="5"/>
        <v>55.795907155610493</v>
      </c>
      <c r="R7" s="3">
        <f t="shared" si="6"/>
        <v>17285.556443644575</v>
      </c>
      <c r="S7" s="3">
        <f t="shared" si="7"/>
        <v>93.05</v>
      </c>
      <c r="T7" s="3">
        <f t="shared" si="8"/>
        <v>78.025081169228997</v>
      </c>
      <c r="U7" s="3" t="e">
        <f t="shared" si="9"/>
        <v>#REF!</v>
      </c>
      <c r="V7" s="3">
        <f t="shared" si="10"/>
        <v>12464.506405406451</v>
      </c>
      <c r="W7" s="3">
        <f t="shared" si="11"/>
        <v>56.263396968848568</v>
      </c>
      <c r="X7" s="4">
        <f t="shared" si="0"/>
        <v>100.6914</v>
      </c>
    </row>
    <row r="8" spans="1:39" ht="13.95" customHeight="1" x14ac:dyDescent="0.3">
      <c r="B8" s="77">
        <v>1.6208333333333333</v>
      </c>
      <c r="C8" s="73">
        <v>111.75</v>
      </c>
      <c r="D8" s="73">
        <v>2.2400000000000002</v>
      </c>
      <c r="E8" s="73">
        <v>11.55</v>
      </c>
      <c r="F8" s="73">
        <v>13.48</v>
      </c>
      <c r="G8" s="73">
        <v>1544.1739275824405</v>
      </c>
      <c r="H8" s="73">
        <v>2086</v>
      </c>
      <c r="I8" s="78">
        <v>12.4</v>
      </c>
      <c r="J8" s="2">
        <f t="shared" si="1"/>
        <v>155.69400000000002</v>
      </c>
      <c r="K8" s="1">
        <f t="shared" si="2"/>
        <v>111.75</v>
      </c>
      <c r="L8" s="3">
        <f t="shared" si="3"/>
        <v>647.59544384070819</v>
      </c>
      <c r="M8" s="3">
        <f t="shared" si="3"/>
        <v>479.38638542665387</v>
      </c>
      <c r="N8" s="3">
        <f t="shared" si="4"/>
        <v>19427.863315221246</v>
      </c>
      <c r="O8" s="3">
        <f t="shared" si="4"/>
        <v>14381.591562799616</v>
      </c>
      <c r="P8" s="3">
        <f t="shared" si="5"/>
        <v>87.695216353429245</v>
      </c>
      <c r="Q8" s="3">
        <f t="shared" si="5"/>
        <v>64.916906359859382</v>
      </c>
      <c r="R8" s="3">
        <f t="shared" si="6"/>
        <v>19427.863315221246</v>
      </c>
      <c r="S8" s="3">
        <f t="shared" si="7"/>
        <v>111.75</v>
      </c>
      <c r="T8" s="3">
        <f t="shared" si="8"/>
        <v>87.695216353429245</v>
      </c>
      <c r="U8" s="3" t="e">
        <f t="shared" si="9"/>
        <v>#REF!</v>
      </c>
      <c r="V8" s="3">
        <f t="shared" si="10"/>
        <v>14500.533861250387</v>
      </c>
      <c r="W8" s="3">
        <f t="shared" si="11"/>
        <v>65.453798679255229</v>
      </c>
      <c r="X8" s="4">
        <f t="shared" si="0"/>
        <v>155.69400000000002</v>
      </c>
    </row>
    <row r="9" spans="1:39" ht="13.95" customHeight="1" thickBot="1" x14ac:dyDescent="0.35">
      <c r="B9" s="79">
        <v>1.7766666666666666</v>
      </c>
      <c r="C9" s="80">
        <v>139.79999999999998</v>
      </c>
      <c r="D9" s="80">
        <v>2.68</v>
      </c>
      <c r="E9" s="80"/>
      <c r="F9" s="80"/>
      <c r="G9" s="80">
        <v>1361.8412878381814</v>
      </c>
      <c r="H9" s="80">
        <v>1782</v>
      </c>
      <c r="I9" s="81">
        <v>14.4</v>
      </c>
      <c r="J9" s="2"/>
      <c r="K9" s="1">
        <f t="shared" si="2"/>
        <v>139.79999999999998</v>
      </c>
      <c r="L9" s="3">
        <f t="shared" si="3"/>
        <v>734.29995766057527</v>
      </c>
      <c r="M9" s="3">
        <f t="shared" si="3"/>
        <v>561.16722783389457</v>
      </c>
      <c r="N9" s="3">
        <f t="shared" si="4"/>
        <v>22028.998729817256</v>
      </c>
      <c r="O9" s="3">
        <f t="shared" si="4"/>
        <v>16835.016835016839</v>
      </c>
      <c r="P9" s="3">
        <f t="shared" si="5"/>
        <v>99.436452599869568</v>
      </c>
      <c r="Q9" s="3">
        <f t="shared" si="5"/>
        <v>75.991395435839905</v>
      </c>
      <c r="R9" s="3">
        <f t="shared" si="6"/>
        <v>22028.99872981726</v>
      </c>
      <c r="S9" s="3">
        <f t="shared" si="7"/>
        <v>139.79999999999998</v>
      </c>
      <c r="T9" s="3">
        <f t="shared" si="8"/>
        <v>99.436452599869583</v>
      </c>
      <c r="U9" s="3" t="e">
        <f t="shared" si="9"/>
        <v>#REF!</v>
      </c>
      <c r="V9" s="3">
        <f t="shared" si="10"/>
        <v>16835.887969335286</v>
      </c>
      <c r="W9" s="3">
        <f t="shared" si="11"/>
        <v>75.995327639360681</v>
      </c>
      <c r="X9" s="4">
        <f t="shared" si="0"/>
        <v>0</v>
      </c>
    </row>
    <row r="10" spans="1:39" ht="13.95" customHeight="1" x14ac:dyDescent="0.3"/>
    <row r="11" spans="1:39" ht="13.95" customHeight="1" x14ac:dyDescent="0.3">
      <c r="B11" s="5"/>
      <c r="C11" s="6"/>
      <c r="D11" s="6"/>
      <c r="E11" s="6"/>
      <c r="F11" s="6"/>
      <c r="G11" s="6"/>
      <c r="H11" s="6"/>
      <c r="I11" s="6"/>
      <c r="J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39" ht="13.95" customHeight="1" thickBot="1" x14ac:dyDescent="0.35">
      <c r="B12" s="5"/>
      <c r="C12" s="6"/>
      <c r="D12" s="6"/>
      <c r="E12" s="6"/>
      <c r="F12" s="6"/>
      <c r="G12" s="6"/>
      <c r="H12" s="6"/>
      <c r="I12" s="6"/>
      <c r="J12" s="2"/>
      <c r="L12" s="3"/>
      <c r="M12" s="3"/>
      <c r="N12" s="3" t="s">
        <v>41</v>
      </c>
      <c r="O12" s="3" t="s">
        <v>42</v>
      </c>
      <c r="P12" s="3" t="s">
        <v>43</v>
      </c>
      <c r="Q12" s="3"/>
      <c r="R12" s="3"/>
      <c r="S12" s="3"/>
      <c r="T12" s="3"/>
      <c r="U12" s="3"/>
      <c r="V12" s="3"/>
      <c r="W12" s="3"/>
      <c r="X12" s="3"/>
      <c r="Z12" t="s">
        <v>32</v>
      </c>
      <c r="AC12" t="s">
        <v>33</v>
      </c>
      <c r="AF12" s="30"/>
      <c r="AG12" s="30"/>
      <c r="AH12" s="30"/>
      <c r="AI12" s="30"/>
      <c r="AJ12" s="30"/>
      <c r="AK12" s="30"/>
      <c r="AL12" s="30"/>
      <c r="AM12" s="30"/>
    </row>
    <row r="13" spans="1:39" ht="13.95" customHeight="1" x14ac:dyDescent="0.3">
      <c r="A13" s="3" t="s">
        <v>28</v>
      </c>
      <c r="B13" s="11" t="s">
        <v>29</v>
      </c>
      <c r="C13" s="12"/>
      <c r="D13" s="12"/>
      <c r="E13" s="6"/>
      <c r="F13" s="6"/>
      <c r="G13" s="6"/>
      <c r="H13" s="6"/>
      <c r="I13" s="6"/>
      <c r="J13" s="2"/>
      <c r="L13" s="3"/>
      <c r="M13" s="3"/>
      <c r="N13" s="3">
        <v>3482.2983168891469</v>
      </c>
      <c r="O13" s="3">
        <f>N13*CalArduinoHiTec!$AD$35+CalArduinoHiTec!$AD$36</f>
        <v>7872.3706833287897</v>
      </c>
      <c r="P13" s="3">
        <f t="shared" ref="P13:P19" si="12">O13/60*$AA$13</f>
        <v>262.41235611095965</v>
      </c>
      <c r="Q13" s="3">
        <f>1/P13/0.000001</f>
        <v>3810.7961637948006</v>
      </c>
      <c r="R13" s="3"/>
      <c r="S13" s="3"/>
      <c r="T13" s="3"/>
      <c r="U13" s="3"/>
      <c r="V13" s="3"/>
      <c r="W13" s="3"/>
      <c r="X13" s="3"/>
      <c r="Z13" s="17" t="s">
        <v>3</v>
      </c>
      <c r="AA13" s="18">
        <v>2</v>
      </c>
      <c r="AC13" s="17"/>
      <c r="AD13" s="23" t="s">
        <v>22</v>
      </c>
      <c r="AE13" s="7"/>
      <c r="AF13" s="30"/>
      <c r="AG13" s="30"/>
      <c r="AH13" s="30"/>
      <c r="AI13" s="30"/>
      <c r="AJ13" s="30"/>
      <c r="AK13" s="30"/>
      <c r="AL13" s="30"/>
      <c r="AM13" s="30"/>
    </row>
    <row r="14" spans="1:39" x14ac:dyDescent="0.3">
      <c r="A14" s="3"/>
      <c r="B14" s="13" t="s">
        <v>30</v>
      </c>
      <c r="C14" s="14"/>
      <c r="D14" s="14"/>
      <c r="E14" s="6"/>
      <c r="F14" s="6"/>
      <c r="G14" s="6"/>
      <c r="H14" s="6"/>
      <c r="I14" s="6"/>
      <c r="J14" s="2"/>
      <c r="L14" s="3"/>
      <c r="M14" s="3"/>
      <c r="N14" s="3">
        <v>4769.4753577106521</v>
      </c>
      <c r="O14" s="3">
        <f>N14*CalArduinoHiTec!$AD$35+CalArduinoHiTec!$AD$36</f>
        <v>9237.0430960776539</v>
      </c>
      <c r="P14" s="3">
        <f t="shared" si="12"/>
        <v>307.90143653592179</v>
      </c>
      <c r="Q14" s="3">
        <f t="shared" ref="Q14:Q19" si="13">1/P14/0.000001</f>
        <v>3247.7925769058029</v>
      </c>
      <c r="R14" s="3"/>
      <c r="S14" s="3"/>
      <c r="T14" s="3"/>
      <c r="U14" s="3"/>
      <c r="V14" s="3"/>
      <c r="W14" s="3"/>
      <c r="X14" s="3"/>
      <c r="Z14" s="19" t="s">
        <v>4</v>
      </c>
      <c r="AA14" s="20">
        <v>4800</v>
      </c>
      <c r="AC14" s="24" t="s">
        <v>16</v>
      </c>
      <c r="AD14" s="25">
        <v>0</v>
      </c>
      <c r="AF14" s="30"/>
      <c r="AG14" s="30"/>
      <c r="AH14" s="30"/>
      <c r="AI14" s="30"/>
      <c r="AJ14" s="30"/>
      <c r="AK14" s="30"/>
      <c r="AL14" s="30"/>
      <c r="AM14" s="30"/>
    </row>
    <row r="15" spans="1:39" ht="13.95" customHeight="1" thickBot="1" x14ac:dyDescent="0.35">
      <c r="A15" s="3"/>
      <c r="B15" s="15" t="s">
        <v>31</v>
      </c>
      <c r="C15" s="16"/>
      <c r="D15" s="16"/>
      <c r="E15" s="6"/>
      <c r="F15" s="6"/>
      <c r="G15" s="6"/>
      <c r="H15" s="6"/>
      <c r="I15" s="6"/>
      <c r="J15" s="2"/>
      <c r="L15" s="3"/>
      <c r="M15" s="3"/>
      <c r="N15" s="3">
        <v>8280.4305823902851</v>
      </c>
      <c r="O15" s="3">
        <f>N15*CalArduinoHiTec!$AD$35+CalArduinoHiTec!$AD$36</f>
        <v>12959.377775430594</v>
      </c>
      <c r="P15" s="3">
        <f t="shared" si="12"/>
        <v>431.97925918101981</v>
      </c>
      <c r="Q15" s="3">
        <f t="shared" si="13"/>
        <v>2314.9259570838622</v>
      </c>
      <c r="R15" s="3"/>
      <c r="S15" s="3"/>
      <c r="X15" s="3"/>
      <c r="Z15" s="21" t="s">
        <v>5</v>
      </c>
      <c r="AA15" s="22">
        <v>12</v>
      </c>
      <c r="AC15" s="26" t="s">
        <v>17</v>
      </c>
      <c r="AD15" s="27">
        <v>5</v>
      </c>
      <c r="AF15" s="30"/>
      <c r="AG15" s="30"/>
      <c r="AH15" s="93"/>
      <c r="AI15" s="93"/>
      <c r="AJ15" s="30"/>
      <c r="AK15" s="30"/>
      <c r="AL15" s="30"/>
      <c r="AM15" s="30"/>
    </row>
    <row r="16" spans="1:39" ht="13.95" customHeight="1" x14ac:dyDescent="0.3">
      <c r="B16" s="5"/>
      <c r="C16" s="6"/>
      <c r="D16" s="6"/>
      <c r="E16" s="6"/>
      <c r="F16" s="6"/>
      <c r="G16" s="6"/>
      <c r="H16" s="6"/>
      <c r="I16" s="6"/>
      <c r="J16" s="2"/>
      <c r="L16" s="3"/>
      <c r="M16" s="3"/>
      <c r="N16" s="3">
        <v>11025.358324145536</v>
      </c>
      <c r="O16" s="3">
        <f>N16*CalArduinoHiTec!$AD$35+CalArduinoHiTec!$AD$36</f>
        <v>15869.565764622583</v>
      </c>
      <c r="P16" s="3">
        <f t="shared" si="12"/>
        <v>528.98552548741941</v>
      </c>
      <c r="Q16" s="3">
        <f t="shared" si="13"/>
        <v>1890.4108937169444</v>
      </c>
      <c r="R16" s="3"/>
      <c r="S16" s="3"/>
      <c r="X16" s="3"/>
      <c r="AF16" s="30"/>
      <c r="AG16" s="30"/>
      <c r="AH16" s="30"/>
      <c r="AI16" s="30"/>
      <c r="AJ16" s="30"/>
      <c r="AK16" s="30"/>
      <c r="AL16" s="30"/>
      <c r="AM16" s="30"/>
    </row>
    <row r="17" spans="2:40" ht="24" thickBot="1" x14ac:dyDescent="0.5">
      <c r="B17" s="5"/>
      <c r="C17" s="6"/>
      <c r="D17" s="6"/>
      <c r="E17" s="6"/>
      <c r="F17" s="6"/>
      <c r="G17" s="6"/>
      <c r="H17" s="6"/>
      <c r="I17" s="6"/>
      <c r="J17" s="2"/>
      <c r="L17" s="3"/>
      <c r="M17" s="3"/>
      <c r="N17" s="3">
        <v>12360.939431396786</v>
      </c>
      <c r="O17" s="3">
        <f>N17*CalArduinoHiTec!$AD$35+CalArduinoHiTec!$AD$36</f>
        <v>17285.556443644575</v>
      </c>
      <c r="P17" s="3">
        <f t="shared" si="12"/>
        <v>576.18521478815251</v>
      </c>
      <c r="Q17" s="3">
        <f t="shared" si="13"/>
        <v>1735.553038041201</v>
      </c>
      <c r="R17" s="3"/>
      <c r="S17" s="3"/>
      <c r="X17" s="3"/>
      <c r="Z17" t="s">
        <v>35</v>
      </c>
      <c r="AF17" s="94" t="s">
        <v>54</v>
      </c>
      <c r="AG17" s="5" t="s">
        <v>57</v>
      </c>
      <c r="AH17" s="5"/>
      <c r="AI17" s="5"/>
    </row>
    <row r="18" spans="2:40" ht="15" thickBot="1" x14ac:dyDescent="0.35">
      <c r="B18" s="5"/>
      <c r="C18" s="6"/>
      <c r="D18" s="6"/>
      <c r="E18" s="6"/>
      <c r="F18" s="6"/>
      <c r="G18" s="6"/>
      <c r="H18" s="6"/>
      <c r="I18" s="6"/>
      <c r="J18" s="2"/>
      <c r="L18" s="3"/>
      <c r="M18" s="3"/>
      <c r="N18" s="3">
        <v>14381.591562799616</v>
      </c>
      <c r="O18" s="3">
        <f>N18*CalArduinoHiTec!$AD$35+CalArduinoHiTec!$AD$36</f>
        <v>19427.863315221246</v>
      </c>
      <c r="P18" s="3">
        <f t="shared" si="12"/>
        <v>647.59544384070819</v>
      </c>
      <c r="Q18" s="3">
        <f t="shared" si="13"/>
        <v>1544.1739275824405</v>
      </c>
      <c r="R18" s="3"/>
      <c r="S18" s="3"/>
      <c r="T18" s="3"/>
      <c r="V18" s="3"/>
      <c r="W18" s="3"/>
      <c r="X18" s="3"/>
      <c r="Z18" s="34">
        <v>210</v>
      </c>
      <c r="AA18" s="35" t="s">
        <v>34</v>
      </c>
      <c r="AB18" s="36"/>
      <c r="AC18" s="35"/>
      <c r="AD18" s="35"/>
      <c r="AE18" s="37"/>
      <c r="AG18" s="62" t="s">
        <v>15</v>
      </c>
      <c r="AH18" s="87">
        <f>AA26</f>
        <v>3.3</v>
      </c>
      <c r="AI18" s="64"/>
      <c r="AJ18" s="29"/>
    </row>
    <row r="19" spans="2:40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>
        <v>16835.016835016839</v>
      </c>
      <c r="O19" s="3">
        <f>N19*CalArduinoHiTec!$AD$35+CalArduinoHiTec!$AD$36</f>
        <v>22028.99872981726</v>
      </c>
      <c r="P19" s="3">
        <f t="shared" si="12"/>
        <v>734.29995766057539</v>
      </c>
      <c r="Q19" s="3">
        <f t="shared" si="13"/>
        <v>1361.8412878381814</v>
      </c>
      <c r="R19" s="3"/>
      <c r="S19" s="3"/>
      <c r="T19" s="3"/>
      <c r="U19" s="3"/>
      <c r="V19" s="3"/>
      <c r="W19" s="3"/>
      <c r="X19" s="3"/>
      <c r="Z19" s="8"/>
      <c r="AB19" s="8"/>
      <c r="AC19" s="8"/>
      <c r="AG19" s="65" t="s">
        <v>14</v>
      </c>
      <c r="AH19" s="66">
        <f>AA25</f>
        <v>0</v>
      </c>
      <c r="AI19" s="45"/>
      <c r="AJ19" s="31"/>
    </row>
    <row r="20" spans="2:40" ht="15" thickBot="1" x14ac:dyDescent="0.35"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Z20" t="s">
        <v>36</v>
      </c>
      <c r="AG20" s="65" t="s">
        <v>17</v>
      </c>
      <c r="AH20" s="66">
        <f>AD15</f>
        <v>5</v>
      </c>
      <c r="AI20" s="30"/>
      <c r="AJ20" s="31"/>
    </row>
    <row r="21" spans="2:40" ht="15" thickBot="1" x14ac:dyDescent="0.35">
      <c r="Z21" s="38" t="s">
        <v>6</v>
      </c>
      <c r="AA21" s="39">
        <f>AA14*AA15/AB21</f>
        <v>22153.846153846152</v>
      </c>
      <c r="AB21" s="40">
        <v>2.6</v>
      </c>
      <c r="AC21" s="35" t="s">
        <v>9</v>
      </c>
      <c r="AD21" s="41"/>
      <c r="AE21" s="8"/>
      <c r="AG21" s="65" t="s">
        <v>16</v>
      </c>
      <c r="AH21" s="66">
        <f>AD14</f>
        <v>0</v>
      </c>
      <c r="AI21" s="30"/>
      <c r="AJ21" s="31"/>
    </row>
    <row r="22" spans="2:40" x14ac:dyDescent="0.3">
      <c r="AE22" s="8"/>
      <c r="AG22" s="65" t="s">
        <v>27</v>
      </c>
      <c r="AH22" s="90">
        <f>AA21/100</f>
        <v>221.53846153846152</v>
      </c>
      <c r="AI22" s="30"/>
      <c r="AJ22" s="31"/>
    </row>
    <row r="23" spans="2:40" ht="15" thickBot="1" x14ac:dyDescent="0.35">
      <c r="C23" s="6"/>
      <c r="D23" s="6"/>
      <c r="E23" s="6"/>
      <c r="F23" s="6"/>
      <c r="G23" s="6"/>
      <c r="H23" s="6"/>
      <c r="I23" s="6"/>
      <c r="J23" s="9"/>
      <c r="K23" s="6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Z23" t="s">
        <v>37</v>
      </c>
      <c r="AG23" s="65" t="s">
        <v>18</v>
      </c>
      <c r="AH23" s="66">
        <f>AC26</f>
        <v>180</v>
      </c>
      <c r="AI23" s="30"/>
      <c r="AJ23" s="31"/>
      <c r="AN23" s="3"/>
    </row>
    <row r="24" spans="2:40" ht="28.8" x14ac:dyDescent="0.3">
      <c r="C24" s="6"/>
      <c r="D24" s="6"/>
      <c r="E24" s="6"/>
      <c r="F24" s="6"/>
      <c r="G24" s="6"/>
      <c r="H24" s="6"/>
      <c r="I24" s="6"/>
      <c r="J24" s="9"/>
      <c r="K24" s="6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Z24" s="17"/>
      <c r="AA24" s="42" t="s">
        <v>19</v>
      </c>
      <c r="AB24" s="28"/>
      <c r="AC24" s="42" t="s">
        <v>20</v>
      </c>
      <c r="AD24" s="29" t="s">
        <v>109</v>
      </c>
      <c r="AG24" s="65" t="s">
        <v>13</v>
      </c>
      <c r="AH24" s="66">
        <f>AC25</f>
        <v>0</v>
      </c>
      <c r="AI24" s="30"/>
      <c r="AJ24" s="31"/>
    </row>
    <row r="25" spans="2:40" x14ac:dyDescent="0.3">
      <c r="C25" s="6"/>
      <c r="D25" s="6"/>
      <c r="E25" s="6"/>
      <c r="F25" s="6"/>
      <c r="G25" s="6"/>
      <c r="H25" s="6"/>
      <c r="I25" s="6"/>
      <c r="J25" s="9"/>
      <c r="K25" s="6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Z25" s="57" t="s">
        <v>14</v>
      </c>
      <c r="AA25" s="58">
        <v>0</v>
      </c>
      <c r="AB25" s="45" t="s">
        <v>13</v>
      </c>
      <c r="AC25" s="59">
        <v>0</v>
      </c>
      <c r="AD25" s="89">
        <f>AD35/AA21*100</f>
        <v>-17.719588605194325</v>
      </c>
      <c r="AE25" t="s">
        <v>106</v>
      </c>
      <c r="AG25" s="65" t="s">
        <v>121</v>
      </c>
      <c r="AH25" s="66">
        <f>AA34</f>
        <v>0</v>
      </c>
      <c r="AI25" s="67">
        <f>AA33</f>
        <v>7447.8773934613846</v>
      </c>
      <c r="AJ25" s="68">
        <f>AA32</f>
        <v>-435.01106108560197</v>
      </c>
    </row>
    <row r="26" spans="2:40" x14ac:dyDescent="0.3">
      <c r="B26" t="s">
        <v>55</v>
      </c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s="57" t="s">
        <v>15</v>
      </c>
      <c r="AA26" s="58">
        <v>3.3</v>
      </c>
      <c r="AB26" s="45" t="s">
        <v>18</v>
      </c>
      <c r="AC26" s="59">
        <v>180</v>
      </c>
      <c r="AD26" s="60">
        <v>77</v>
      </c>
      <c r="AG26" s="65" t="s">
        <v>21</v>
      </c>
      <c r="AH26" s="66" t="e">
        <f>AA36</f>
        <v>#REF!</v>
      </c>
      <c r="AI26" s="67" t="e">
        <f>AA35</f>
        <v>#REF!</v>
      </c>
      <c r="AJ26" s="31"/>
    </row>
    <row r="27" spans="2:40" ht="15" thickBot="1" x14ac:dyDescent="0.35">
      <c r="B27" t="s">
        <v>51</v>
      </c>
      <c r="C27" s="6" t="s">
        <v>52</v>
      </c>
      <c r="D27" s="6" t="s">
        <v>53</v>
      </c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9"/>
      <c r="AA27" s="30" t="s">
        <v>40</v>
      </c>
      <c r="AB27" s="30"/>
      <c r="AC27" s="61"/>
      <c r="AD27" s="89">
        <f>(AD26-AD25)/(AA26-AA25)</f>
        <v>28.702905637937679</v>
      </c>
      <c r="AG27" s="65" t="s">
        <v>124</v>
      </c>
      <c r="AH27" s="91">
        <f>AD28</f>
        <v>-17.719588605194332</v>
      </c>
      <c r="AI27" s="92">
        <f>AD27</f>
        <v>28.702905637937679</v>
      </c>
      <c r="AJ27" s="31"/>
    </row>
    <row r="28" spans="2:40" x14ac:dyDescent="0.3">
      <c r="B28" s="85">
        <v>61</v>
      </c>
      <c r="C28" s="6">
        <f>B28/180*(2.4-0.53)+0.53</f>
        <v>1.1637222222222223</v>
      </c>
      <c r="D28" s="88">
        <f>(C28-1)*180</f>
        <v>29.47000000000002</v>
      </c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19"/>
      <c r="AA28" s="30"/>
      <c r="AB28" s="30"/>
      <c r="AC28" s="61"/>
      <c r="AD28" s="89">
        <f>AD26-AD27*(AA26-AA25)</f>
        <v>-17.719588605194332</v>
      </c>
      <c r="AG28" s="65" t="s">
        <v>122</v>
      </c>
      <c r="AH28" s="66">
        <f>AD35</f>
        <v>-3925.570398689204</v>
      </c>
      <c r="AI28" s="69">
        <f>AD34</f>
        <v>0.94199104022164515</v>
      </c>
      <c r="AJ28" s="31"/>
    </row>
    <row r="29" spans="2:40" ht="15" thickBot="1" x14ac:dyDescent="0.35">
      <c r="B29" s="73">
        <v>65</v>
      </c>
      <c r="C29" s="6">
        <f t="shared" ref="C29:C34" si="14">B29/180*(2.4-0.53)+0.53</f>
        <v>1.2052777777777779</v>
      </c>
      <c r="D29" s="88">
        <f t="shared" ref="D29:D34" si="15">(C29-1)*180</f>
        <v>36.950000000000017</v>
      </c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21"/>
      <c r="AA29" s="32"/>
      <c r="AB29" s="32"/>
      <c r="AC29" s="47"/>
      <c r="AD29" s="48" t="s">
        <v>124</v>
      </c>
      <c r="AG29" s="70" t="s">
        <v>123</v>
      </c>
      <c r="AH29" s="71">
        <f>AD33</f>
        <v>4180.4182204512181</v>
      </c>
      <c r="AI29" s="72">
        <f>AD32</f>
        <v>1.0602056822563426</v>
      </c>
      <c r="AJ29" s="33"/>
    </row>
    <row r="30" spans="2:40" x14ac:dyDescent="0.3">
      <c r="B30" s="73">
        <v>77</v>
      </c>
      <c r="C30" s="6">
        <f t="shared" si="14"/>
        <v>1.3299444444444444</v>
      </c>
      <c r="D30" s="88">
        <f t="shared" si="15"/>
        <v>59.389999999999986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2:40" ht="15" thickBot="1" x14ac:dyDescent="0.35">
      <c r="B31" s="73">
        <v>88</v>
      </c>
      <c r="C31" s="6">
        <f t="shared" si="14"/>
        <v>1.4442222222222223</v>
      </c>
      <c r="D31" s="88">
        <f t="shared" si="15"/>
        <v>79.960000000000008</v>
      </c>
      <c r="E31" s="6"/>
      <c r="F31" s="6"/>
      <c r="G31" s="6"/>
      <c r="H31" s="6"/>
      <c r="I31" s="6"/>
      <c r="J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t="s">
        <v>38</v>
      </c>
      <c r="AB31" t="s">
        <v>44</v>
      </c>
    </row>
    <row r="32" spans="2:40" x14ac:dyDescent="0.3">
      <c r="B32" s="73">
        <v>95</v>
      </c>
      <c r="C32" s="6">
        <f t="shared" si="14"/>
        <v>1.5169444444444444</v>
      </c>
      <c r="D32" s="88">
        <f t="shared" si="15"/>
        <v>93.05</v>
      </c>
      <c r="Z32" s="49" t="s">
        <v>121</v>
      </c>
      <c r="AA32" s="50">
        <f>INDEX(LINEST($O$2:$O$9,$D$2:$D$9^{1,2},FALSE,FALSE),1)</f>
        <v>-435.01106108560197</v>
      </c>
      <c r="AB32" s="28"/>
      <c r="AC32" s="51" t="s">
        <v>123</v>
      </c>
      <c r="AD32" s="52">
        <f>CalArduinoHiTec!AD35</f>
        <v>1.0602056822563426</v>
      </c>
    </row>
    <row r="33" spans="2:39" x14ac:dyDescent="0.3">
      <c r="B33" s="73">
        <v>105</v>
      </c>
      <c r="C33" s="6">
        <f t="shared" si="14"/>
        <v>1.6208333333333333</v>
      </c>
      <c r="D33" s="88">
        <f t="shared" si="15"/>
        <v>111.75</v>
      </c>
      <c r="Z33" s="43"/>
      <c r="AA33" s="53">
        <f>INDEX(LINEST($O$2:$O$9,$D$2:$D$9^{1,2},FALSE,FALSE),2)</f>
        <v>7447.8773934613846</v>
      </c>
      <c r="AB33" s="30"/>
      <c r="AC33" s="44"/>
      <c r="AD33" s="46">
        <f>CalArduinoHiTec!AD36</f>
        <v>4180.4182204512181</v>
      </c>
      <c r="AL33" s="3"/>
      <c r="AM33" s="3"/>
    </row>
    <row r="34" spans="2:39" ht="15" thickBot="1" x14ac:dyDescent="0.35">
      <c r="B34" s="80">
        <v>120</v>
      </c>
      <c r="C34" s="6">
        <f t="shared" si="14"/>
        <v>1.7766666666666666</v>
      </c>
      <c r="D34" s="88">
        <f t="shared" si="15"/>
        <v>139.79999999999998</v>
      </c>
      <c r="Z34" s="43"/>
      <c r="AA34" s="44">
        <f>INDEX(LINEST($O$2:$O$9,$D$2:$D$9^{1,2},FALSE,FALSE),3)</f>
        <v>0</v>
      </c>
      <c r="AB34" s="30"/>
      <c r="AC34" s="44" t="s">
        <v>122</v>
      </c>
      <c r="AD34" s="46">
        <f>CalArduinoHiTec!AD37</f>
        <v>0.94199104022164515</v>
      </c>
      <c r="AK34" s="3"/>
    </row>
    <row r="35" spans="2:39" x14ac:dyDescent="0.3">
      <c r="Z35" s="43" t="s">
        <v>21</v>
      </c>
      <c r="AA35" s="54" t="e">
        <f>INDEX(LINEST($R$2:$R$9,#REF!),1)</f>
        <v>#REF!</v>
      </c>
      <c r="AB35" s="30"/>
      <c r="AC35" s="44"/>
      <c r="AD35" s="46">
        <f>CalArduinoHiTec!AD38</f>
        <v>-3925.570398689204</v>
      </c>
    </row>
    <row r="36" spans="2:39" ht="15" thickBot="1" x14ac:dyDescent="0.35">
      <c r="Z36" s="55"/>
      <c r="AA36" s="56" t="e">
        <f>INDEX(LINEST($R$2:$R$9,#REF!),2)</f>
        <v>#REF!</v>
      </c>
      <c r="AB36" s="32"/>
      <c r="AC36" s="32"/>
      <c r="AD36" s="33"/>
      <c r="AI36" s="3"/>
      <c r="AJ3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CalPhotonTurnigy</vt:lpstr>
      <vt:lpstr>TauPhotonTurnigy</vt:lpstr>
      <vt:lpstr>CalArduinoTurnigy</vt:lpstr>
      <vt:lpstr>CalArduinoHiTec</vt:lpstr>
      <vt:lpstr>CalPhotonHiTec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Dave Gutz</cp:lastModifiedBy>
  <dcterms:created xsi:type="dcterms:W3CDTF">2016-09-13T12:10:02Z</dcterms:created>
  <dcterms:modified xsi:type="dcterms:W3CDTF">2016-11-11T08:53:15Z</dcterms:modified>
</cp:coreProperties>
</file>