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6516"/>
  </bookViews>
  <sheets>
    <sheet name="CalPhotonTurnigy" sheetId="4" r:id="rId1"/>
    <sheet name="CalArduinoTurnigy" sheetId="3" r:id="rId2"/>
    <sheet name="CalArduinoHiTec" sheetId="1" r:id="rId3"/>
    <sheet name="CalPhotonHiTec" sheetId="2" r:id="rId4"/>
  </sheets>
  <calcPr calcId="152511"/>
</workbook>
</file>

<file path=xl/calcChain.xml><?xml version="1.0" encoding="utf-8"?>
<calcChain xmlns="http://schemas.openxmlformats.org/spreadsheetml/2006/main">
  <c r="W26" i="4" l="1"/>
  <c r="W25" i="4"/>
  <c r="W24" i="4"/>
  <c r="W23" i="4"/>
  <c r="W22" i="4"/>
  <c r="W21" i="4"/>
  <c r="W20" i="4"/>
  <c r="W19" i="4"/>
  <c r="W18" i="4"/>
  <c r="W5" i="4"/>
  <c r="W6" i="4"/>
  <c r="W7" i="4"/>
  <c r="W8" i="4"/>
  <c r="W9" i="4"/>
  <c r="W10" i="4"/>
  <c r="W11" i="4"/>
  <c r="W12" i="4"/>
  <c r="W13" i="4"/>
  <c r="W14" i="4"/>
  <c r="W15" i="4"/>
  <c r="W4" i="4"/>
  <c r="V26" i="4"/>
  <c r="V25" i="4"/>
  <c r="V24" i="4"/>
  <c r="V23" i="4"/>
  <c r="V22" i="4"/>
  <c r="V21" i="4"/>
  <c r="V20" i="4"/>
  <c r="V19" i="4"/>
  <c r="V18" i="4"/>
  <c r="V15" i="4"/>
  <c r="V14" i="4"/>
  <c r="V13" i="4"/>
  <c r="V12" i="4"/>
  <c r="V11" i="4"/>
  <c r="V10" i="4"/>
  <c r="V9" i="4"/>
  <c r="V8" i="4"/>
  <c r="V7" i="4"/>
  <c r="V6" i="4"/>
  <c r="V5" i="4"/>
  <c r="V4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88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67" i="4"/>
  <c r="V67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68" i="4"/>
  <c r="AE51" i="4"/>
  <c r="AE52" i="4" s="1"/>
  <c r="AE50" i="4"/>
  <c r="AE49" i="4"/>
  <c r="P69" i="4"/>
  <c r="M69" i="4"/>
  <c r="O69" i="4" s="1"/>
  <c r="K69" i="4"/>
  <c r="L69" i="4" s="1"/>
  <c r="J69" i="4"/>
  <c r="T69" i="4" s="1"/>
  <c r="B69" i="4"/>
  <c r="P70" i="4"/>
  <c r="M70" i="4"/>
  <c r="O70" i="4" s="1"/>
  <c r="K70" i="4"/>
  <c r="S70" i="4" s="1"/>
  <c r="J70" i="4"/>
  <c r="T70" i="4" s="1"/>
  <c r="B70" i="4"/>
  <c r="P71" i="4"/>
  <c r="M71" i="4"/>
  <c r="O71" i="4" s="1"/>
  <c r="K71" i="4"/>
  <c r="L71" i="4" s="1"/>
  <c r="J71" i="4"/>
  <c r="T71" i="4" s="1"/>
  <c r="B71" i="4"/>
  <c r="P68" i="4"/>
  <c r="M68" i="4"/>
  <c r="O68" i="4" s="1"/>
  <c r="K68" i="4"/>
  <c r="L68" i="4" s="1"/>
  <c r="J68" i="4"/>
  <c r="T68" i="4" s="1"/>
  <c r="B68" i="4"/>
  <c r="N3" i="4"/>
  <c r="M3" i="4"/>
  <c r="O3" i="4" s="1"/>
  <c r="J3" i="4"/>
  <c r="AV5" i="4"/>
  <c r="N5" i="4"/>
  <c r="P5" i="4" s="1"/>
  <c r="M5" i="4"/>
  <c r="O5" i="4" s="1"/>
  <c r="K5" i="4"/>
  <c r="L5" i="4" s="1"/>
  <c r="J5" i="4"/>
  <c r="T5" i="4" s="1"/>
  <c r="B5" i="4"/>
  <c r="AV4" i="4"/>
  <c r="N4" i="4"/>
  <c r="P4" i="4" s="1"/>
  <c r="M4" i="4"/>
  <c r="O4" i="4" s="1"/>
  <c r="K4" i="4"/>
  <c r="S4" i="4" s="1"/>
  <c r="J4" i="4"/>
  <c r="T4" i="4" s="1"/>
  <c r="B4" i="4"/>
  <c r="AV7" i="4"/>
  <c r="N7" i="4"/>
  <c r="P7" i="4" s="1"/>
  <c r="M7" i="4"/>
  <c r="O7" i="4" s="1"/>
  <c r="K7" i="4"/>
  <c r="S7" i="4" s="1"/>
  <c r="J7" i="4"/>
  <c r="T7" i="4" s="1"/>
  <c r="B7" i="4"/>
  <c r="AV6" i="4"/>
  <c r="N6" i="4"/>
  <c r="P6" i="4" s="1"/>
  <c r="M6" i="4"/>
  <c r="O6" i="4" s="1"/>
  <c r="K6" i="4"/>
  <c r="L6" i="4" s="1"/>
  <c r="J6" i="4"/>
  <c r="T6" i="4" s="1"/>
  <c r="B6" i="4"/>
  <c r="AE48" i="4"/>
  <c r="AE53" i="4" l="1"/>
  <c r="S68" i="4"/>
  <c r="S69" i="4"/>
  <c r="L70" i="4"/>
  <c r="S71" i="4"/>
  <c r="L7" i="4"/>
  <c r="L4" i="4"/>
  <c r="S5" i="4"/>
  <c r="S6" i="4"/>
  <c r="AA36" i="2"/>
  <c r="AD35" i="2"/>
  <c r="AA35" i="2"/>
  <c r="AD34" i="2"/>
  <c r="AA34" i="2"/>
  <c r="D34" i="2"/>
  <c r="C34" i="2"/>
  <c r="AD33" i="2"/>
  <c r="AA33" i="2"/>
  <c r="D33" i="2"/>
  <c r="C33" i="2"/>
  <c r="AD32" i="2"/>
  <c r="AA32" i="2"/>
  <c r="D32" i="2"/>
  <c r="C32" i="2"/>
  <c r="D31" i="2"/>
  <c r="C31" i="2"/>
  <c r="D30" i="2"/>
  <c r="C30" i="2"/>
  <c r="AI29" i="2"/>
  <c r="AH29" i="2"/>
  <c r="D29" i="2"/>
  <c r="C29" i="2"/>
  <c r="AI28" i="2"/>
  <c r="AH28" i="2"/>
  <c r="AD28" i="2"/>
  <c r="D28" i="2"/>
  <c r="C28" i="2"/>
  <c r="AI27" i="2"/>
  <c r="AH27" i="2"/>
  <c r="AD27" i="2"/>
  <c r="AI26" i="2"/>
  <c r="AH26" i="2"/>
  <c r="AJ25" i="2"/>
  <c r="AI25" i="2"/>
  <c r="AH25" i="2"/>
  <c r="AD25" i="2"/>
  <c r="AH24" i="2"/>
  <c r="AH23" i="2"/>
  <c r="AH22" i="2"/>
  <c r="AH21" i="2"/>
  <c r="AA21" i="2"/>
  <c r="AH20" i="2"/>
  <c r="AH19" i="2"/>
  <c r="Q19" i="2"/>
  <c r="P19" i="2"/>
  <c r="O19" i="2"/>
  <c r="AH18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B2" i="2"/>
  <c r="X1" i="2"/>
  <c r="AA39" i="1"/>
  <c r="AD38" i="1"/>
  <c r="AA38" i="1"/>
  <c r="AD37" i="1"/>
  <c r="AA37" i="1"/>
  <c r="D37" i="1"/>
  <c r="C37" i="1"/>
  <c r="AD36" i="1"/>
  <c r="AA36" i="1"/>
  <c r="D36" i="1"/>
  <c r="C36" i="1"/>
  <c r="AD35" i="1"/>
  <c r="AA35" i="1"/>
  <c r="D35" i="1"/>
  <c r="C35" i="1"/>
  <c r="D34" i="1"/>
  <c r="C34" i="1"/>
  <c r="D33" i="1"/>
  <c r="C33" i="1"/>
  <c r="AI32" i="1"/>
  <c r="AH32" i="1"/>
  <c r="D32" i="1"/>
  <c r="C32" i="1"/>
  <c r="AI31" i="1"/>
  <c r="AH31" i="1"/>
  <c r="AD31" i="1"/>
  <c r="D31" i="1"/>
  <c r="C31" i="1"/>
  <c r="AI30" i="1"/>
  <c r="AH30" i="1"/>
  <c r="AD30" i="1"/>
  <c r="AI29" i="1"/>
  <c r="AH29" i="1"/>
  <c r="AJ28" i="1"/>
  <c r="AI28" i="1"/>
  <c r="AH28" i="1"/>
  <c r="AD28" i="1"/>
  <c r="AH27" i="1"/>
  <c r="AH26" i="1"/>
  <c r="AH25" i="1"/>
  <c r="AH24" i="1"/>
  <c r="AA24" i="1"/>
  <c r="AH23" i="1"/>
  <c r="AH22" i="1"/>
  <c r="AH21" i="1"/>
  <c r="V11" i="1"/>
  <c r="AE10" i="1"/>
  <c r="AD10" i="1"/>
  <c r="AC10" i="1"/>
  <c r="AF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F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AF7" i="1"/>
  <c r="AE7" i="1"/>
  <c r="AD7" i="1"/>
  <c r="AC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F6" i="1"/>
  <c r="AE6" i="1"/>
  <c r="AD6" i="1"/>
  <c r="AC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AF5" i="1"/>
  <c r="AE5" i="1"/>
  <c r="AD5" i="1"/>
  <c r="AC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AF4" i="1"/>
  <c r="AE4" i="1"/>
  <c r="AD4" i="1"/>
  <c r="AC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AF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AF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B2" i="1"/>
  <c r="X1" i="1"/>
  <c r="Z61" i="3"/>
  <c r="W61" i="3"/>
  <c r="Z60" i="3"/>
  <c r="W60" i="3"/>
  <c r="Z59" i="3"/>
  <c r="W59" i="3"/>
  <c r="W57" i="3"/>
  <c r="W55" i="3"/>
  <c r="Z54" i="3"/>
  <c r="W54" i="3"/>
  <c r="Z53" i="3"/>
  <c r="W53" i="3"/>
  <c r="Z52" i="3"/>
  <c r="W52" i="3"/>
  <c r="Z51" i="3"/>
  <c r="W51" i="3"/>
  <c r="D48" i="3"/>
  <c r="C48" i="3"/>
  <c r="Z47" i="3"/>
  <c r="D47" i="3"/>
  <c r="C47" i="3"/>
  <c r="Z46" i="3"/>
  <c r="D46" i="3"/>
  <c r="C46" i="3"/>
  <c r="D45" i="3"/>
  <c r="C45" i="3"/>
  <c r="Z44" i="3"/>
  <c r="D44" i="3"/>
  <c r="C44" i="3"/>
  <c r="D43" i="3"/>
  <c r="C43" i="3"/>
  <c r="D42" i="3"/>
  <c r="C42" i="3"/>
  <c r="AA40" i="3"/>
  <c r="W40" i="3"/>
  <c r="AF39" i="3"/>
  <c r="AE39" i="3"/>
  <c r="AD39" i="3"/>
  <c r="AF38" i="3"/>
  <c r="AE38" i="3"/>
  <c r="AD38" i="3"/>
  <c r="AE37" i="3"/>
  <c r="AD37" i="3"/>
  <c r="AE36" i="3"/>
  <c r="AD36" i="3"/>
  <c r="AE35" i="3"/>
  <c r="AD35" i="3"/>
  <c r="AF34" i="3"/>
  <c r="AE34" i="3"/>
  <c r="AD34" i="3"/>
  <c r="AD33" i="3"/>
  <c r="W33" i="3"/>
  <c r="AD32" i="3"/>
  <c r="W32" i="3"/>
  <c r="AD31" i="3"/>
  <c r="AD30" i="3"/>
  <c r="AD29" i="3"/>
  <c r="AD28" i="3"/>
  <c r="AD27" i="3"/>
  <c r="AA24" i="3"/>
  <c r="Z24" i="3"/>
  <c r="Y24" i="3"/>
  <c r="W24" i="3"/>
  <c r="V24" i="3"/>
  <c r="U24" i="3"/>
  <c r="T24" i="3"/>
  <c r="S24" i="3"/>
  <c r="Q24" i="3"/>
  <c r="O24" i="3"/>
  <c r="M24" i="3"/>
  <c r="L24" i="3"/>
  <c r="K24" i="3"/>
  <c r="J24" i="3"/>
  <c r="B24" i="3"/>
  <c r="AA23" i="3"/>
  <c r="Z23" i="3"/>
  <c r="Y23" i="3"/>
  <c r="W23" i="3"/>
  <c r="V23" i="3"/>
  <c r="U23" i="3"/>
  <c r="T23" i="3"/>
  <c r="S23" i="3"/>
  <c r="Q23" i="3"/>
  <c r="O23" i="3"/>
  <c r="M23" i="3"/>
  <c r="L23" i="3"/>
  <c r="K23" i="3"/>
  <c r="J23" i="3"/>
  <c r="B23" i="3"/>
  <c r="AA22" i="3"/>
  <c r="Z22" i="3"/>
  <c r="Y22" i="3"/>
  <c r="W22" i="3"/>
  <c r="V22" i="3"/>
  <c r="U22" i="3"/>
  <c r="T22" i="3"/>
  <c r="S22" i="3"/>
  <c r="Q22" i="3"/>
  <c r="O22" i="3"/>
  <c r="M22" i="3"/>
  <c r="L22" i="3"/>
  <c r="K22" i="3"/>
  <c r="J22" i="3"/>
  <c r="B22" i="3"/>
  <c r="AA21" i="3"/>
  <c r="Z21" i="3"/>
  <c r="Y21" i="3"/>
  <c r="W21" i="3"/>
  <c r="V21" i="3"/>
  <c r="U21" i="3"/>
  <c r="T21" i="3"/>
  <c r="S21" i="3"/>
  <c r="Q21" i="3"/>
  <c r="O21" i="3"/>
  <c r="M21" i="3"/>
  <c r="L21" i="3"/>
  <c r="K21" i="3"/>
  <c r="J21" i="3"/>
  <c r="B21" i="3"/>
  <c r="AA20" i="3"/>
  <c r="Z20" i="3"/>
  <c r="Y20" i="3"/>
  <c r="W20" i="3"/>
  <c r="V20" i="3"/>
  <c r="U20" i="3"/>
  <c r="T20" i="3"/>
  <c r="S20" i="3"/>
  <c r="Q20" i="3"/>
  <c r="O20" i="3"/>
  <c r="M20" i="3"/>
  <c r="L20" i="3"/>
  <c r="K20" i="3"/>
  <c r="J20" i="3"/>
  <c r="B20" i="3"/>
  <c r="AA19" i="3"/>
  <c r="Z19" i="3"/>
  <c r="Y19" i="3"/>
  <c r="W19" i="3"/>
  <c r="V19" i="3"/>
  <c r="U19" i="3"/>
  <c r="T19" i="3"/>
  <c r="S19" i="3"/>
  <c r="Q19" i="3"/>
  <c r="O19" i="3"/>
  <c r="M19" i="3"/>
  <c r="L19" i="3"/>
  <c r="K19" i="3"/>
  <c r="J19" i="3"/>
  <c r="B19" i="3"/>
  <c r="AA18" i="3"/>
  <c r="Z18" i="3"/>
  <c r="Y18" i="3"/>
  <c r="W18" i="3"/>
  <c r="V18" i="3"/>
  <c r="U18" i="3"/>
  <c r="T18" i="3"/>
  <c r="S18" i="3"/>
  <c r="Q18" i="3"/>
  <c r="O18" i="3"/>
  <c r="M18" i="3"/>
  <c r="L18" i="3"/>
  <c r="K18" i="3"/>
  <c r="J18" i="3"/>
  <c r="B18" i="3"/>
  <c r="AA17" i="3"/>
  <c r="Z17" i="3"/>
  <c r="Y17" i="3"/>
  <c r="W17" i="3"/>
  <c r="V17" i="3"/>
  <c r="U17" i="3"/>
  <c r="T17" i="3"/>
  <c r="S17" i="3"/>
  <c r="Q17" i="3"/>
  <c r="O17" i="3"/>
  <c r="M17" i="3"/>
  <c r="L17" i="3"/>
  <c r="K17" i="3"/>
  <c r="J17" i="3"/>
  <c r="B17" i="3"/>
  <c r="AA16" i="3"/>
  <c r="Z16" i="3"/>
  <c r="Y16" i="3"/>
  <c r="W16" i="3"/>
  <c r="V16" i="3"/>
  <c r="U16" i="3"/>
  <c r="T16" i="3"/>
  <c r="S16" i="3"/>
  <c r="Q16" i="3"/>
  <c r="O16" i="3"/>
  <c r="M16" i="3"/>
  <c r="L16" i="3"/>
  <c r="K16" i="3"/>
  <c r="J16" i="3"/>
  <c r="B16" i="3"/>
  <c r="AW14" i="3"/>
  <c r="AV14" i="3"/>
  <c r="AT14" i="3"/>
  <c r="AS14" i="3"/>
  <c r="AR14" i="3"/>
  <c r="AP14" i="3"/>
  <c r="AO14" i="3"/>
  <c r="AN14" i="3"/>
  <c r="AM14" i="3"/>
  <c r="AK14" i="3"/>
  <c r="AJ14" i="3"/>
  <c r="AI14" i="3"/>
  <c r="AH14" i="3"/>
  <c r="AG14" i="3"/>
  <c r="AF14" i="3"/>
  <c r="U14" i="3"/>
  <c r="T14" i="3"/>
  <c r="S14" i="3"/>
  <c r="R14" i="3"/>
  <c r="Q14" i="3"/>
  <c r="P14" i="3"/>
  <c r="O14" i="3"/>
  <c r="L14" i="3"/>
  <c r="K14" i="3"/>
  <c r="B14" i="3"/>
  <c r="AW13" i="3"/>
  <c r="AV13" i="3"/>
  <c r="AU13" i="3"/>
  <c r="AT13" i="3"/>
  <c r="AS13" i="3"/>
  <c r="AR13" i="3"/>
  <c r="AQ13" i="3"/>
  <c r="AP13" i="3"/>
  <c r="AO13" i="3"/>
  <c r="AN13" i="3"/>
  <c r="AM13" i="3"/>
  <c r="AK13" i="3"/>
  <c r="AJ13" i="3"/>
  <c r="AI13" i="3"/>
  <c r="AH13" i="3"/>
  <c r="AG13" i="3"/>
  <c r="AF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B13" i="3"/>
  <c r="AW12" i="3"/>
  <c r="AV12" i="3"/>
  <c r="AU12" i="3"/>
  <c r="AT12" i="3"/>
  <c r="AS12" i="3"/>
  <c r="AR12" i="3"/>
  <c r="AQ12" i="3"/>
  <c r="AP12" i="3"/>
  <c r="AO12" i="3"/>
  <c r="AN12" i="3"/>
  <c r="AM12" i="3"/>
  <c r="AK12" i="3"/>
  <c r="AJ12" i="3"/>
  <c r="AI12" i="3"/>
  <c r="AH12" i="3"/>
  <c r="AG12" i="3"/>
  <c r="AF12" i="3"/>
  <c r="AA12" i="3"/>
  <c r="Z12" i="3"/>
  <c r="Y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B12" i="3"/>
  <c r="AW11" i="3"/>
  <c r="AV11" i="3"/>
  <c r="AU11" i="3"/>
  <c r="AT11" i="3"/>
  <c r="AS11" i="3"/>
  <c r="AR11" i="3"/>
  <c r="AQ11" i="3"/>
  <c r="AP11" i="3"/>
  <c r="AO11" i="3"/>
  <c r="AN11" i="3"/>
  <c r="AM11" i="3"/>
  <c r="AK11" i="3"/>
  <c r="AJ11" i="3"/>
  <c r="AI11" i="3"/>
  <c r="AH11" i="3"/>
  <c r="AG11" i="3"/>
  <c r="AF11" i="3"/>
  <c r="AA11" i="3"/>
  <c r="Z11" i="3"/>
  <c r="Y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B11" i="3"/>
  <c r="AW10" i="3"/>
  <c r="AV10" i="3"/>
  <c r="AU10" i="3"/>
  <c r="AT10" i="3"/>
  <c r="AS10" i="3"/>
  <c r="AR10" i="3"/>
  <c r="AQ10" i="3"/>
  <c r="AP10" i="3"/>
  <c r="AO10" i="3"/>
  <c r="AN10" i="3"/>
  <c r="AM10" i="3"/>
  <c r="AK10" i="3"/>
  <c r="AJ10" i="3"/>
  <c r="AI10" i="3"/>
  <c r="AH10" i="3"/>
  <c r="AG10" i="3"/>
  <c r="AF10" i="3"/>
  <c r="AA10" i="3"/>
  <c r="Z10" i="3"/>
  <c r="Y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B10" i="3"/>
  <c r="AW9" i="3"/>
  <c r="AV9" i="3"/>
  <c r="AU9" i="3"/>
  <c r="AT9" i="3"/>
  <c r="AS9" i="3"/>
  <c r="AR9" i="3"/>
  <c r="AQ9" i="3"/>
  <c r="AP9" i="3"/>
  <c r="AO9" i="3"/>
  <c r="AN9" i="3"/>
  <c r="AM9" i="3"/>
  <c r="AK9" i="3"/>
  <c r="AJ9" i="3"/>
  <c r="AI9" i="3"/>
  <c r="AH9" i="3"/>
  <c r="AA9" i="3"/>
  <c r="Z9" i="3"/>
  <c r="Y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B9" i="3"/>
  <c r="AW8" i="3"/>
  <c r="AV8" i="3"/>
  <c r="AU8" i="3"/>
  <c r="AT8" i="3"/>
  <c r="AS8" i="3"/>
  <c r="AR8" i="3"/>
  <c r="AQ8" i="3"/>
  <c r="AP8" i="3"/>
  <c r="AO8" i="3"/>
  <c r="AN8" i="3"/>
  <c r="AM8" i="3"/>
  <c r="AK8" i="3"/>
  <c r="AJ8" i="3"/>
  <c r="AI8" i="3"/>
  <c r="AH8" i="3"/>
  <c r="AG8" i="3"/>
  <c r="AF8" i="3"/>
  <c r="AA8" i="3"/>
  <c r="Z8" i="3"/>
  <c r="Y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B8" i="3"/>
  <c r="AW7" i="3"/>
  <c r="AV7" i="3"/>
  <c r="AT7" i="3"/>
  <c r="AS7" i="3"/>
  <c r="AR7" i="3"/>
  <c r="AQ7" i="3"/>
  <c r="AP7" i="3"/>
  <c r="AO7" i="3"/>
  <c r="AN7" i="3"/>
  <c r="AM7" i="3"/>
  <c r="AK7" i="3"/>
  <c r="AJ7" i="3"/>
  <c r="AI7" i="3"/>
  <c r="AH7" i="3"/>
  <c r="AG7" i="3"/>
  <c r="AF7" i="3"/>
  <c r="AA7" i="3"/>
  <c r="Z7" i="3"/>
  <c r="Y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B7" i="3"/>
  <c r="AW6" i="3"/>
  <c r="AV6" i="3"/>
  <c r="AT6" i="3"/>
  <c r="AS6" i="3"/>
  <c r="AR6" i="3"/>
  <c r="AQ6" i="3"/>
  <c r="AP6" i="3"/>
  <c r="AO6" i="3"/>
  <c r="AN6" i="3"/>
  <c r="AM6" i="3"/>
  <c r="AK6" i="3"/>
  <c r="AJ6" i="3"/>
  <c r="AI6" i="3"/>
  <c r="AH6" i="3"/>
  <c r="AG6" i="3"/>
  <c r="AF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B6" i="3"/>
  <c r="AW5" i="3"/>
  <c r="AV5" i="3"/>
  <c r="AS5" i="3"/>
  <c r="AR5" i="3"/>
  <c r="AP5" i="3"/>
  <c r="AO5" i="3"/>
  <c r="AN5" i="3"/>
  <c r="AM5" i="3"/>
  <c r="AK5" i="3"/>
  <c r="AJ5" i="3"/>
  <c r="AI5" i="3"/>
  <c r="AH5" i="3"/>
  <c r="AG5" i="3"/>
  <c r="AF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B5" i="3"/>
  <c r="AW4" i="3"/>
  <c r="AV4" i="3"/>
  <c r="AS4" i="3"/>
  <c r="AR4" i="3"/>
  <c r="AP4" i="3"/>
  <c r="AO4" i="3"/>
  <c r="AN4" i="3"/>
  <c r="AM4" i="3"/>
  <c r="AK4" i="3"/>
  <c r="AJ4" i="3"/>
  <c r="AI4" i="3"/>
  <c r="AH4" i="3"/>
  <c r="AG4" i="3"/>
  <c r="AF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B4" i="3"/>
  <c r="AS3" i="3"/>
  <c r="AR3" i="3"/>
  <c r="AP3" i="3"/>
  <c r="AN3" i="3"/>
  <c r="AM3" i="3"/>
  <c r="AK3" i="3"/>
  <c r="AJ3" i="3"/>
  <c r="AI3" i="3"/>
  <c r="AH3" i="3"/>
  <c r="AG3" i="3"/>
  <c r="AF3" i="3"/>
  <c r="U3" i="3"/>
  <c r="T3" i="3"/>
  <c r="S3" i="3"/>
  <c r="R3" i="3"/>
  <c r="Q3" i="3"/>
  <c r="L3" i="3"/>
  <c r="K3" i="3"/>
  <c r="C3" i="3"/>
  <c r="B3" i="3"/>
  <c r="AS2" i="3"/>
  <c r="AR2" i="3"/>
  <c r="AN2" i="3"/>
  <c r="AM2" i="3"/>
  <c r="AK2" i="3"/>
  <c r="AJ2" i="3"/>
  <c r="AI2" i="3"/>
  <c r="AH2" i="3"/>
  <c r="AG2" i="3"/>
  <c r="AF2" i="3"/>
  <c r="U2" i="3"/>
  <c r="T2" i="3"/>
  <c r="S2" i="3"/>
  <c r="R2" i="3"/>
  <c r="Q2" i="3"/>
  <c r="L2" i="3"/>
  <c r="K2" i="3"/>
  <c r="B2" i="3"/>
  <c r="T1" i="3"/>
  <c r="M102" i="4"/>
  <c r="O102" i="4" s="1"/>
  <c r="K102" i="4"/>
  <c r="S102" i="4" s="1"/>
  <c r="J102" i="4"/>
  <c r="T102" i="4" s="1"/>
  <c r="U102" i="4" s="1"/>
  <c r="B102" i="4"/>
  <c r="M101" i="4"/>
  <c r="O101" i="4" s="1"/>
  <c r="K101" i="4"/>
  <c r="L101" i="4" s="1"/>
  <c r="J101" i="4"/>
  <c r="T101" i="4" s="1"/>
  <c r="U101" i="4" s="1"/>
  <c r="B101" i="4"/>
  <c r="P100" i="4"/>
  <c r="M100" i="4"/>
  <c r="O100" i="4" s="1"/>
  <c r="K100" i="4"/>
  <c r="S100" i="4" s="1"/>
  <c r="J100" i="4"/>
  <c r="T100" i="4" s="1"/>
  <c r="U100" i="4" s="1"/>
  <c r="B100" i="4"/>
  <c r="P99" i="4"/>
  <c r="M99" i="4"/>
  <c r="O99" i="4" s="1"/>
  <c r="K99" i="4"/>
  <c r="L99" i="4" s="1"/>
  <c r="J99" i="4"/>
  <c r="T99" i="4" s="1"/>
  <c r="U99" i="4" s="1"/>
  <c r="B99" i="4"/>
  <c r="P98" i="4"/>
  <c r="M98" i="4"/>
  <c r="O98" i="4" s="1"/>
  <c r="K98" i="4"/>
  <c r="L98" i="4" s="1"/>
  <c r="J98" i="4"/>
  <c r="T98" i="4" s="1"/>
  <c r="U98" i="4" s="1"/>
  <c r="B98" i="4"/>
  <c r="P97" i="4"/>
  <c r="M97" i="4"/>
  <c r="O97" i="4" s="1"/>
  <c r="K97" i="4"/>
  <c r="S97" i="4" s="1"/>
  <c r="J97" i="4"/>
  <c r="T97" i="4" s="1"/>
  <c r="U97" i="4" s="1"/>
  <c r="X97" i="4" s="1"/>
  <c r="B97" i="4"/>
  <c r="P96" i="4"/>
  <c r="M96" i="4"/>
  <c r="O96" i="4" s="1"/>
  <c r="K96" i="4"/>
  <c r="L96" i="4" s="1"/>
  <c r="J96" i="4"/>
  <c r="T96" i="4" s="1"/>
  <c r="U96" i="4" s="1"/>
  <c r="B96" i="4"/>
  <c r="P95" i="4"/>
  <c r="M95" i="4"/>
  <c r="O95" i="4" s="1"/>
  <c r="K95" i="4"/>
  <c r="S95" i="4" s="1"/>
  <c r="J95" i="4"/>
  <c r="T95" i="4" s="1"/>
  <c r="U95" i="4" s="1"/>
  <c r="B95" i="4"/>
  <c r="P94" i="4"/>
  <c r="M94" i="4"/>
  <c r="O94" i="4" s="1"/>
  <c r="K94" i="4"/>
  <c r="S94" i="4" s="1"/>
  <c r="J94" i="4"/>
  <c r="T94" i="4" s="1"/>
  <c r="U94" i="4" s="1"/>
  <c r="B94" i="4"/>
  <c r="P93" i="4"/>
  <c r="M93" i="4"/>
  <c r="O93" i="4" s="1"/>
  <c r="K93" i="4"/>
  <c r="L93" i="4" s="1"/>
  <c r="J93" i="4"/>
  <c r="T93" i="4" s="1"/>
  <c r="U93" i="4" s="1"/>
  <c r="B93" i="4"/>
  <c r="P92" i="4"/>
  <c r="M92" i="4"/>
  <c r="O92" i="4" s="1"/>
  <c r="K92" i="4"/>
  <c r="S92" i="4" s="1"/>
  <c r="J92" i="4"/>
  <c r="T92" i="4" s="1"/>
  <c r="U92" i="4" s="1"/>
  <c r="B92" i="4"/>
  <c r="P91" i="4"/>
  <c r="M91" i="4"/>
  <c r="O91" i="4" s="1"/>
  <c r="K91" i="4"/>
  <c r="L91" i="4" s="1"/>
  <c r="J91" i="4"/>
  <c r="T91" i="4" s="1"/>
  <c r="U91" i="4" s="1"/>
  <c r="B91" i="4"/>
  <c r="P90" i="4"/>
  <c r="M90" i="4"/>
  <c r="O90" i="4" s="1"/>
  <c r="K90" i="4"/>
  <c r="S90" i="4" s="1"/>
  <c r="J90" i="4"/>
  <c r="T90" i="4" s="1"/>
  <c r="U90" i="4" s="1"/>
  <c r="B90" i="4"/>
  <c r="P89" i="4"/>
  <c r="M89" i="4"/>
  <c r="O89" i="4" s="1"/>
  <c r="K89" i="4"/>
  <c r="S89" i="4" s="1"/>
  <c r="J89" i="4"/>
  <c r="T89" i="4" s="1"/>
  <c r="U89" i="4" s="1"/>
  <c r="X89" i="4" s="1"/>
  <c r="B89" i="4"/>
  <c r="P88" i="4"/>
  <c r="M88" i="4"/>
  <c r="O88" i="4" s="1"/>
  <c r="K88" i="4"/>
  <c r="L88" i="4" s="1"/>
  <c r="J88" i="4"/>
  <c r="T88" i="4" s="1"/>
  <c r="U88" i="4" s="1"/>
  <c r="B88" i="4"/>
  <c r="M84" i="4"/>
  <c r="O84" i="4" s="1"/>
  <c r="K84" i="4"/>
  <c r="S84" i="4" s="1"/>
  <c r="J84" i="4"/>
  <c r="T84" i="4" s="1"/>
  <c r="B84" i="4"/>
  <c r="M83" i="4"/>
  <c r="O83" i="4" s="1"/>
  <c r="K83" i="4"/>
  <c r="L83" i="4" s="1"/>
  <c r="J83" i="4"/>
  <c r="T83" i="4" s="1"/>
  <c r="B83" i="4"/>
  <c r="P82" i="4"/>
  <c r="M82" i="4"/>
  <c r="O82" i="4" s="1"/>
  <c r="K82" i="4"/>
  <c r="S82" i="4" s="1"/>
  <c r="J82" i="4"/>
  <c r="T82" i="4" s="1"/>
  <c r="B82" i="4"/>
  <c r="P81" i="4"/>
  <c r="M81" i="4"/>
  <c r="O81" i="4" s="1"/>
  <c r="K81" i="4"/>
  <c r="L81" i="4" s="1"/>
  <c r="J81" i="4"/>
  <c r="T81" i="4" s="1"/>
  <c r="B81" i="4"/>
  <c r="P80" i="4"/>
  <c r="M80" i="4"/>
  <c r="O80" i="4" s="1"/>
  <c r="K80" i="4"/>
  <c r="L80" i="4" s="1"/>
  <c r="J80" i="4"/>
  <c r="T80" i="4" s="1"/>
  <c r="B80" i="4"/>
  <c r="P79" i="4"/>
  <c r="M79" i="4"/>
  <c r="O79" i="4" s="1"/>
  <c r="K79" i="4"/>
  <c r="L79" i="4" s="1"/>
  <c r="J79" i="4"/>
  <c r="T79" i="4" s="1"/>
  <c r="B79" i="4"/>
  <c r="P78" i="4"/>
  <c r="M78" i="4"/>
  <c r="O78" i="4" s="1"/>
  <c r="K78" i="4"/>
  <c r="S78" i="4" s="1"/>
  <c r="J78" i="4"/>
  <c r="T78" i="4" s="1"/>
  <c r="B78" i="4"/>
  <c r="P77" i="4"/>
  <c r="M77" i="4"/>
  <c r="O77" i="4" s="1"/>
  <c r="K77" i="4"/>
  <c r="S77" i="4" s="1"/>
  <c r="J77" i="4"/>
  <c r="T77" i="4" s="1"/>
  <c r="B77" i="4"/>
  <c r="P76" i="4"/>
  <c r="M76" i="4"/>
  <c r="O76" i="4" s="1"/>
  <c r="K76" i="4"/>
  <c r="L76" i="4" s="1"/>
  <c r="J76" i="4"/>
  <c r="T76" i="4" s="1"/>
  <c r="B76" i="4"/>
  <c r="P75" i="4"/>
  <c r="M75" i="4"/>
  <c r="O75" i="4" s="1"/>
  <c r="K75" i="4"/>
  <c r="S75" i="4" s="1"/>
  <c r="J75" i="4"/>
  <c r="T75" i="4" s="1"/>
  <c r="B75" i="4"/>
  <c r="P74" i="4"/>
  <c r="M74" i="4"/>
  <c r="O74" i="4" s="1"/>
  <c r="K74" i="4"/>
  <c r="S74" i="4" s="1"/>
  <c r="J74" i="4"/>
  <c r="T74" i="4" s="1"/>
  <c r="B74" i="4"/>
  <c r="P73" i="4"/>
  <c r="M73" i="4"/>
  <c r="O73" i="4" s="1"/>
  <c r="K73" i="4"/>
  <c r="L73" i="4" s="1"/>
  <c r="J73" i="4"/>
  <c r="T73" i="4" s="1"/>
  <c r="B73" i="4"/>
  <c r="P72" i="4"/>
  <c r="M72" i="4"/>
  <c r="O72" i="4" s="1"/>
  <c r="K72" i="4"/>
  <c r="L72" i="4" s="1"/>
  <c r="J72" i="4"/>
  <c r="T72" i="4" s="1"/>
  <c r="B72" i="4"/>
  <c r="P67" i="4"/>
  <c r="M67" i="4"/>
  <c r="O67" i="4" s="1"/>
  <c r="K67" i="4"/>
  <c r="L67" i="4" s="1"/>
  <c r="J67" i="4"/>
  <c r="T67" i="4" s="1"/>
  <c r="B67" i="4"/>
  <c r="AE54" i="4"/>
  <c r="AE55" i="4" s="1"/>
  <c r="W36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AA42" i="4"/>
  <c r="W42" i="4"/>
  <c r="Q5" i="4" s="1"/>
  <c r="AD35" i="4"/>
  <c r="AD34" i="4"/>
  <c r="W34" i="4"/>
  <c r="W35" i="4" s="1"/>
  <c r="AD32" i="4"/>
  <c r="AD31" i="4"/>
  <c r="AD30" i="4"/>
  <c r="AD29" i="4"/>
  <c r="M26" i="4"/>
  <c r="O26" i="4" s="1"/>
  <c r="Q26" i="4" s="1"/>
  <c r="K26" i="4"/>
  <c r="S26" i="4" s="1"/>
  <c r="J26" i="4"/>
  <c r="T26" i="4" s="1"/>
  <c r="U26" i="4" s="1"/>
  <c r="B26" i="4"/>
  <c r="M25" i="4"/>
  <c r="O25" i="4" s="1"/>
  <c r="K25" i="4"/>
  <c r="S25" i="4" s="1"/>
  <c r="J25" i="4"/>
  <c r="T25" i="4" s="1"/>
  <c r="U25" i="4" s="1"/>
  <c r="B25" i="4"/>
  <c r="M24" i="4"/>
  <c r="O24" i="4" s="1"/>
  <c r="K24" i="4"/>
  <c r="S24" i="4" s="1"/>
  <c r="J24" i="4"/>
  <c r="T24" i="4" s="1"/>
  <c r="U24" i="4" s="1"/>
  <c r="B24" i="4"/>
  <c r="M23" i="4"/>
  <c r="O23" i="4" s="1"/>
  <c r="K23" i="4"/>
  <c r="S23" i="4" s="1"/>
  <c r="J23" i="4"/>
  <c r="T23" i="4" s="1"/>
  <c r="U23" i="4" s="1"/>
  <c r="B23" i="4"/>
  <c r="M22" i="4"/>
  <c r="O22" i="4" s="1"/>
  <c r="K22" i="4"/>
  <c r="S22" i="4" s="1"/>
  <c r="J22" i="4"/>
  <c r="T22" i="4" s="1"/>
  <c r="U22" i="4" s="1"/>
  <c r="B22" i="4"/>
  <c r="M21" i="4"/>
  <c r="O21" i="4" s="1"/>
  <c r="K21" i="4"/>
  <c r="L21" i="4" s="1"/>
  <c r="J21" i="4"/>
  <c r="T21" i="4" s="1"/>
  <c r="U21" i="4" s="1"/>
  <c r="B21" i="4"/>
  <c r="M20" i="4"/>
  <c r="O20" i="4" s="1"/>
  <c r="K20" i="4"/>
  <c r="L20" i="4" s="1"/>
  <c r="J20" i="4"/>
  <c r="T20" i="4" s="1"/>
  <c r="U20" i="4" s="1"/>
  <c r="B20" i="4"/>
  <c r="M19" i="4"/>
  <c r="O19" i="4" s="1"/>
  <c r="K19" i="4"/>
  <c r="S19" i="4" s="1"/>
  <c r="J19" i="4"/>
  <c r="T19" i="4" s="1"/>
  <c r="U19" i="4" s="1"/>
  <c r="B19" i="4"/>
  <c r="M18" i="4"/>
  <c r="O18" i="4" s="1"/>
  <c r="K18" i="4"/>
  <c r="L18" i="4" s="1"/>
  <c r="J18" i="4"/>
  <c r="T18" i="4" s="1"/>
  <c r="U18" i="4" s="1"/>
  <c r="B18" i="4"/>
  <c r="AV16" i="4"/>
  <c r="T16" i="4"/>
  <c r="P16" i="4"/>
  <c r="K16" i="4"/>
  <c r="S16" i="4" s="1"/>
  <c r="B16" i="4"/>
  <c r="AV15" i="4"/>
  <c r="N15" i="4"/>
  <c r="P15" i="4" s="1"/>
  <c r="M15" i="4"/>
  <c r="O15" i="4" s="1"/>
  <c r="K15" i="4"/>
  <c r="S15" i="4" s="1"/>
  <c r="J15" i="4"/>
  <c r="T15" i="4" s="1"/>
  <c r="B15" i="4"/>
  <c r="AV14" i="4"/>
  <c r="N14" i="4"/>
  <c r="P14" i="4" s="1"/>
  <c r="M14" i="4"/>
  <c r="O14" i="4" s="1"/>
  <c r="K14" i="4"/>
  <c r="S14" i="4" s="1"/>
  <c r="J14" i="4"/>
  <c r="T14" i="4" s="1"/>
  <c r="B14" i="4"/>
  <c r="AV13" i="4"/>
  <c r="N13" i="4"/>
  <c r="P13" i="4" s="1"/>
  <c r="M13" i="4"/>
  <c r="O13" i="4" s="1"/>
  <c r="Q13" i="4" s="1"/>
  <c r="K13" i="4"/>
  <c r="S13" i="4" s="1"/>
  <c r="J13" i="4"/>
  <c r="T13" i="4" s="1"/>
  <c r="B13" i="4"/>
  <c r="AV12" i="4"/>
  <c r="N12" i="4"/>
  <c r="P12" i="4" s="1"/>
  <c r="M12" i="4"/>
  <c r="O12" i="4" s="1"/>
  <c r="K12" i="4"/>
  <c r="L12" i="4" s="1"/>
  <c r="J12" i="4"/>
  <c r="T12" i="4" s="1"/>
  <c r="B12" i="4"/>
  <c r="AV11" i="4"/>
  <c r="N11" i="4"/>
  <c r="P11" i="4" s="1"/>
  <c r="M11" i="4"/>
  <c r="O11" i="4" s="1"/>
  <c r="K11" i="4"/>
  <c r="L11" i="4" s="1"/>
  <c r="J11" i="4"/>
  <c r="T11" i="4" s="1"/>
  <c r="B11" i="4"/>
  <c r="AV10" i="4"/>
  <c r="N10" i="4"/>
  <c r="P10" i="4" s="1"/>
  <c r="M10" i="4"/>
  <c r="O10" i="4" s="1"/>
  <c r="K10" i="4"/>
  <c r="L10" i="4" s="1"/>
  <c r="J10" i="4"/>
  <c r="T10" i="4" s="1"/>
  <c r="B10" i="4"/>
  <c r="AV9" i="4"/>
  <c r="N9" i="4"/>
  <c r="P9" i="4" s="1"/>
  <c r="M9" i="4"/>
  <c r="O9" i="4" s="1"/>
  <c r="Q9" i="4" s="1"/>
  <c r="K9" i="4"/>
  <c r="S9" i="4" s="1"/>
  <c r="J9" i="4"/>
  <c r="T9" i="4" s="1"/>
  <c r="B9" i="4"/>
  <c r="AV8" i="4"/>
  <c r="N8" i="4"/>
  <c r="P8" i="4" s="1"/>
  <c r="M8" i="4"/>
  <c r="O8" i="4" s="1"/>
  <c r="K8" i="4"/>
  <c r="L8" i="4" s="1"/>
  <c r="J8" i="4"/>
  <c r="T8" i="4" s="1"/>
  <c r="B8" i="4"/>
  <c r="T3" i="4"/>
  <c r="U71" i="4" s="1"/>
  <c r="X71" i="4" s="1"/>
  <c r="T2" i="4"/>
  <c r="K2" i="4"/>
  <c r="L2" i="4" s="1"/>
  <c r="B2" i="4"/>
  <c r="T1" i="4"/>
  <c r="R13" i="4" l="1"/>
  <c r="Q8" i="4"/>
  <c r="Q12" i="4"/>
  <c r="R2" i="4"/>
  <c r="Q23" i="4"/>
  <c r="R16" i="4"/>
  <c r="R9" i="4"/>
  <c r="Q2" i="4"/>
  <c r="R14" i="4"/>
  <c r="Q18" i="4"/>
  <c r="Q20" i="4"/>
  <c r="L22" i="4"/>
  <c r="L89" i="4"/>
  <c r="L26" i="4"/>
  <c r="U76" i="4"/>
  <c r="X76" i="4" s="1"/>
  <c r="S80" i="4"/>
  <c r="U84" i="4"/>
  <c r="X84" i="4" s="1"/>
  <c r="U73" i="4"/>
  <c r="X73" i="4" s="1"/>
  <c r="U75" i="4"/>
  <c r="L24" i="4"/>
  <c r="U78" i="4"/>
  <c r="X78" i="4" s="1"/>
  <c r="U81" i="4"/>
  <c r="X81" i="4" s="1"/>
  <c r="U72" i="4"/>
  <c r="X72" i="4" s="1"/>
  <c r="U80" i="4"/>
  <c r="U83" i="4"/>
  <c r="X83" i="4" s="1"/>
  <c r="U77" i="4"/>
  <c r="X77" i="4" s="1"/>
  <c r="U70" i="4"/>
  <c r="X70" i="4" s="1"/>
  <c r="S18" i="4"/>
  <c r="U74" i="4"/>
  <c r="X74" i="4" s="1"/>
  <c r="U69" i="4"/>
  <c r="X69" i="4" s="1"/>
  <c r="Q25" i="4"/>
  <c r="U67" i="4"/>
  <c r="U79" i="4"/>
  <c r="X79" i="4" s="1"/>
  <c r="U82" i="4"/>
  <c r="X82" i="4" s="1"/>
  <c r="U68" i="4"/>
  <c r="X68" i="4" s="1"/>
  <c r="R12" i="4"/>
  <c r="Q22" i="4"/>
  <c r="Q72" i="4"/>
  <c r="L78" i="4"/>
  <c r="S79" i="4"/>
  <c r="R68" i="4"/>
  <c r="Q15" i="4"/>
  <c r="R3" i="4"/>
  <c r="R11" i="4"/>
  <c r="R15" i="4"/>
  <c r="L19" i="4"/>
  <c r="L74" i="4"/>
  <c r="Q68" i="4"/>
  <c r="Q3" i="4"/>
  <c r="Q11" i="4"/>
  <c r="AD33" i="4"/>
  <c r="AO23" i="4" s="1"/>
  <c r="Q10" i="4"/>
  <c r="Q14" i="4"/>
  <c r="Q19" i="4"/>
  <c r="Q21" i="4"/>
  <c r="Q24" i="4"/>
  <c r="AF9" i="4"/>
  <c r="AG9" i="4" s="1"/>
  <c r="Q67" i="4"/>
  <c r="L94" i="4"/>
  <c r="R71" i="4"/>
  <c r="Q94" i="4"/>
  <c r="R100" i="4"/>
  <c r="Q102" i="4"/>
  <c r="Q71" i="4"/>
  <c r="X90" i="4"/>
  <c r="R69" i="4"/>
  <c r="R70" i="4"/>
  <c r="Q93" i="4"/>
  <c r="Q69" i="4"/>
  <c r="Q70" i="4"/>
  <c r="U11" i="4"/>
  <c r="U15" i="4"/>
  <c r="U10" i="4"/>
  <c r="U14" i="4"/>
  <c r="U4" i="4"/>
  <c r="U7" i="4"/>
  <c r="U5" i="4"/>
  <c r="U6" i="4"/>
  <c r="U9" i="4"/>
  <c r="U13" i="4"/>
  <c r="U8" i="4"/>
  <c r="U12" i="4"/>
  <c r="Q73" i="4"/>
  <c r="Q96" i="4"/>
  <c r="X98" i="4"/>
  <c r="Q99" i="4"/>
  <c r="L9" i="4"/>
  <c r="S20" i="4"/>
  <c r="S93" i="4"/>
  <c r="X101" i="4"/>
  <c r="AF15" i="4"/>
  <c r="AG15" i="4" s="1"/>
  <c r="S67" i="4"/>
  <c r="S99" i="4"/>
  <c r="Q83" i="4"/>
  <c r="S76" i="4"/>
  <c r="R95" i="4"/>
  <c r="X100" i="4"/>
  <c r="X67" i="4"/>
  <c r="R79" i="4"/>
  <c r="Q6" i="4"/>
  <c r="S2" i="4"/>
  <c r="S8" i="4"/>
  <c r="Q79" i="4"/>
  <c r="S81" i="4"/>
  <c r="Q90" i="4"/>
  <c r="Q95" i="4"/>
  <c r="Q100" i="4"/>
  <c r="R4" i="4"/>
  <c r="AF2" i="4"/>
  <c r="AG2" i="4" s="1"/>
  <c r="L13" i="4"/>
  <c r="L14" i="4"/>
  <c r="S73" i="4"/>
  <c r="L77" i="4"/>
  <c r="Q78" i="4"/>
  <c r="Q89" i="4"/>
  <c r="S96" i="4"/>
  <c r="S10" i="4"/>
  <c r="Q77" i="4"/>
  <c r="Q88" i="4"/>
  <c r="X91" i="4"/>
  <c r="L92" i="4"/>
  <c r="R6" i="4"/>
  <c r="R5" i="4"/>
  <c r="Q7" i="4"/>
  <c r="AF16" i="4"/>
  <c r="AG16" i="4" s="1"/>
  <c r="AF6" i="4"/>
  <c r="AG6" i="4" s="1"/>
  <c r="AF7" i="4"/>
  <c r="AG7" i="4" s="1"/>
  <c r="AF4" i="4"/>
  <c r="AG4" i="4" s="1"/>
  <c r="AF5" i="4"/>
  <c r="AG5" i="4" s="1"/>
  <c r="Q76" i="4"/>
  <c r="Q82" i="4"/>
  <c r="R88" i="4"/>
  <c r="Q92" i="4"/>
  <c r="Q98" i="4"/>
  <c r="X102" i="4"/>
  <c r="Q4" i="4"/>
  <c r="AF13" i="4"/>
  <c r="AG13" i="4" s="1"/>
  <c r="L15" i="4"/>
  <c r="L16" i="4"/>
  <c r="L75" i="4"/>
  <c r="S88" i="4"/>
  <c r="Q91" i="4"/>
  <c r="R92" i="4"/>
  <c r="X96" i="4"/>
  <c r="R7" i="4"/>
  <c r="U3" i="4"/>
  <c r="Q75" i="4"/>
  <c r="Q81" i="4"/>
  <c r="Q84" i="4"/>
  <c r="R91" i="4"/>
  <c r="X94" i="4"/>
  <c r="Q97" i="4"/>
  <c r="Q101" i="4"/>
  <c r="AF14" i="4"/>
  <c r="AG14" i="4" s="1"/>
  <c r="Q74" i="4"/>
  <c r="R75" i="4"/>
  <c r="Q80" i="4"/>
  <c r="S91" i="4"/>
  <c r="X93" i="4"/>
  <c r="L95" i="4"/>
  <c r="X99" i="4"/>
  <c r="R10" i="4"/>
  <c r="W54" i="4"/>
  <c r="AE36" i="4" s="1"/>
  <c r="Z53" i="4"/>
  <c r="AE39" i="4" s="1"/>
  <c r="W53" i="4"/>
  <c r="AF36" i="4" s="1"/>
  <c r="W55" i="4"/>
  <c r="AD36" i="4" s="1"/>
  <c r="Z54" i="4"/>
  <c r="AD39" i="4" s="1"/>
  <c r="R8" i="4"/>
  <c r="Z56" i="4"/>
  <c r="Z55" i="4"/>
  <c r="AE38" i="4" s="1"/>
  <c r="X88" i="4"/>
  <c r="X92" i="4"/>
  <c r="X75" i="4"/>
  <c r="X95" i="4"/>
  <c r="X80" i="4"/>
  <c r="S12" i="4"/>
  <c r="S21" i="4"/>
  <c r="L25" i="4"/>
  <c r="R78" i="4"/>
  <c r="R81" i="4"/>
  <c r="R89" i="4"/>
  <c r="R96" i="4"/>
  <c r="R99" i="4"/>
  <c r="R72" i="4"/>
  <c r="L97" i="4"/>
  <c r="R98" i="4"/>
  <c r="L100" i="4"/>
  <c r="AF8" i="4"/>
  <c r="AG8" i="4" s="1"/>
  <c r="L23" i="4"/>
  <c r="L82" i="4"/>
  <c r="L90" i="4"/>
  <c r="S72" i="4"/>
  <c r="R74" i="4"/>
  <c r="R77" i="4"/>
  <c r="R80" i="4"/>
  <c r="S83" i="4"/>
  <c r="L84" i="4"/>
  <c r="R94" i="4"/>
  <c r="S98" i="4"/>
  <c r="S101" i="4"/>
  <c r="L102" i="4"/>
  <c r="S11" i="4"/>
  <c r="R97" i="4"/>
  <c r="AF10" i="4"/>
  <c r="AG10" i="4" s="1"/>
  <c r="AF12" i="4"/>
  <c r="AG12" i="4" s="1"/>
  <c r="R82" i="4"/>
  <c r="R90" i="4"/>
  <c r="R67" i="4"/>
  <c r="R73" i="4"/>
  <c r="R76" i="4"/>
  <c r="R93" i="4"/>
  <c r="AO21" i="4" l="1"/>
  <c r="W61" i="4"/>
  <c r="AO27" i="4"/>
  <c r="AO29" i="4"/>
  <c r="AO26" i="4"/>
  <c r="AO24" i="4"/>
  <c r="AO28" i="4"/>
  <c r="W57" i="4"/>
  <c r="AD37" i="4" s="1"/>
  <c r="AI6" i="4" s="1"/>
  <c r="AO22" i="4"/>
  <c r="AO25" i="4"/>
  <c r="W56" i="4"/>
  <c r="AE37" i="4" s="1"/>
  <c r="Z46" i="4"/>
  <c r="Z48" i="4" s="1"/>
  <c r="Z49" i="4" s="1"/>
  <c r="AD38" i="4"/>
  <c r="W63" i="4" l="1"/>
  <c r="W62" i="4"/>
  <c r="AI5" i="4"/>
  <c r="AJ5" i="4" s="1"/>
  <c r="AK5" i="4" s="1"/>
  <c r="AI12" i="4"/>
  <c r="AH13" i="4"/>
  <c r="AH8" i="4"/>
  <c r="C3" i="4"/>
  <c r="B3" i="4" s="1"/>
  <c r="AI11" i="4"/>
  <c r="AJ11" i="4" s="1"/>
  <c r="AK11" i="4" s="1"/>
  <c r="AH6" i="4"/>
  <c r="AI16" i="4"/>
  <c r="O16" i="4" s="1"/>
  <c r="Q16" i="4" s="1"/>
  <c r="AI15" i="4"/>
  <c r="AJ15" i="4" s="1"/>
  <c r="AK15" i="4" s="1"/>
  <c r="AI7" i="4"/>
  <c r="AJ7" i="4" s="1"/>
  <c r="AK7" i="4" s="1"/>
  <c r="AH9" i="4"/>
  <c r="AI14" i="4"/>
  <c r="AJ14" i="4" s="1"/>
  <c r="AK14" i="4" s="1"/>
  <c r="AI4" i="4"/>
  <c r="AJ4" i="4" s="1"/>
  <c r="AK4" i="4" s="1"/>
  <c r="AH12" i="4"/>
  <c r="AI8" i="4"/>
  <c r="AJ8" i="4" s="1"/>
  <c r="AK8" i="4" s="1"/>
  <c r="AH15" i="4"/>
  <c r="AH2" i="4"/>
  <c r="AM2" i="4" s="1"/>
  <c r="AH11" i="4"/>
  <c r="AH7" i="4"/>
  <c r="AH10" i="4"/>
  <c r="AH16" i="4"/>
  <c r="W59" i="4"/>
  <c r="AH4" i="4"/>
  <c r="AI9" i="4"/>
  <c r="AJ9" i="4" s="1"/>
  <c r="AK9" i="4" s="1"/>
  <c r="AI13" i="4"/>
  <c r="AJ13" i="4" s="1"/>
  <c r="AK13" i="4" s="1"/>
  <c r="AH5" i="4"/>
  <c r="AI2" i="4"/>
  <c r="AI10" i="4"/>
  <c r="AJ10" i="4" s="1"/>
  <c r="AK10" i="4" s="1"/>
  <c r="AH14" i="4"/>
  <c r="AM7" i="4"/>
  <c r="AJ6" i="4"/>
  <c r="AK6" i="4" s="1"/>
  <c r="AM13" i="4"/>
  <c r="AL13" i="4" s="1"/>
  <c r="AJ12" i="4"/>
  <c r="AK12" i="4" s="1"/>
  <c r="AM11" i="4"/>
  <c r="AL11" i="4" s="1"/>
  <c r="AM8" i="4"/>
  <c r="AL8" i="4" s="1"/>
  <c r="AJ2" i="4"/>
  <c r="AK2" i="4" s="1"/>
  <c r="AF3" i="4"/>
  <c r="AG3" i="4" s="1"/>
  <c r="K3" i="4" l="1"/>
  <c r="AM15" i="4"/>
  <c r="AL15" i="4" s="1"/>
  <c r="AM12" i="4"/>
  <c r="AL12" i="4" s="1"/>
  <c r="AM9" i="4"/>
  <c r="AL9" i="4" s="1"/>
  <c r="AJ16" i="4"/>
  <c r="AK16" i="4" s="1"/>
  <c r="AM10" i="4"/>
  <c r="AL10" i="4" s="1"/>
  <c r="AM5" i="4"/>
  <c r="AM4" i="4"/>
  <c r="AM6" i="4"/>
  <c r="AM14" i="4"/>
  <c r="AL14" i="4" s="1"/>
  <c r="AM16" i="4"/>
  <c r="AL16" i="4" s="1"/>
  <c r="S3" i="4"/>
  <c r="L3" i="4"/>
  <c r="AH3" i="4"/>
  <c r="AI3" i="4"/>
  <c r="AJ3" i="4" s="1"/>
  <c r="AK3" i="4" s="1"/>
  <c r="AM3" i="4" l="1"/>
  <c r="Z63" i="4" l="1"/>
  <c r="AD41" i="4" s="1"/>
  <c r="Z62" i="4"/>
  <c r="AE41" i="4" s="1"/>
  <c r="Z61" i="4"/>
  <c r="AF41" i="4" s="1"/>
  <c r="AR12" i="4" l="1"/>
  <c r="AS12" i="4" s="1"/>
  <c r="AT11" i="4"/>
  <c r="AU11" i="4" s="1"/>
  <c r="AT13" i="4"/>
  <c r="AU13" i="4" s="1"/>
  <c r="AR10" i="4"/>
  <c r="AS10" i="4" s="1"/>
  <c r="AT16" i="4"/>
  <c r="AU16" i="4" s="1"/>
  <c r="AR14" i="4"/>
  <c r="AS14" i="4" s="1"/>
  <c r="AT10" i="4"/>
  <c r="AU10" i="4" s="1"/>
  <c r="AT15" i="4"/>
  <c r="AU15" i="4" s="1"/>
  <c r="AR13" i="4"/>
  <c r="AS13" i="4" s="1"/>
  <c r="AT9" i="4"/>
  <c r="AU9" i="4" s="1"/>
  <c r="AT14" i="4"/>
  <c r="AU14" i="4" s="1"/>
  <c r="AT12" i="4"/>
  <c r="AU12" i="4" s="1"/>
  <c r="AT8" i="4"/>
  <c r="AR9" i="4"/>
  <c r="AS9" i="4" s="1"/>
  <c r="AR15" i="4"/>
  <c r="AS15" i="4" s="1"/>
  <c r="AR11" i="4"/>
  <c r="AS11" i="4" s="1"/>
  <c r="AR8" i="4"/>
  <c r="AS8" i="4" s="1"/>
  <c r="AR16" i="4"/>
  <c r="AS16" i="4" s="1"/>
  <c r="AF40" i="4"/>
  <c r="AE40" i="4"/>
  <c r="AD40" i="4"/>
  <c r="AP11" i="4" l="1"/>
  <c r="AP6" i="4"/>
  <c r="AQ6" i="4" s="1"/>
  <c r="AP12" i="4"/>
  <c r="AP10" i="4"/>
  <c r="AP9" i="4"/>
  <c r="AP5" i="4"/>
  <c r="AP16" i="4"/>
  <c r="AP8" i="4"/>
  <c r="AP14" i="4"/>
  <c r="AP13" i="4"/>
  <c r="AP15" i="4"/>
  <c r="AP7" i="4"/>
  <c r="AP4" i="4"/>
  <c r="AN5" i="4"/>
  <c r="AO5" i="4" s="1"/>
  <c r="AN12" i="4"/>
  <c r="AO12" i="4" s="1"/>
  <c r="AN7" i="4"/>
  <c r="AO7" i="4" s="1"/>
  <c r="AN14" i="4"/>
  <c r="AO14" i="4" s="1"/>
  <c r="AN4" i="4"/>
  <c r="AO4" i="4" s="1"/>
  <c r="AN11" i="4"/>
  <c r="AO11" i="4" s="1"/>
  <c r="AN8" i="4"/>
  <c r="AO8" i="4" s="1"/>
  <c r="AN6" i="4"/>
  <c r="AO6" i="4" s="1"/>
  <c r="AN16" i="4"/>
  <c r="AO16" i="4" s="1"/>
  <c r="AN9" i="4"/>
  <c r="AO9" i="4" s="1"/>
  <c r="AN15" i="4"/>
  <c r="AO15" i="4" s="1"/>
  <c r="AN10" i="4"/>
  <c r="AO10" i="4" s="1"/>
  <c r="AN13" i="4"/>
  <c r="AO13" i="4" s="1"/>
  <c r="AQ11" i="4" l="1"/>
  <c r="AW11" i="4"/>
  <c r="AQ9" i="4"/>
  <c r="AW9" i="4"/>
  <c r="AW12" i="4"/>
  <c r="AQ12" i="4"/>
  <c r="AQ10" i="4"/>
  <c r="AW10" i="4"/>
  <c r="AW7" i="4"/>
  <c r="AQ7" i="4"/>
  <c r="AW6" i="4"/>
  <c r="AW8" i="4"/>
  <c r="AQ8" i="4"/>
  <c r="AQ15" i="4"/>
  <c r="AW15" i="4"/>
  <c r="AQ16" i="4"/>
  <c r="AW16" i="4"/>
  <c r="AW14" i="4"/>
  <c r="AQ14" i="4"/>
  <c r="AQ13" i="4"/>
  <c r="AW13" i="4"/>
</calcChain>
</file>

<file path=xl/sharedStrings.xml><?xml version="1.0" encoding="utf-8"?>
<sst xmlns="http://schemas.openxmlformats.org/spreadsheetml/2006/main" count="427" uniqueCount="157">
  <si>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</si>
  <si>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</si>
  <si>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</si>
  <si>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</si>
  <si>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</si>
  <si>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</si>
  <si>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</si>
  <si>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</si>
  <si>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</si>
  <si>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</si>
  <si>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</si>
  <si>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</si>
  <si>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</si>
  <si>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</si>
  <si>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</si>
  <si>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</si>
  <si>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</si>
  <si>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</si>
  <si>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</si>
  <si>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</si>
  <si>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</si>
  <si>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</si>
  <si>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</si>
  <si>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</si>
  <si>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</si>
  <si>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</si>
  <si>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</si>
  <si>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</si>
  <si>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</si>
  <si>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</si>
  <si>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</si>
  <si>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</si>
  <si>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</si>
  <si>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</si>
  <si>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</si>
  <si>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</si>
  <si>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</si>
  <si>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</si>
  <si>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</si>
  <si>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</si>
  <si>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</si>
  <si>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</si>
  <si>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</si>
  <si>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</si>
  <si>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</si>
  <si>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</si>
  <si>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</si>
  <si>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</si>
  <si>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</si>
  <si>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</si>
  <si>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</si>
  <si>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</si>
  <si>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</si>
  <si>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</si>
  <si>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</si>
  <si>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</si>
  <si>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</si>
  <si>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</si>
  <si>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</si>
  <si>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</si>
  <si>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</si>
  <si>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</si>
  <si>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</si>
  <si>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</si>
  <si>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</si>
  <si>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</si>
  <si>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</si>
  <si>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</si>
  <si>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</si>
  <si>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</si>
  <si>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</si>
  <si>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</si>
  <si>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</si>
  <si>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</si>
  <si>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</si>
  <si>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</si>
  <si>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</si>
  <si>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</si>
  <si>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</si>
  <si>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</si>
  <si>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</si>
  <si>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</si>
  <si>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</si>
  <si>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</si>
  <si>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</si>
  <si>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</si>
  <si>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</si>
  <si>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</si>
  <si>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</si>
  <si>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</si>
  <si>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</si>
  <si>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</si>
  <si>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</si>
  <si>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</si>
  <si>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</si>
  <si>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</si>
  <si>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</si>
  <si>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</si>
  <si>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</si>
  <si>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</si>
  <si>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</si>
  <si>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Nt Power, SHP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</si>
  <si>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</si>
  <si>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</si>
  <si>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</si>
  <si>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</si>
  <si>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</si>
  <si>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</si>
  <si>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</si>
  <si>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</si>
  <si>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</si>
  <si>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</si>
  <si>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</si>
  <si>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</si>
  <si>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</si>
  <si>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</si>
  <si>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</si>
  <si>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</si>
  <si>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</si>
  <si>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</si>
  <si>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</si>
  <si>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</si>
  <si>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</si>
  <si>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</si>
  <si>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</si>
  <si>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</si>
  <si>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</si>
  <si>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</si>
  <si>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</si>
  <si>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</si>
  <si>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</si>
  <si>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</si>
  <si>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</si>
  <si>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</si>
  <si>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</si>
  <si>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</si>
  <si>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</si>
  <si>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</si>
  <si>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</si>
  <si>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</si>
  <si>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Model PwrT from Model Nt*Qt,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</si>
  <si>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</si>
  <si>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</si>
  <si>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</si>
  <si>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</si>
  <si>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</si>
  <si>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</si>
  <si>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</si>
  <si>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</si>
  <si>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</si>
  <si>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</si>
  <si>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</si>
  <si>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</si>
  <si>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</si>
  <si>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From fr_OL_P_T_461_var_06_1ms.xlsx/compare</t>
  </si>
  <si>
    <t>Power G, shp</t>
  </si>
  <si>
    <t>Power T, 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</si>
</sst>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5" borderId="5" xfId="0" applyFill="1" applyBorder="1"/>
    <xf numFmtId="0" fontId="0" fillId="5" borderId="8" xfId="0" applyFill="1" applyBorder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" fontId="0" fillId="0" borderId="0" xfId="0" quotePrefix="1" applyNumberFormat="1" applyFill="1" applyBorder="1" applyAlignment="1">
      <alignment horizontal="left"/>
    </xf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17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CalPhotonTurnigy!$O$8:$O$15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7976"/>
        <c:axId val="747418760"/>
      </c:scatterChart>
      <c:valAx>
        <c:axId val="74741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18760"/>
        <c:crosses val="autoZero"/>
        <c:crossBetween val="midCat"/>
      </c:valAx>
      <c:valAx>
        <c:axId val="7474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1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</c:f>
              <c:strCache>
                <c:ptCount val="1"/>
                <c:pt idx="0">
                  <c:v>Model Qt from Model Nt, ft-lbf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CalPhotonTurnigy!$AM$2:$AM$16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8455.3722510014177</c:v>
                </c:pt>
                <c:pt idx="7">
                  <c:v>13113.210822435807</c:v>
                </c:pt>
                <c:pt idx="8">
                  <c:v>19116.102584104236</c:v>
                </c:pt>
                <c:pt idx="9">
                  <c:v>22748.368245688755</c:v>
                </c:pt>
                <c:pt idx="10">
                  <c:v>26032.868991128955</c:v>
                </c:pt>
                <c:pt idx="11">
                  <c:v>30735.076698960533</c:v>
                </c:pt>
                <c:pt idx="12">
                  <c:v>33712.897666288161</c:v>
                </c:pt>
                <c:pt idx="13">
                  <c:v>34578.376890285275</c:v>
                </c:pt>
                <c:pt idx="14">
                  <c:v>35782.889191108981</c:v>
                </c:pt>
              </c:numCache>
            </c:numRef>
          </c:xVal>
          <c:yVal>
            <c:numRef>
              <c:f>CalPhotonTurnigy!$AR$2:$AR$16</c:f>
              <c:numCache>
                <c:formatCode>0.00000</c:formatCode>
                <c:ptCount val="15"/>
                <c:pt idx="6">
                  <c:v>4.3873503556671905E-4</c:v>
                </c:pt>
                <c:pt idx="7">
                  <c:v>4.4749381157226293E-4</c:v>
                </c:pt>
                <c:pt idx="8">
                  <c:v>1.3755224878909979E-3</c:v>
                </c:pt>
                <c:pt idx="9">
                  <c:v>2.438403168041258E-3</c:v>
                </c:pt>
                <c:pt idx="10">
                  <c:v>3.7249606052333559E-3</c:v>
                </c:pt>
                <c:pt idx="11">
                  <c:v>6.1048249521557778E-3</c:v>
                </c:pt>
                <c:pt idx="12">
                  <c:v>7.9395613939336682E-3</c:v>
                </c:pt>
                <c:pt idx="13">
                  <c:v>8.5204621586561918E-3</c:v>
                </c:pt>
                <c:pt idx="14">
                  <c:v>9.364635757178906E-3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CalPhotonTurnigy!$AN$1</c:f>
              <c:strCache>
                <c:ptCount val="1"/>
                <c:pt idx="0">
                  <c:v>Model Qg from Model Ng, ft-lbf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CalPhotonTurnigy!$AH$4:$AH$16</c:f>
              <c:numCache>
                <c:formatCode>0.00</c:formatCode>
                <c:ptCount val="13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CalPhotonTurnigy!$AN$4:$AN$16</c:f>
              <c:numCache>
                <c:formatCode>0.00000</c:formatCode>
                <c:ptCount val="13"/>
                <c:pt idx="0">
                  <c:v>2.8885232311502262E-4</c:v>
                </c:pt>
                <c:pt idx="1">
                  <c:v>1.9093165395329351E-4</c:v>
                </c:pt>
                <c:pt idx="2">
                  <c:v>1.7100500229004468E-4</c:v>
                </c:pt>
                <c:pt idx="3">
                  <c:v>2.0975801042066519E-4</c:v>
                </c:pt>
                <c:pt idx="4">
                  <c:v>2.6996162202028583E-3</c:v>
                </c:pt>
                <c:pt idx="5">
                  <c:v>5.1338954187745353E-3</c:v>
                </c:pt>
                <c:pt idx="6">
                  <c:v>9.4698404838995734E-3</c:v>
                </c:pt>
                <c:pt idx="7">
                  <c:v>1.2749008265139302E-2</c:v>
                </c:pt>
                <c:pt idx="8">
                  <c:v>1.6139758156510163E-2</c:v>
                </c:pt>
                <c:pt idx="9">
                  <c:v>2.1697533384729531E-2</c:v>
                </c:pt>
                <c:pt idx="10">
                  <c:v>2.5645549843300849E-2</c:v>
                </c:pt>
                <c:pt idx="11">
                  <c:v>2.6855314322647372E-2</c:v>
                </c:pt>
                <c:pt idx="12">
                  <c:v>2.8585681652645696E-2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4744"/>
        <c:axId val="617952784"/>
      </c:scatterChart>
      <c:valAx>
        <c:axId val="61795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2784"/>
        <c:crosses val="autoZero"/>
        <c:crossBetween val="midCat"/>
      </c:valAx>
      <c:valAx>
        <c:axId val="6179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Constants Collapse with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CalPhotonTurnigy!$AO$7:$AO$16</c:f>
              <c:numCache>
                <c:formatCode>0.00000</c:formatCode>
                <c:ptCount val="10"/>
                <c:pt idx="0">
                  <c:v>2.7692873868451255E-4</c:v>
                </c:pt>
                <c:pt idx="1">
                  <c:v>8.9176138084568844E-3</c:v>
                </c:pt>
                <c:pt idx="2">
                  <c:v>2.1625919408211122E-2</c:v>
                </c:pt>
                <c:pt idx="3">
                  <c:v>5.0985534571040117E-2</c:v>
                </c:pt>
                <c:pt idx="4">
                  <c:v>7.7678636969085335E-2</c:v>
                </c:pt>
                <c:pt idx="5">
                  <c:v>0.10868458955176756</c:v>
                </c:pt>
                <c:pt idx="6">
                  <c:v>0.16602338252609797</c:v>
                </c:pt>
                <c:pt idx="7">
                  <c:v>0.21113753539938881</c:v>
                </c:pt>
                <c:pt idx="8">
                  <c:v>0.22563380169031633</c:v>
                </c:pt>
                <c:pt idx="9">
                  <c:v>0.24689226098011705</c:v>
                </c:pt>
              </c:numCache>
            </c:numRef>
          </c:xVal>
          <c:yVal>
            <c:numRef>
              <c:f>CalPhotonTurnigy!$AQ$7:$AQ$16</c:f>
              <c:numCache>
                <c:formatCode>0.000</c:formatCode>
                <c:ptCount val="10"/>
                <c:pt idx="0">
                  <c:v>0.70091118459969504</c:v>
                </c:pt>
                <c:pt idx="1">
                  <c:v>8.8118975354312457E-2</c:v>
                </c:pt>
                <c:pt idx="2">
                  <c:v>6.2906429754981188E-2</c:v>
                </c:pt>
                <c:pt idx="3">
                  <c:v>4.5959283219000058E-2</c:v>
                </c:pt>
                <c:pt idx="4">
                  <c:v>3.9517474546856564E-2</c:v>
                </c:pt>
                <c:pt idx="5">
                  <c:v>3.5072283984146989E-2</c:v>
                </c:pt>
                <c:pt idx="6">
                  <c:v>3.0207645977385553E-2</c:v>
                </c:pt>
                <c:pt idx="7">
                  <c:v>2.7768510934620141E-2</c:v>
                </c:pt>
                <c:pt idx="8">
                  <c:v>2.7131780912102679E-2</c:v>
                </c:pt>
                <c:pt idx="9">
                  <c:v>2.6292721207050167E-2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CalPhotonTurnigy!$AU$1</c:f>
              <c:strCache>
                <c:ptCount val="1"/>
                <c:pt idx="0">
                  <c:v>Model TauT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CalPhotonTurnigy!$AS$9:$AS$16</c:f>
              <c:numCache>
                <c:formatCode>General</c:formatCode>
                <c:ptCount val="8"/>
                <c:pt idx="0">
                  <c:v>1.1173040161619285E-3</c:v>
                </c:pt>
                <c:pt idx="1">
                  <c:v>5.0065934853896783E-3</c:v>
                </c:pt>
                <c:pt idx="2">
                  <c:v>1.056163236825145E-2</c:v>
                </c:pt>
                <c:pt idx="3">
                  <c:v>1.8463711240128786E-2</c:v>
                </c:pt>
                <c:pt idx="4">
                  <c:v>3.5725868838201807E-2</c:v>
                </c:pt>
                <c:pt idx="5">
                  <c:v>5.096451271685034E-2</c:v>
                </c:pt>
                <c:pt idx="6">
                  <c:v>5.6097439413828526E-2</c:v>
                </c:pt>
                <c:pt idx="7">
                  <c:v>6.3803069995093248E-2</c:v>
                </c:pt>
              </c:numCache>
            </c:numRef>
          </c:xVal>
          <c:yVal>
            <c:numRef>
              <c:f>CalPhotonTurnigy!$AU$9:$AU$16</c:f>
              <c:numCache>
                <c:formatCode>0.000</c:formatCode>
                <c:ptCount val="8"/>
                <c:pt idx="0">
                  <c:v>0.54554347663355163</c:v>
                </c:pt>
                <c:pt idx="1">
                  <c:v>0.15556314843485483</c:v>
                </c:pt>
                <c:pt idx="2">
                  <c:v>0.10859222053809225</c:v>
                </c:pt>
                <c:pt idx="3">
                  <c:v>8.5302008930907267E-2</c:v>
                </c:pt>
                <c:pt idx="4">
                  <c:v>6.5263072033615449E-2</c:v>
                </c:pt>
                <c:pt idx="5">
                  <c:v>5.6811314473004582E-2</c:v>
                </c:pt>
                <c:pt idx="6">
                  <c:v>5.4750560476384727E-2</c:v>
                </c:pt>
                <c:pt idx="7">
                  <c:v>5.2119411672962718E-2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CalPhotonTurnigy!$AS$19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CalPhotonTurnigy!$AR$21:$AR$29</c:f>
              <c:numCache>
                <c:formatCode>General</c:formatCode>
                <c:ptCount val="9"/>
                <c:pt idx="0">
                  <c:v>7.3801227827272476E-4</c:v>
                </c:pt>
                <c:pt idx="1">
                  <c:v>6.978697406499287E-4</c:v>
                </c:pt>
                <c:pt idx="2">
                  <c:v>8.2156541787077825E-4</c:v>
                </c:pt>
                <c:pt idx="3">
                  <c:v>2.7131440751281396E-3</c:v>
                </c:pt>
                <c:pt idx="4">
                  <c:v>7.1180011608729891E-3</c:v>
                </c:pt>
                <c:pt idx="5">
                  <c:v>1.1143313366134135E-2</c:v>
                </c:pt>
                <c:pt idx="6">
                  <c:v>1.3128852647530663E-2</c:v>
                </c:pt>
                <c:pt idx="7">
                  <c:v>1.6549422883591874E-2</c:v>
                </c:pt>
                <c:pt idx="8">
                  <c:v>2.6818816528704516E-2</c:v>
                </c:pt>
              </c:numCache>
            </c:numRef>
          </c:xVal>
          <c:yVal>
            <c:numRef>
              <c:f>CalPhotonTurnigy!$AS$21:$AS$29</c:f>
              <c:numCache>
                <c:formatCode>General</c:formatCode>
                <c:ptCount val="9"/>
                <c:pt idx="0">
                  <c:v>0.33</c:v>
                </c:pt>
                <c:pt idx="1">
                  <c:v>0.26300000000000001</c:v>
                </c:pt>
                <c:pt idx="2">
                  <c:v>0.2</c:v>
                </c:pt>
                <c:pt idx="3">
                  <c:v>0.127</c:v>
                </c:pt>
                <c:pt idx="4">
                  <c:v>0.1</c:v>
                </c:pt>
                <c:pt idx="5">
                  <c:v>7.3999999999999996E-2</c:v>
                </c:pt>
                <c:pt idx="6">
                  <c:v>7.0999999999999994E-2</c:v>
                </c:pt>
                <c:pt idx="7">
                  <c:v>4.4999999999999998E-2</c:v>
                </c:pt>
                <c:pt idx="8">
                  <c:v>0.03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CalPhotonTurnigy!$AS$19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CalPhotonTurnigy!$AQ$21:$AQ$29</c:f>
              <c:numCache>
                <c:formatCode>General</c:formatCode>
                <c:ptCount val="9"/>
                <c:pt idx="0">
                  <c:v>3.3218574470251366E-4</c:v>
                </c:pt>
                <c:pt idx="1">
                  <c:v>7.4483427705766901E-4</c:v>
                </c:pt>
                <c:pt idx="2">
                  <c:v>1.8196732395486779E-3</c:v>
                </c:pt>
                <c:pt idx="3">
                  <c:v>7.5397784789642732E-3</c:v>
                </c:pt>
                <c:pt idx="4">
                  <c:v>1.7146093021340732E-2</c:v>
                </c:pt>
                <c:pt idx="5">
                  <c:v>2.4979887676232684E-2</c:v>
                </c:pt>
                <c:pt idx="6">
                  <c:v>2.8687189497277076E-2</c:v>
                </c:pt>
                <c:pt idx="7">
                  <c:v>3.4912727705496999E-2</c:v>
                </c:pt>
                <c:pt idx="8">
                  <c:v>5.2819357330458824E-2</c:v>
                </c:pt>
              </c:numCache>
            </c:numRef>
          </c:xVal>
          <c:yVal>
            <c:numRef>
              <c:f>CalPhotonTurnigy!$AS$21:$AS$29</c:f>
              <c:numCache>
                <c:formatCode>General</c:formatCode>
                <c:ptCount val="9"/>
                <c:pt idx="0">
                  <c:v>0.33</c:v>
                </c:pt>
                <c:pt idx="1">
                  <c:v>0.26300000000000001</c:v>
                </c:pt>
                <c:pt idx="2">
                  <c:v>0.2</c:v>
                </c:pt>
                <c:pt idx="3">
                  <c:v>0.127</c:v>
                </c:pt>
                <c:pt idx="4">
                  <c:v>0.1</c:v>
                </c:pt>
                <c:pt idx="5">
                  <c:v>7.3999999999999996E-2</c:v>
                </c:pt>
                <c:pt idx="6">
                  <c:v>7.0999999999999994E-2</c:v>
                </c:pt>
                <c:pt idx="7">
                  <c:v>4.4999999999999998E-2</c:v>
                </c:pt>
                <c:pt idx="8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51176"/>
        <c:axId val="729951960"/>
      </c:scatterChart>
      <c:valAx>
        <c:axId val="729951176"/>
        <c:scaling>
          <c:logBase val="10"/>
          <c:orientation val="minMax"/>
          <c:max val="0.30000000000000004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Aero Power, shp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51960"/>
        <c:crosses val="autoZero"/>
        <c:crossBetween val="midCat"/>
      </c:valAx>
      <c:valAx>
        <c:axId val="72995196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Constant,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5117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75371828521432E-2"/>
          <c:y val="6.0185185185185182E-2"/>
          <c:w val="0.8522246281714785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CalPhotonTurnigy!$AS$1</c:f>
              <c:strCache>
                <c:ptCount val="1"/>
                <c:pt idx="0">
                  <c:v>Model PwrT from Model Nt*Qt, shp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CalPhotonTurnigy!$AM$2:$AM$16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8455.3722510014177</c:v>
                </c:pt>
                <c:pt idx="7">
                  <c:v>13113.210822435807</c:v>
                </c:pt>
                <c:pt idx="8">
                  <c:v>19116.102584104236</c:v>
                </c:pt>
                <c:pt idx="9">
                  <c:v>22748.368245688755</c:v>
                </c:pt>
                <c:pt idx="10">
                  <c:v>26032.868991128955</c:v>
                </c:pt>
                <c:pt idx="11">
                  <c:v>30735.076698960533</c:v>
                </c:pt>
                <c:pt idx="12">
                  <c:v>33712.897666288161</c:v>
                </c:pt>
                <c:pt idx="13">
                  <c:v>34578.376890285275</c:v>
                </c:pt>
                <c:pt idx="14">
                  <c:v>35782.889191108981</c:v>
                </c:pt>
              </c:numCache>
            </c:numRef>
          </c:xVal>
          <c:yVal>
            <c:numRef>
              <c:f>CalPhotonTurnigy!$AS$2:$AS$16</c:f>
              <c:numCache>
                <c:formatCode>General</c:formatCode>
                <c:ptCount val="15"/>
                <c:pt idx="6">
                  <c:v>7.0633435743963375E-4</c:v>
                </c:pt>
                <c:pt idx="7">
                  <c:v>1.1173040161619285E-3</c:v>
                </c:pt>
                <c:pt idx="8">
                  <c:v>5.0065934853896783E-3</c:v>
                </c:pt>
                <c:pt idx="9">
                  <c:v>1.056163236825145E-2</c:v>
                </c:pt>
                <c:pt idx="10">
                  <c:v>1.8463711240128786E-2</c:v>
                </c:pt>
                <c:pt idx="11">
                  <c:v>3.5725868838201807E-2</c:v>
                </c:pt>
                <c:pt idx="12">
                  <c:v>5.096451271685034E-2</c:v>
                </c:pt>
                <c:pt idx="13">
                  <c:v>5.6097439413828526E-2</c:v>
                </c:pt>
                <c:pt idx="14">
                  <c:v>6.3803069995093248E-2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CalPhotonTurnigy!$AO$1</c:f>
              <c:strCache>
                <c:ptCount val="1"/>
                <c:pt idx="0">
                  <c:v>Model PwrG from Model Ng*Q, shp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CalPhotonTurnigy!$AH$2:$AH$16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  <c:pt idx="14">
                  <c:v>45361.106669554021</c:v>
                </c:pt>
              </c:numCache>
            </c:numRef>
          </c:xVal>
          <c:yVal>
            <c:numRef>
              <c:f>CalPhotonTurnigy!$AO$2:$AO$16</c:f>
              <c:numCache>
                <c:formatCode>0.00000</c:formatCode>
                <c:ptCount val="15"/>
                <c:pt idx="2">
                  <c:v>1.568357211313355E-4</c:v>
                </c:pt>
                <c:pt idx="3">
                  <c:v>1.5802034350535392E-4</c:v>
                </c:pt>
                <c:pt idx="4">
                  <c:v>1.8556431418170516E-4</c:v>
                </c:pt>
                <c:pt idx="5">
                  <c:v>2.7692873868451255E-4</c:v>
                </c:pt>
                <c:pt idx="6">
                  <c:v>8.9176138084568844E-3</c:v>
                </c:pt>
                <c:pt idx="7">
                  <c:v>2.1625919408211122E-2</c:v>
                </c:pt>
                <c:pt idx="8">
                  <c:v>5.0985534571040117E-2</c:v>
                </c:pt>
                <c:pt idx="9">
                  <c:v>7.7678636969085335E-2</c:v>
                </c:pt>
                <c:pt idx="10">
                  <c:v>0.10868458955176756</c:v>
                </c:pt>
                <c:pt idx="11">
                  <c:v>0.16602338252609797</c:v>
                </c:pt>
                <c:pt idx="12">
                  <c:v>0.21113753539938881</c:v>
                </c:pt>
                <c:pt idx="13">
                  <c:v>0.22563380169031633</c:v>
                </c:pt>
                <c:pt idx="14">
                  <c:v>0.24689226098011705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44664"/>
        <c:axId val="932547800"/>
      </c:scatterChart>
      <c:valAx>
        <c:axId val="93254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47800"/>
        <c:crosses val="autoZero"/>
        <c:crossBetween val="midCat"/>
      </c:valAx>
      <c:valAx>
        <c:axId val="9325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4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5136"/>
        <c:axId val="617963760"/>
      </c:scatterChart>
      <c:valAx>
        <c:axId val="6179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3760"/>
        <c:crosses val="autoZero"/>
        <c:crossBetween val="midCat"/>
      </c:valAx>
      <c:valAx>
        <c:axId val="6179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64544"/>
        <c:axId val="61796336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64936"/>
        <c:axId val="617962584"/>
      </c:scatterChart>
      <c:valAx>
        <c:axId val="6179645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3368"/>
        <c:crossesAt val="-40"/>
        <c:crossBetween val="midCat"/>
        <c:majorUnit val="20"/>
      </c:valAx>
      <c:valAx>
        <c:axId val="6179633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4544"/>
        <c:crosses val="autoZero"/>
        <c:crossBetween val="midCat"/>
      </c:valAx>
      <c:valAx>
        <c:axId val="61796258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4936"/>
        <c:crosses val="max"/>
        <c:crossBetween val="midCat"/>
        <c:majorUnit val="40"/>
      </c:valAx>
      <c:valAx>
        <c:axId val="617964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96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65328"/>
        <c:axId val="720960760"/>
      </c:scatterChart>
      <c:valAx>
        <c:axId val="6179653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20960760"/>
        <c:crosses val="autoZero"/>
        <c:crossBetween val="midCat"/>
      </c:valAx>
      <c:valAx>
        <c:axId val="720960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96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65856"/>
        <c:axId val="720961152"/>
      </c:scatterChart>
      <c:valAx>
        <c:axId val="7209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1152"/>
        <c:crosses val="autoZero"/>
        <c:crossBetween val="midCat"/>
      </c:valAx>
      <c:valAx>
        <c:axId val="720961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57232"/>
        <c:axId val="720963504"/>
      </c:scatterChart>
      <c:valAx>
        <c:axId val="7209572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20963504"/>
        <c:crosses val="autoZero"/>
        <c:crossBetween val="midCat"/>
      </c:valAx>
      <c:valAx>
        <c:axId val="72096350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72095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64288"/>
        <c:axId val="720958016"/>
      </c:scatterChart>
      <c:valAx>
        <c:axId val="7209642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20958016"/>
        <c:crosses val="autoZero"/>
        <c:crossBetween val="midCat"/>
        <c:dispUnits>
          <c:builtInUnit val="thousands"/>
          <c:dispUnitsLbl/>
        </c:dispUnits>
      </c:valAx>
      <c:valAx>
        <c:axId val="7209580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2096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59192"/>
        <c:axId val="720959976"/>
      </c:scatterChart>
      <c:valAx>
        <c:axId val="72095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959976"/>
        <c:crosses val="autoZero"/>
        <c:crossBetween val="midCat"/>
      </c:valAx>
      <c:valAx>
        <c:axId val="72095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959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CalPhotonTurnigy!$K$8:$K$15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0328"/>
        <c:axId val="747403864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CalPhotonTurnigy!$T$4:$T$15</c:f>
              <c:numCache>
                <c:formatCode>General</c:formatCode>
                <c:ptCount val="12"/>
                <c:pt idx="0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6312"/>
        <c:axId val="747407392"/>
      </c:scatterChart>
      <c:valAx>
        <c:axId val="7474203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03864"/>
        <c:crossesAt val="-40"/>
        <c:crossBetween val="midCat"/>
        <c:majorUnit val="20"/>
      </c:valAx>
      <c:valAx>
        <c:axId val="7474038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0328"/>
        <c:crosses val="autoZero"/>
        <c:crossBetween val="midCat"/>
      </c:valAx>
      <c:valAx>
        <c:axId val="74740739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6312"/>
        <c:crosses val="max"/>
        <c:crossBetween val="midCat"/>
        <c:majorUnit val="40"/>
      </c:valAx>
      <c:valAx>
        <c:axId val="617956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740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61936"/>
        <c:axId val="720962328"/>
      </c:scatterChart>
      <c:valAx>
        <c:axId val="7209619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20962328"/>
        <c:crosses val="autoZero"/>
        <c:crossBetween val="midCat"/>
      </c:valAx>
      <c:valAx>
        <c:axId val="7209623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720961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63112"/>
        <c:axId val="720964680"/>
      </c:scatterChart>
      <c:valAx>
        <c:axId val="7209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4680"/>
        <c:crosses val="autoZero"/>
        <c:crossBetween val="midCat"/>
      </c:valAx>
      <c:valAx>
        <c:axId val="7209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67032"/>
        <c:axId val="720970168"/>
      </c:scatterChart>
      <c:valAx>
        <c:axId val="7209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70168"/>
        <c:crosses val="autoZero"/>
        <c:crossBetween val="midCat"/>
      </c:valAx>
      <c:valAx>
        <c:axId val="7209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68208"/>
        <c:axId val="720968600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69384"/>
        <c:axId val="720967816"/>
      </c:scatterChart>
      <c:valAx>
        <c:axId val="72096820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8600"/>
        <c:crosses val="autoZero"/>
        <c:crossBetween val="midCat"/>
      </c:valAx>
      <c:valAx>
        <c:axId val="7209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8208"/>
        <c:crosses val="autoZero"/>
        <c:crossBetween val="midCat"/>
      </c:valAx>
      <c:valAx>
        <c:axId val="720967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9384"/>
        <c:crosses val="max"/>
        <c:crossBetween val="midCat"/>
      </c:valAx>
      <c:valAx>
        <c:axId val="720969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96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84784"/>
        <c:axId val="719080472"/>
      </c:scatterChart>
      <c:valAx>
        <c:axId val="7190847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19080472"/>
        <c:crosses val="autoZero"/>
        <c:crossBetween val="midCat"/>
      </c:valAx>
      <c:valAx>
        <c:axId val="719080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084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82040"/>
        <c:axId val="719080864"/>
      </c:scatterChart>
      <c:valAx>
        <c:axId val="71908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19080864"/>
        <c:crosses val="autoZero"/>
        <c:crossBetween val="midCat"/>
      </c:valAx>
      <c:valAx>
        <c:axId val="7190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082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77728"/>
        <c:axId val="719073416"/>
      </c:scatterChart>
      <c:valAx>
        <c:axId val="71907772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3416"/>
        <c:crosses val="autoZero"/>
        <c:crossBetween val="midCat"/>
      </c:valAx>
      <c:valAx>
        <c:axId val="7190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772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78120"/>
        <c:axId val="719079296"/>
      </c:scatterChart>
      <c:valAx>
        <c:axId val="71907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9296"/>
        <c:crosses val="autoZero"/>
        <c:crossBetween val="midCat"/>
      </c:valAx>
      <c:valAx>
        <c:axId val="7190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74200"/>
        <c:axId val="719081256"/>
      </c:scatterChart>
      <c:valAx>
        <c:axId val="71907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81256"/>
        <c:crosses val="autoZero"/>
        <c:crossBetween val="midCat"/>
      </c:valAx>
      <c:valAx>
        <c:axId val="71908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75768"/>
        <c:axId val="719087528"/>
      </c:scatterChart>
      <c:valAx>
        <c:axId val="7190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87528"/>
        <c:crosses val="autoZero"/>
        <c:crossBetween val="midCat"/>
      </c:valAx>
      <c:valAx>
        <c:axId val="719087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CalPhotonTurnigy!$T$4:$T$15</c:f>
              <c:numCache>
                <c:formatCode>General</c:formatCode>
                <c:ptCount val="12"/>
                <c:pt idx="0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9840"/>
        <c:axId val="617953176"/>
      </c:scatterChart>
      <c:valAx>
        <c:axId val="61795984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617953176"/>
        <c:crosses val="autoZero"/>
        <c:crossBetween val="midCat"/>
      </c:valAx>
      <c:valAx>
        <c:axId val="617953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95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CalPhotonTurnigy!$AH$4:$AH$15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9056"/>
        <c:axId val="617961800"/>
      </c:scatterChart>
      <c:valAx>
        <c:axId val="6179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1800"/>
        <c:crosses val="autoZero"/>
        <c:crossBetween val="midCat"/>
      </c:valAx>
      <c:valAx>
        <c:axId val="617961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1389682233259"/>
          <c:y val="5.744653372124811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CalPhotonTurnigy!$W$4:$W$15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773080317802386"/>
                  <c:y val="0.4916876859601441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3960"/>
        <c:axId val="617957096"/>
      </c:scatterChart>
      <c:valAx>
        <c:axId val="6179539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17957096"/>
        <c:crosses val="autoZero"/>
        <c:crossBetween val="midCat"/>
      </c:valAx>
      <c:valAx>
        <c:axId val="6179570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617953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281758798185581"/>
          <c:y val="0.38445160320408583"/>
          <c:w val="0.37937560743520554"/>
          <c:h val="0.324231785734802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15821878025169409"/>
          <c:y val="2.831308625644893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CalPhotonTurnigy!$AM$9:$AM$16</c:f>
              <c:numCache>
                <c:formatCode>General</c:formatCode>
                <c:ptCount val="8"/>
                <c:pt idx="0">
                  <c:v>13113.210822435807</c:v>
                </c:pt>
                <c:pt idx="1">
                  <c:v>19116.102584104236</c:v>
                </c:pt>
                <c:pt idx="2">
                  <c:v>22748.368245688755</c:v>
                </c:pt>
                <c:pt idx="3">
                  <c:v>26032.868991128955</c:v>
                </c:pt>
                <c:pt idx="4">
                  <c:v>30735.076698960533</c:v>
                </c:pt>
                <c:pt idx="5">
                  <c:v>33712.897666288161</c:v>
                </c:pt>
                <c:pt idx="6">
                  <c:v>34578.376890285275</c:v>
                </c:pt>
                <c:pt idx="7">
                  <c:v>35782.889191108981</c:v>
                </c:pt>
              </c:numCache>
            </c:numRef>
          </c:xVal>
          <c:yVal>
            <c:numRef>
              <c:f>CalPhotonTurnigy!$AU$9:$AU$16</c:f>
              <c:numCache>
                <c:formatCode>0.000</c:formatCode>
                <c:ptCount val="8"/>
                <c:pt idx="0">
                  <c:v>0.54554347663355163</c:v>
                </c:pt>
                <c:pt idx="1">
                  <c:v>0.15556314843485483</c:v>
                </c:pt>
                <c:pt idx="2">
                  <c:v>0.10859222053809225</c:v>
                </c:pt>
                <c:pt idx="3">
                  <c:v>8.5302008930907267E-2</c:v>
                </c:pt>
                <c:pt idx="4">
                  <c:v>6.5263072033615449E-2</c:v>
                </c:pt>
                <c:pt idx="5">
                  <c:v>5.6811314473004582E-2</c:v>
                </c:pt>
                <c:pt idx="6">
                  <c:v>5.4750560476384727E-2</c:v>
                </c:pt>
                <c:pt idx="7">
                  <c:v>5.2119411672962718E-2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CalPhotonTurnigy!$AH$8:$AH$16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  <c:pt idx="8">
                  <c:v>45361.106669554021</c:v>
                </c:pt>
              </c:numCache>
            </c:numRef>
          </c:xVal>
          <c:yVal>
            <c:numRef>
              <c:f>CalPhotonTurnigy!$AQ$8:$AQ$16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  <c:pt idx="8">
                  <c:v>2.6292721207050167E-2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CalPhotonTurnigy!$AS$19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CalPhotonTurnigy!$AO$21:$AO$29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CalPhotonTurnigy!$AS$21:$AS$29</c:f>
              <c:numCache>
                <c:formatCode>General</c:formatCode>
                <c:ptCount val="9"/>
                <c:pt idx="0">
                  <c:v>0.33</c:v>
                </c:pt>
                <c:pt idx="1">
                  <c:v>0.26300000000000001</c:v>
                </c:pt>
                <c:pt idx="2">
                  <c:v>0.2</c:v>
                </c:pt>
                <c:pt idx="3">
                  <c:v>0.127</c:v>
                </c:pt>
                <c:pt idx="4">
                  <c:v>0.1</c:v>
                </c:pt>
                <c:pt idx="5">
                  <c:v>7.3999999999999996E-2</c:v>
                </c:pt>
                <c:pt idx="6">
                  <c:v>7.0999999999999994E-2</c:v>
                </c:pt>
                <c:pt idx="7">
                  <c:v>4.4999999999999998E-2</c:v>
                </c:pt>
                <c:pt idx="8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1608"/>
        <c:axId val="617950432"/>
      </c:scatterChart>
      <c:valAx>
        <c:axId val="617951608"/>
        <c:scaling>
          <c:orientation val="minMax"/>
          <c:max val="30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950432"/>
        <c:crosses val="autoZero"/>
        <c:crossBetween val="midCat"/>
      </c:valAx>
      <c:valAx>
        <c:axId val="617950432"/>
        <c:scaling>
          <c:orientation val="minMax"/>
          <c:max val="0.30000000000000004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17951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101069908565"/>
          <c:y val="0.16153737010278268"/>
          <c:w val="0.49502511605216815"/>
          <c:h val="0.162788355964604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CalPhotonTurnigy!$AN$1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CalPhotonTurnigy!$AH$2:$AH$16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  <c:pt idx="14">
                  <c:v>45361.106669554021</c:v>
                </c:pt>
              </c:numCache>
            </c:numRef>
          </c:xVal>
          <c:yVal>
            <c:numRef>
              <c:f>CalPhotonTurnigy!$AN$2:$AN$16</c:f>
              <c:numCache>
                <c:formatCode>0.00000</c:formatCode>
                <c:ptCount val="15"/>
                <c:pt idx="2">
                  <c:v>2.8885232311502262E-4</c:v>
                </c:pt>
                <c:pt idx="3">
                  <c:v>1.9093165395329351E-4</c:v>
                </c:pt>
                <c:pt idx="4">
                  <c:v>1.7100500229004468E-4</c:v>
                </c:pt>
                <c:pt idx="5">
                  <c:v>2.0975801042066519E-4</c:v>
                </c:pt>
                <c:pt idx="6">
                  <c:v>2.6996162202028583E-3</c:v>
                </c:pt>
                <c:pt idx="7">
                  <c:v>5.1338954187745353E-3</c:v>
                </c:pt>
                <c:pt idx="8">
                  <c:v>9.4698404838995734E-3</c:v>
                </c:pt>
                <c:pt idx="9">
                  <c:v>1.2749008265139302E-2</c:v>
                </c:pt>
                <c:pt idx="10">
                  <c:v>1.6139758156510163E-2</c:v>
                </c:pt>
                <c:pt idx="11">
                  <c:v>2.1697533384729531E-2</c:v>
                </c:pt>
                <c:pt idx="12">
                  <c:v>2.5645549843300849E-2</c:v>
                </c:pt>
                <c:pt idx="13">
                  <c:v>2.6855314322647372E-2</c:v>
                </c:pt>
                <c:pt idx="14">
                  <c:v>2.8585681652645696E-2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Qt from Model Nt, ft-lbf</c:v>
                </c:pt>
              </c:strCache>
            </c:strRef>
          </c:tx>
          <c:marker>
            <c:symbol val="none"/>
          </c:marker>
          <c:xVal>
            <c:numRef>
              <c:f>CalPhotonTurnigy!$AM$8:$AM$16</c:f>
              <c:numCache>
                <c:formatCode>General</c:formatCode>
                <c:ptCount val="9"/>
                <c:pt idx="0">
                  <c:v>8455.3722510014177</c:v>
                </c:pt>
                <c:pt idx="1">
                  <c:v>13113.210822435807</c:v>
                </c:pt>
                <c:pt idx="2">
                  <c:v>19116.102584104236</c:v>
                </c:pt>
                <c:pt idx="3">
                  <c:v>22748.368245688755</c:v>
                </c:pt>
                <c:pt idx="4">
                  <c:v>26032.868991128955</c:v>
                </c:pt>
                <c:pt idx="5">
                  <c:v>30735.076698960533</c:v>
                </c:pt>
                <c:pt idx="6">
                  <c:v>33712.897666288161</c:v>
                </c:pt>
                <c:pt idx="7">
                  <c:v>34578.376890285275</c:v>
                </c:pt>
                <c:pt idx="8">
                  <c:v>35782.889191108981</c:v>
                </c:pt>
              </c:numCache>
            </c:numRef>
          </c:xVal>
          <c:yVal>
            <c:numRef>
              <c:f>CalPhotonTurnigy!$AR$8:$AR$16</c:f>
              <c:numCache>
                <c:formatCode>0.00000</c:formatCode>
                <c:ptCount val="9"/>
                <c:pt idx="0">
                  <c:v>4.3873503556671905E-4</c:v>
                </c:pt>
                <c:pt idx="1">
                  <c:v>4.4749381157226293E-4</c:v>
                </c:pt>
                <c:pt idx="2">
                  <c:v>1.3755224878909979E-3</c:v>
                </c:pt>
                <c:pt idx="3">
                  <c:v>2.438403168041258E-3</c:v>
                </c:pt>
                <c:pt idx="4">
                  <c:v>3.7249606052333559E-3</c:v>
                </c:pt>
                <c:pt idx="5">
                  <c:v>6.1048249521557778E-3</c:v>
                </c:pt>
                <c:pt idx="6">
                  <c:v>7.9395613939336682E-3</c:v>
                </c:pt>
                <c:pt idx="7">
                  <c:v>8.5204621586561918E-3</c:v>
                </c:pt>
                <c:pt idx="8">
                  <c:v>9.364635757178906E-3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5528"/>
        <c:axId val="617951216"/>
      </c:scatterChart>
      <c:valAx>
        <c:axId val="61795552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617951216"/>
        <c:crosses val="autoZero"/>
        <c:crossBetween val="midCat"/>
      </c:valAx>
      <c:valAx>
        <c:axId val="61795121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617955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36787493657830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CalPhotonTurnigy!$U$66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CalPhotonTurnigy!$U$67:$U$84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CalPhotonTurnigy!$U$87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CalPhotonTurnigy!$U$88:$U$102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61016"/>
        <c:axId val="617957880"/>
      </c:scatterChart>
      <c:valAx>
        <c:axId val="61796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7880"/>
        <c:crosses val="autoZero"/>
        <c:crossBetween val="midCat"/>
      </c:valAx>
      <c:valAx>
        <c:axId val="6179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CalPhotonTurnigy!$W$1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CalPhotonTurnigy!$W$4:$W$15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8272"/>
        <c:axId val="617952392"/>
      </c:scatterChart>
      <c:valAx>
        <c:axId val="6179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2392"/>
        <c:crosses val="autoZero"/>
        <c:crossBetween val="midCat"/>
      </c:valAx>
      <c:valAx>
        <c:axId val="61795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15239</xdr:rowOff>
    </xdr:from>
    <xdr:to>
      <xdr:col>5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27</xdr:row>
      <xdr:rowOff>68580</xdr:rowOff>
    </xdr:from>
    <xdr:to>
      <xdr:col>20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331683</xdr:colOff>
      <xdr:row>42</xdr:row>
      <xdr:rowOff>172092</xdr:rowOff>
    </xdr:from>
    <xdr:to>
      <xdr:col>11</xdr:col>
      <xdr:colOff>135468</xdr:colOff>
      <xdr:row>53</xdr:row>
      <xdr:rowOff>16933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42</xdr:row>
      <xdr:rowOff>170186</xdr:rowOff>
    </xdr:from>
    <xdr:to>
      <xdr:col>18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21802</xdr:colOff>
      <xdr:row>27</xdr:row>
      <xdr:rowOff>93133</xdr:rowOff>
    </xdr:from>
    <xdr:to>
      <xdr:col>13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402167</xdr:colOff>
      <xdr:row>18</xdr:row>
      <xdr:rowOff>71972</xdr:rowOff>
    </xdr:from>
    <xdr:to>
      <xdr:col>51</xdr:col>
      <xdr:colOff>566057</xdr:colOff>
      <xdr:row>32</xdr:row>
      <xdr:rowOff>265641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220133</xdr:colOff>
      <xdr:row>36</xdr:row>
      <xdr:rowOff>152400</xdr:rowOff>
    </xdr:from>
    <xdr:to>
      <xdr:col>39</xdr:col>
      <xdr:colOff>0</xdr:colOff>
      <xdr:row>51</xdr:row>
      <xdr:rowOff>59267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395816</xdr:colOff>
      <xdr:row>65</xdr:row>
      <xdr:rowOff>28786</xdr:rowOff>
    </xdr:from>
    <xdr:to>
      <xdr:col>31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180802</xdr:colOff>
      <xdr:row>79</xdr:row>
      <xdr:rowOff>86590</xdr:rowOff>
    </xdr:from>
    <xdr:to>
      <xdr:col>32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307287</xdr:colOff>
      <xdr:row>0</xdr:row>
      <xdr:rowOff>1037568</xdr:rowOff>
    </xdr:from>
    <xdr:to>
      <xdr:col>57</xdr:col>
      <xdr:colOff>95620</xdr:colOff>
      <xdr:row>19</xdr:row>
      <xdr:rowOff>1337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113806</xdr:colOff>
      <xdr:row>18</xdr:row>
      <xdr:rowOff>159326</xdr:rowOff>
    </xdr:from>
    <xdr:to>
      <xdr:col>58</xdr:col>
      <xdr:colOff>55418</xdr:colOff>
      <xdr:row>34</xdr:row>
      <xdr:rowOff>9899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214744</xdr:colOff>
      <xdr:row>33</xdr:row>
      <xdr:rowOff>116780</xdr:rowOff>
    </xdr:from>
    <xdr:to>
      <xdr:col>52</xdr:col>
      <xdr:colOff>202869</xdr:colOff>
      <xdr:row>47</xdr:row>
      <xdr:rowOff>37612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"/>
  <sheetViews>
    <sheetView tabSelected="1" topLeftCell="AM1" zoomScale="70" zoomScaleNormal="70" workbookViewId="0">
      <pane ySplit="1" topLeftCell="A11" activePane="bottomLeft" state="frozen"/>
      <selection pane="bottomLeft" activeCell="BD40" sqref="BD40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9.109375" style="1" bestFit="1" customWidth="1"/>
    <col min="8" max="8" width="8.5546875" style="1" bestFit="1" customWidth="1"/>
    <col min="9" max="9" width="5.88671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7773437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8.5546875" bestFit="1" customWidth="1"/>
    <col min="25" max="25" width="9.6640625" customWidth="1"/>
    <col min="26" max="26" width="12" customWidth="1"/>
    <col min="27" max="27" width="7.88671875" customWidth="1"/>
    <col min="28" max="28" width="10" customWidth="1"/>
    <col min="29" max="29" width="11.33203125" customWidth="1"/>
    <col min="30" max="30" width="10" customWidth="1"/>
    <col min="31" max="31" width="11" customWidth="1"/>
    <col min="32" max="32" width="11.88671875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9.88671875" bestFit="1" customWidth="1"/>
    <col min="45" max="45" width="12" bestFit="1" customWidth="1"/>
    <col min="46" max="46" width="10.44140625" bestFit="1" customWidth="1"/>
    <col min="47" max="47" width="10.21875" customWidth="1"/>
    <col min="48" max="48" width="9.33203125" bestFit="1" customWidth="1"/>
    <col min="49" max="49" width="10.21875" bestFit="1" customWidth="1"/>
  </cols>
  <sheetData>
    <row r="1" spans="1:49" ht="86.4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111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116</v>
      </c>
      <c r="O1" s="4" t="s">
        <v>25</v>
      </c>
      <c r="P1" s="4" t="s">
        <v>137</v>
      </c>
      <c r="Q1" s="4" t="s">
        <v>26</v>
      </c>
      <c r="R1" s="4" t="s">
        <v>100</v>
      </c>
      <c r="S1" s="4" t="s">
        <v>7</v>
      </c>
      <c r="T1" s="4" t="str">
        <f t="shared" ref="T1:T16" si="0">J1</f>
        <v>Charger Pwr, W</v>
      </c>
      <c r="U1" s="4" t="s">
        <v>138</v>
      </c>
      <c r="V1" s="4" t="s">
        <v>151</v>
      </c>
      <c r="W1" s="4" t="s">
        <v>46</v>
      </c>
      <c r="X1" s="4" t="s">
        <v>101</v>
      </c>
      <c r="Y1" s="4"/>
      <c r="Z1" s="4"/>
      <c r="AA1" s="4"/>
      <c r="AB1" s="4"/>
      <c r="AC1" s="4"/>
      <c r="AD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108</v>
      </c>
      <c r="AK1" s="4" t="s">
        <v>109</v>
      </c>
      <c r="AL1" s="4" t="s">
        <v>102</v>
      </c>
      <c r="AM1" s="4" t="s">
        <v>103</v>
      </c>
      <c r="AN1" s="4" t="s">
        <v>85</v>
      </c>
      <c r="AO1" s="4" t="s">
        <v>139</v>
      </c>
      <c r="AP1" s="4" t="s">
        <v>84</v>
      </c>
      <c r="AQ1" s="4" t="s">
        <v>81</v>
      </c>
      <c r="AR1" s="4" t="s">
        <v>105</v>
      </c>
      <c r="AS1" s="4" t="s">
        <v>140</v>
      </c>
      <c r="AT1" s="4" t="s">
        <v>106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6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>O2/$W$42*100</f>
        <v>0</v>
      </c>
      <c r="R2" s="3">
        <f>P2/$W$42*100</f>
        <v>0</v>
      </c>
      <c r="S2" s="3">
        <f t="shared" ref="S2:S16" si="2">K2</f>
        <v>1E-3</v>
      </c>
      <c r="T2" s="4">
        <f t="shared" si="0"/>
        <v>0</v>
      </c>
      <c r="AA2" s="4"/>
      <c r="AB2" s="4"/>
      <c r="AC2" s="4"/>
      <c r="AD2" s="4"/>
      <c r="AF2" s="95">
        <f>C2/$AD$34*$AD$29</f>
        <v>2.7777777777777779E-5</v>
      </c>
      <c r="AG2" s="95">
        <f>AF2/$AD$29*$AD$34</f>
        <v>1E-3</v>
      </c>
      <c r="AH2" s="96">
        <f>MAX(($AD$37+$AE$37*LN($AG2)),0)</f>
        <v>0</v>
      </c>
      <c r="AI2" s="96">
        <f>MAX(($AD$37+$AE$37*LN($AG2))/$AD$33,0)</f>
        <v>0</v>
      </c>
      <c r="AJ2" s="96">
        <f>($AD$38+$AE$38*AI2*$AD$33)/$AD$33</f>
        <v>-18.379858705839208</v>
      </c>
      <c r="AK2" s="96">
        <f>($AD$39+$AE$39*AJ2*$AD$33)/$AD$33</f>
        <v>7.9564345991660124E-2</v>
      </c>
      <c r="AM2">
        <f>MAX($AD$38+$AE$38*AH2, 0)</f>
        <v>0</v>
      </c>
      <c r="AN2" s="127"/>
      <c r="AO2" s="127"/>
      <c r="AR2" s="127"/>
      <c r="AT2" s="127"/>
    </row>
    <row r="3" spans="1:49" x14ac:dyDescent="0.3">
      <c r="B3" s="113">
        <f>C3/180+1</f>
        <v>1.0408972290491105</v>
      </c>
      <c r="C3" s="111">
        <f>EXP((0-$AD$37)/$AE$37)</f>
        <v>7.361501228839896</v>
      </c>
      <c r="D3" s="109"/>
      <c r="E3" s="109">
        <v>13.82</v>
      </c>
      <c r="F3" s="109">
        <v>0.32200000000000001</v>
      </c>
      <c r="G3" s="151">
        <v>1.0000000000000001E+32</v>
      </c>
      <c r="H3" s="105">
        <v>1.0000000000000001E+32</v>
      </c>
      <c r="I3" s="115">
        <v>0</v>
      </c>
      <c r="J3" s="2">
        <f>E3*F3</f>
        <v>4.4500400000000004</v>
      </c>
      <c r="K3" s="1">
        <f>C3</f>
        <v>7.361501228839896</v>
      </c>
      <c r="L3" s="1">
        <f>LN(K3)</f>
        <v>1.9962638832512341</v>
      </c>
      <c r="M3" s="3">
        <f t="shared" ref="M3" si="3">1/G3/0.000001</f>
        <v>9.999999999999999E-27</v>
      </c>
      <c r="N3" s="3">
        <f t="shared" ref="N3" si="4">1/H3/0.000001</f>
        <v>9.999999999999999E-27</v>
      </c>
      <c r="O3" s="3">
        <f>M3*60/$W$29</f>
        <v>5.9999999999999995E-25</v>
      </c>
      <c r="P3" s="4">
        <v>0</v>
      </c>
      <c r="Q3" s="3">
        <f>O3/$W$42*100</f>
        <v>1.3020833333333332E-27</v>
      </c>
      <c r="R3" s="3">
        <f>P3/$W$42*100</f>
        <v>0</v>
      </c>
      <c r="S3" s="3">
        <f t="shared" si="2"/>
        <v>7.361501228839896</v>
      </c>
      <c r="T3" s="4">
        <f t="shared" si="0"/>
        <v>4.4500400000000004</v>
      </c>
      <c r="U3">
        <f t="shared" ref="U3" si="5">(T3-$T$3)*0.001341022</f>
        <v>0</v>
      </c>
      <c r="V3" s="127">
        <v>0</v>
      </c>
      <c r="W3" s="127">
        <v>0</v>
      </c>
      <c r="AA3" s="4"/>
      <c r="AB3" s="4"/>
      <c r="AC3" s="4"/>
      <c r="AD3" s="4"/>
      <c r="AF3" s="95">
        <f>C3/$AD$34*$AD$29</f>
        <v>0.20448614524555267</v>
      </c>
      <c r="AG3" s="95">
        <f>AF3/$AD$29*$AD$34</f>
        <v>7.361501228839896</v>
      </c>
      <c r="AH3" s="96">
        <f>MAX(($AD$37+$AE$37*LN($AG3)),0)</f>
        <v>0</v>
      </c>
      <c r="AI3" s="96">
        <f>MAX(($AD$37+$AE$37*LN(AG3))/$AD$33,0)</f>
        <v>0</v>
      </c>
      <c r="AJ3" s="96">
        <f>($AD$38+$AE$38*AI3*$AD$33)/$AD$33</f>
        <v>-18.379858705839208</v>
      </c>
      <c r="AK3" s="96">
        <f>($AD$39+$AE$39*AJ3*$AD$33)/$AD$33</f>
        <v>7.9564345991660124E-2</v>
      </c>
      <c r="AM3">
        <f>MAX($AD$38+$AE$38*AH3, 0)</f>
        <v>0</v>
      </c>
      <c r="AN3" s="127"/>
      <c r="AO3" s="127"/>
      <c r="AP3" s="127"/>
      <c r="AR3" s="127"/>
      <c r="AT3" s="127"/>
    </row>
    <row r="4" spans="1:49" ht="15" customHeight="1" x14ac:dyDescent="0.3">
      <c r="B4" s="113">
        <f t="shared" ref="B4:B5" si="6">C4/180+1</f>
        <v>1.05</v>
      </c>
      <c r="C4" s="73">
        <v>9</v>
      </c>
      <c r="D4" s="109"/>
      <c r="E4" s="73">
        <v>13.69</v>
      </c>
      <c r="F4" s="106">
        <v>0.56000000000000005</v>
      </c>
      <c r="G4" s="73">
        <v>7880</v>
      </c>
      <c r="H4" s="105">
        <v>1.0000000000000001E+32</v>
      </c>
      <c r="I4" s="78">
        <v>0</v>
      </c>
      <c r="J4" s="2">
        <f>E4*F4</f>
        <v>7.6664000000000003</v>
      </c>
      <c r="K4" s="1">
        <f t="shared" ref="K4:K5" si="7">C4</f>
        <v>9</v>
      </c>
      <c r="L4" s="1">
        <f t="shared" ref="L4:L5" si="8">LN(K4)</f>
        <v>2.1972245773362196</v>
      </c>
      <c r="M4" s="3">
        <f t="shared" ref="M4:M5" si="9">1/G4/0.000001</f>
        <v>126.9035532994924</v>
      </c>
      <c r="N4" s="3">
        <f t="shared" ref="N4:N5" si="10">1/H4/0.000001</f>
        <v>9.999999999999999E-27</v>
      </c>
      <c r="O4" s="3">
        <f>M4*60/$W$29</f>
        <v>7614.2131979695441</v>
      </c>
      <c r="P4" s="3">
        <f>N4*60/$W$29</f>
        <v>5.9999999999999995E-25</v>
      </c>
      <c r="Q4" s="3">
        <f>O4/$W$42*100</f>
        <v>16.52390016920474</v>
      </c>
      <c r="R4" s="3">
        <f>P4/$W$42*100</f>
        <v>1.3020833333333332E-27</v>
      </c>
      <c r="S4" s="3">
        <f t="shared" ref="S4:S5" si="11">K4</f>
        <v>9</v>
      </c>
      <c r="T4" s="4">
        <f t="shared" ref="T4:T5" si="12">J4</f>
        <v>7.6664000000000003</v>
      </c>
      <c r="U4">
        <f>(T4-$T$3)*0.001341022</f>
        <v>4.3132095199200004E-3</v>
      </c>
      <c r="V4" s="137">
        <f>$U4/$O4*5252</f>
        <v>2.9750909003520725E-3</v>
      </c>
      <c r="W4" s="154">
        <f>V4-$V$4</f>
        <v>0</v>
      </c>
      <c r="Y4" s="127"/>
      <c r="AF4" s="95">
        <f>C4/$AD$34*$AD$29</f>
        <v>0.25</v>
      </c>
      <c r="AG4" s="95">
        <f>AF4/$AD$29*$AD$34</f>
        <v>9</v>
      </c>
      <c r="AH4" s="96">
        <f>MAX(($AD$37+$AE$37*LN($AG4)),0)</f>
        <v>2851.6343524568838</v>
      </c>
      <c r="AI4" s="96">
        <f>MAX(($AD$37+$AE$37*LN(AG4))/$AD$33,0)</f>
        <v>6.1884426051581674</v>
      </c>
      <c r="AJ4" s="96">
        <f>($AD$38+$AE$38*AI4*$AD$33)/$AD$33</f>
        <v>-12.342682530228062</v>
      </c>
      <c r="AK4" s="96">
        <f>($AD$39+$AE$39*AJ4*$AD$33)/$AD$33</f>
        <v>6.2588081558872348</v>
      </c>
      <c r="AM4">
        <f>MAX($AD$38+$AE$38*AH4, 0)</f>
        <v>0</v>
      </c>
      <c r="AN4" s="127">
        <f>MAX($AD$40+$AH4*($AE$40+$AH4*$AF$40), 0)</f>
        <v>2.8885232311502262E-4</v>
      </c>
      <c r="AO4" s="127">
        <f>AH4*AN4/5252</f>
        <v>1.568357211313355E-4</v>
      </c>
      <c r="AP4" s="146">
        <f>MAX($AE$40+$AF$40*2*AH4,1E-32)</f>
        <v>1.0000000000000001E-32</v>
      </c>
      <c r="AQ4" s="95"/>
      <c r="AR4" s="127"/>
      <c r="AU4" s="95"/>
      <c r="AV4" s="128">
        <f>$W$33/$W$32</f>
        <v>1.0526315789473683E-4</v>
      </c>
      <c r="AW4" s="96"/>
    </row>
    <row r="5" spans="1:49" ht="15" customHeight="1" x14ac:dyDescent="0.3">
      <c r="B5" s="113">
        <f t="shared" si="6"/>
        <v>1.0555555555555556</v>
      </c>
      <c r="C5" s="73">
        <v>10</v>
      </c>
      <c r="D5" s="109"/>
      <c r="E5" s="73">
        <v>13.68</v>
      </c>
      <c r="F5" s="106">
        <v>0.60799999999999998</v>
      </c>
      <c r="G5" s="73">
        <v>7280</v>
      </c>
      <c r="H5" s="105">
        <v>1.0000000000000001E+32</v>
      </c>
      <c r="I5" s="78">
        <v>0</v>
      </c>
      <c r="J5" s="2">
        <f>E5*F5</f>
        <v>8.3174399999999995</v>
      </c>
      <c r="K5" s="1">
        <f t="shared" si="7"/>
        <v>10</v>
      </c>
      <c r="L5" s="1">
        <f t="shared" si="8"/>
        <v>2.3025850929940459</v>
      </c>
      <c r="M5" s="3">
        <f t="shared" si="9"/>
        <v>137.36263736263737</v>
      </c>
      <c r="N5" s="3">
        <f t="shared" si="10"/>
        <v>9.999999999999999E-27</v>
      </c>
      <c r="O5" s="3">
        <f>M5*60/$W$29</f>
        <v>8241.7582417582416</v>
      </c>
      <c r="P5" s="3">
        <f>N5*60/$W$29</f>
        <v>5.9999999999999995E-25</v>
      </c>
      <c r="Q5" s="3">
        <f>O5/$W$42*100</f>
        <v>17.885760073260073</v>
      </c>
      <c r="R5" s="3">
        <f>P5/$W$42*100</f>
        <v>1.3020833333333332E-27</v>
      </c>
      <c r="S5" s="3">
        <f t="shared" si="11"/>
        <v>10</v>
      </c>
      <c r="T5" s="4">
        <f t="shared" si="12"/>
        <v>8.3174399999999995</v>
      </c>
      <c r="U5">
        <f t="shared" ref="U5:U15" si="13">(T5-$T$3)*0.001341022</f>
        <v>5.1862684827999987E-3</v>
      </c>
      <c r="V5" s="154">
        <f>$U5/$O5*5252</f>
        <v>3.3049115580287588E-3</v>
      </c>
      <c r="W5" s="154">
        <f t="shared" ref="W5:W15" si="14">V5-$V$4</f>
        <v>3.2982065767668631E-4</v>
      </c>
      <c r="Y5" s="127"/>
      <c r="AF5" s="95">
        <f>C5/$AD$34*$AD$29</f>
        <v>0.27777777777777779</v>
      </c>
      <c r="AG5" s="95">
        <f>AF5/$AD$29*$AD$34</f>
        <v>10</v>
      </c>
      <c r="AH5" s="96">
        <f>MAX(($AD$37+$AE$37*LN($AG5)),0)</f>
        <v>4346.701172416062</v>
      </c>
      <c r="AI5" s="96">
        <f>MAX(($AD$37+$AE$37*LN(AG5))/$AD$33,0)</f>
        <v>9.4329452526390227</v>
      </c>
      <c r="AJ5" s="96">
        <f>($AD$38+$AE$38*AI5*$AD$33)/$AD$33</f>
        <v>-9.1774864809422372</v>
      </c>
      <c r="AK5" s="96">
        <f>($AD$39+$AE$39*AJ5*$AD$33)/$AD$33</f>
        <v>9.4984880204019451</v>
      </c>
      <c r="AM5">
        <f>MAX($AD$38+$AE$38*AH5, 0)</f>
        <v>0</v>
      </c>
      <c r="AN5" s="127">
        <f>MAX($AD$40+$AH5*($AE$40+$AH5*$AF$40), 0)</f>
        <v>1.9093165395329351E-4</v>
      </c>
      <c r="AO5" s="127">
        <f t="shared" ref="AO5:AO16" si="15">AH5*AN5/5252</f>
        <v>1.5802034350535392E-4</v>
      </c>
      <c r="AP5" s="146">
        <f t="shared" ref="AP5:AP16" si="16">MAX($AE$40+$AF$40*2*AH5,1E-32)</f>
        <v>1.0000000000000001E-32</v>
      </c>
      <c r="AQ5" s="95"/>
      <c r="AR5" s="127"/>
      <c r="AU5" s="95"/>
      <c r="AV5" s="128">
        <f>$W$33/$W$32</f>
        <v>1.0526315789473683E-4</v>
      </c>
      <c r="AW5" s="96"/>
    </row>
    <row r="6" spans="1:49" ht="15" customHeight="1" x14ac:dyDescent="0.3">
      <c r="B6" s="113">
        <f t="shared" ref="B6:B7" si="17">C6/180+1</f>
        <v>1.0611111111111111</v>
      </c>
      <c r="C6" s="73">
        <v>11</v>
      </c>
      <c r="D6" s="109"/>
      <c r="E6" s="73">
        <v>13.65</v>
      </c>
      <c r="F6" s="106">
        <v>0.66400000000000003</v>
      </c>
      <c r="G6" s="73">
        <v>6600</v>
      </c>
      <c r="H6" s="105">
        <v>1.0000000000000001E+32</v>
      </c>
      <c r="I6" s="78">
        <v>0</v>
      </c>
      <c r="J6" s="2">
        <f>E6*F6</f>
        <v>9.063600000000001</v>
      </c>
      <c r="K6" s="1">
        <f t="shared" ref="K6:K7" si="18">C6</f>
        <v>11</v>
      </c>
      <c r="L6" s="1">
        <f t="shared" ref="L6:L7" si="19">LN(K6)</f>
        <v>2.3978952727983707</v>
      </c>
      <c r="M6" s="3">
        <f t="shared" ref="M6:M7" si="20">1/G6/0.000001</f>
        <v>151.51515151515153</v>
      </c>
      <c r="N6" s="3">
        <f t="shared" ref="N6:N7" si="21">1/H6/0.000001</f>
        <v>9.999999999999999E-27</v>
      </c>
      <c r="O6" s="3">
        <f>M6*60/$W$29</f>
        <v>9090.9090909090919</v>
      </c>
      <c r="P6" s="3">
        <f>N6*60/$W$29</f>
        <v>5.9999999999999995E-25</v>
      </c>
      <c r="Q6" s="3">
        <f>O6/$W$42*100</f>
        <v>19.728535353535356</v>
      </c>
      <c r="R6" s="3">
        <f>P6/$W$42*100</f>
        <v>1.3020833333333332E-27</v>
      </c>
      <c r="S6" s="3">
        <f t="shared" ref="S6:S7" si="22">K6</f>
        <v>11</v>
      </c>
      <c r="T6" s="4">
        <f t="shared" ref="T6:T7" si="23">J6</f>
        <v>9.063600000000001</v>
      </c>
      <c r="U6">
        <f t="shared" si="13"/>
        <v>6.1868854583200013E-3</v>
      </c>
      <c r="V6" s="154">
        <f t="shared" ref="V5:W15" si="24">$U6/$O6*5252</f>
        <v>3.5742874669806306E-3</v>
      </c>
      <c r="W6" s="154">
        <f t="shared" si="14"/>
        <v>5.9919656662855807E-4</v>
      </c>
      <c r="Y6" s="127"/>
      <c r="AF6" s="95">
        <f>C6/$AD$34*$AD$29</f>
        <v>0.30555555555555552</v>
      </c>
      <c r="AG6" s="95">
        <f>AF6/$AD$29*$AD$34</f>
        <v>10.999999999999998</v>
      </c>
      <c r="AH6" s="96">
        <f>MAX(($AD$37+$AE$37*LN($AG6)),0)</f>
        <v>5699.1536214204207</v>
      </c>
      <c r="AI6" s="96">
        <f>MAX(($AD$37+$AE$37*LN(AG6))/$AD$33,0)</f>
        <v>12.367954907596399</v>
      </c>
      <c r="AJ6" s="96">
        <f>($AD$38+$AE$38*AI6*$AD$33)/$AD$33</f>
        <v>-6.3142183705895407</v>
      </c>
      <c r="AK6" s="96">
        <f>($AD$39+$AE$39*AJ6*$AD$33)/$AD$33</f>
        <v>12.429134937489346</v>
      </c>
      <c r="AM6">
        <f>MAX($AD$38+$AE$38*AH6, 0)</f>
        <v>0</v>
      </c>
      <c r="AN6" s="127">
        <f>MAX($AD$40+$AH6*($AE$40+$AH6*$AF$40), 0)</f>
        <v>1.7100500229004468E-4</v>
      </c>
      <c r="AO6" s="127">
        <f t="shared" si="15"/>
        <v>1.8556431418170516E-4</v>
      </c>
      <c r="AP6" s="146">
        <f t="shared" si="16"/>
        <v>9.3761701698468599E-9</v>
      </c>
      <c r="AQ6" s="95">
        <f>$W$36/AP6</f>
        <v>3.9916956312459519</v>
      </c>
      <c r="AR6" s="127"/>
      <c r="AU6" s="95"/>
      <c r="AV6" s="128">
        <f>$W$33/$W$32</f>
        <v>1.0526315789473683E-4</v>
      </c>
      <c r="AW6" s="96">
        <f>$W$35/$W$32/$W$30/AP6</f>
        <v>7755.1208650508042</v>
      </c>
    </row>
    <row r="7" spans="1:49" ht="15" customHeight="1" x14ac:dyDescent="0.3">
      <c r="B7" s="113">
        <f t="shared" si="17"/>
        <v>1.0666666666666667</v>
      </c>
      <c r="C7" s="73">
        <v>12</v>
      </c>
      <c r="D7" s="109"/>
      <c r="E7" s="73">
        <v>13.68</v>
      </c>
      <c r="F7" s="106">
        <v>0.68600000000000005</v>
      </c>
      <c r="G7" s="73">
        <v>6200</v>
      </c>
      <c r="H7" s="105">
        <v>1.0000000000000001E+32</v>
      </c>
      <c r="I7" s="78">
        <v>0</v>
      </c>
      <c r="J7" s="2">
        <f>E7*F7</f>
        <v>9.3844799999999999</v>
      </c>
      <c r="K7" s="1">
        <f t="shared" si="18"/>
        <v>12</v>
      </c>
      <c r="L7" s="1">
        <f t="shared" si="19"/>
        <v>2.4849066497880004</v>
      </c>
      <c r="M7" s="3">
        <f t="shared" si="20"/>
        <v>161.29032258064518</v>
      </c>
      <c r="N7" s="3">
        <f t="shared" si="21"/>
        <v>9.999999999999999E-27</v>
      </c>
      <c r="O7" s="3">
        <f>M7*60/$W$29</f>
        <v>9677.4193548387102</v>
      </c>
      <c r="P7" s="3">
        <f>N7*60/$W$29</f>
        <v>5.9999999999999995E-25</v>
      </c>
      <c r="Q7" s="3">
        <f>O7/$W$42*100</f>
        <v>21.001344086021508</v>
      </c>
      <c r="R7" s="3">
        <f>P7/$W$42*100</f>
        <v>1.3020833333333332E-27</v>
      </c>
      <c r="S7" s="3">
        <f t="shared" si="22"/>
        <v>12</v>
      </c>
      <c r="T7" s="4">
        <f t="shared" si="23"/>
        <v>9.3844799999999999</v>
      </c>
      <c r="U7">
        <f t="shared" si="13"/>
        <v>6.6171925976800001E-3</v>
      </c>
      <c r="V7" s="154">
        <f t="shared" si="24"/>
        <v>3.5911945373782541E-3</v>
      </c>
      <c r="W7" s="154">
        <f t="shared" si="14"/>
        <v>6.1610363702618159E-4</v>
      </c>
      <c r="Y7" s="127"/>
      <c r="AF7" s="95">
        <f>C7/$AD$34*$AD$29</f>
        <v>0.33333333333333331</v>
      </c>
      <c r="AG7" s="95">
        <f>AF7/$AD$29*$AD$34</f>
        <v>12</v>
      </c>
      <c r="AH7" s="96">
        <f>MAX(($AD$37+$AE$37*LN($AG7)),0)</f>
        <v>6933.8459716233592</v>
      </c>
      <c r="AI7" s="96">
        <f>MAX(($AD$37+$AE$37*LN(AG7))/$AD$33,0)</f>
        <v>15.047408792585415</v>
      </c>
      <c r="AJ7" s="96">
        <f>($AD$38+$AE$38*AI7*$AD$33)/$AD$33</f>
        <v>-3.700259384426984</v>
      </c>
      <c r="AK7" s="96">
        <f>($AD$39+$AE$39*AJ7*$AD$33)/$AD$33</f>
        <v>15.104605954852985</v>
      </c>
      <c r="AM7">
        <f>MAX($AD$38+$AE$38*AH7, 0)</f>
        <v>0</v>
      </c>
      <c r="AN7" s="127">
        <f>MAX($AD$40+$AH7*($AE$40+$AH7*$AF$40), 0)</f>
        <v>2.0975801042066519E-4</v>
      </c>
      <c r="AO7" s="127">
        <f t="shared" si="15"/>
        <v>2.7692873868451255E-4</v>
      </c>
      <c r="AP7" s="146">
        <f t="shared" si="16"/>
        <v>5.3397375198359203E-8</v>
      </c>
      <c r="AQ7" s="95">
        <f>$W$36/AP7</f>
        <v>0.70091118459969504</v>
      </c>
      <c r="AR7" s="127"/>
      <c r="AU7" s="95"/>
      <c r="AV7" s="128">
        <f>$W$33/$W$32</f>
        <v>1.0526315789473683E-4</v>
      </c>
      <c r="AW7" s="96">
        <f>$W$35/$W$32/$W$30/AP7</f>
        <v>1361.7398354943984</v>
      </c>
    </row>
    <row r="8" spans="1:49" ht="15" customHeight="1" x14ac:dyDescent="0.3">
      <c r="A8">
        <v>28</v>
      </c>
      <c r="B8" s="113">
        <f t="shared" ref="B8:B26" si="25">C8/180+1</f>
        <v>1.1388888888888888</v>
      </c>
      <c r="C8" s="140">
        <v>25</v>
      </c>
      <c r="D8" s="141">
        <v>0.61099999999999999</v>
      </c>
      <c r="E8" s="73">
        <v>13.77</v>
      </c>
      <c r="F8" s="106">
        <v>1.48</v>
      </c>
      <c r="G8" s="73">
        <v>3260</v>
      </c>
      <c r="H8" s="140">
        <v>6740</v>
      </c>
      <c r="I8" s="78">
        <v>4.08</v>
      </c>
      <c r="J8" s="2">
        <f>E8*F8</f>
        <v>20.3796</v>
      </c>
      <c r="K8" s="1">
        <f t="shared" si="1"/>
        <v>25</v>
      </c>
      <c r="L8" s="1">
        <f t="shared" ref="L8:L16" si="26">LN(K8)</f>
        <v>3.2188758248682006</v>
      </c>
      <c r="M8" s="3">
        <f t="shared" ref="M8:N15" si="27">1/G8/0.000001</f>
        <v>306.74846625766872</v>
      </c>
      <c r="N8" s="3">
        <f t="shared" si="27"/>
        <v>148.36795252225519</v>
      </c>
      <c r="O8" s="3">
        <f>M8*60/$W$29</f>
        <v>18404.907975460123</v>
      </c>
      <c r="P8" s="3">
        <f>N8*60/$W$29</f>
        <v>8902.077151335312</v>
      </c>
      <c r="Q8" s="3">
        <f>O8/$W$42*100</f>
        <v>39.941206543967276</v>
      </c>
      <c r="R8" s="3">
        <f>P8/$W$42*100</f>
        <v>19.31874381800198</v>
      </c>
      <c r="S8" s="3">
        <f t="shared" si="2"/>
        <v>25</v>
      </c>
      <c r="T8" s="4">
        <f t="shared" si="0"/>
        <v>20.3796</v>
      </c>
      <c r="U8">
        <f t="shared" si="13"/>
        <v>2.1361890410319998E-2</v>
      </c>
      <c r="V8" s="154">
        <f t="shared" si="24"/>
        <v>6.0958005649683674E-3</v>
      </c>
      <c r="W8" s="154">
        <f t="shared" si="14"/>
        <v>3.1207096646162949E-3</v>
      </c>
      <c r="Y8" s="127"/>
      <c r="AF8" s="95">
        <f>C8/$AD$34*$AD$29</f>
        <v>0.69444444444444442</v>
      </c>
      <c r="AG8" s="95">
        <f>AF8/$AD$29*$AD$34</f>
        <v>25</v>
      </c>
      <c r="AH8" s="96">
        <f>MAX(($AD$37+$AE$37*LN($AG8)),0)</f>
        <v>17348.876248230645</v>
      </c>
      <c r="AI8" s="96">
        <f>MAX(($AD$37+$AE$37*LN(AG8))/$AD$33,0)</f>
        <v>37.649471024806083</v>
      </c>
      <c r="AJ8" s="96">
        <f>($AD$38+$AE$38*AI8*$AD$33)/$AD$33</f>
        <v>18.349332141930159</v>
      </c>
      <c r="AK8" s="96">
        <f>($AD$39+$AE$39*AJ8*$AD$33)/$AD$33</f>
        <v>37.673071407358293</v>
      </c>
      <c r="AL8">
        <f>AM8/$AD$33</f>
        <v>18.349332141930159</v>
      </c>
      <c r="AM8">
        <f>MAX($AD$38+$AE$38*AH8, 0)</f>
        <v>8455.3722510014177</v>
      </c>
      <c r="AN8" s="127">
        <f>MAX($AD$40+$AH8*($AE$40+$AH8*$AF$40), 0)</f>
        <v>2.6996162202028583E-3</v>
      </c>
      <c r="AO8" s="127">
        <f t="shared" si="15"/>
        <v>8.9176138084568844E-3</v>
      </c>
      <c r="AP8" s="146">
        <f t="shared" si="16"/>
        <v>4.2473051183708176E-7</v>
      </c>
      <c r="AQ8" s="95">
        <f>$W$36/AP8</f>
        <v>8.8118975354312457E-2</v>
      </c>
      <c r="AR8" s="127">
        <f>MAX($AD$41+$AM8*($AE$41+$AM8*$AF$41), 0)</f>
        <v>4.3873503556671905E-4</v>
      </c>
      <c r="AS8">
        <f>AR8*AM8/5252</f>
        <v>7.0633435743963375E-4</v>
      </c>
      <c r="AT8" s="146">
        <f>MAX($AE$41+2*$AM8*$AF$41,0)</f>
        <v>0</v>
      </c>
      <c r="AU8" s="95"/>
      <c r="AV8" s="128">
        <f>$W$33/$W$32</f>
        <v>1.0526315789473683E-4</v>
      </c>
      <c r="AW8" s="96">
        <f>$W$35/$W$32/$W$30/AP8</f>
        <v>171.198750482842</v>
      </c>
    </row>
    <row r="9" spans="1:49" ht="13.95" customHeight="1" x14ac:dyDescent="0.3">
      <c r="B9" s="113">
        <f t="shared" si="25"/>
        <v>1.1944444444444444</v>
      </c>
      <c r="C9" s="73">
        <v>35</v>
      </c>
      <c r="D9" s="73">
        <v>0.98599999999999999</v>
      </c>
      <c r="E9" s="73">
        <v>13.69</v>
      </c>
      <c r="F9" s="73">
        <v>2.19</v>
      </c>
      <c r="G9" s="73">
        <v>2680</v>
      </c>
      <c r="H9" s="73">
        <v>4532</v>
      </c>
      <c r="I9" s="78">
        <v>6.04</v>
      </c>
      <c r="J9" s="2">
        <f t="shared" ref="J9:J15" si="28">E9*F9</f>
        <v>29.981099999999998</v>
      </c>
      <c r="K9" s="1">
        <f t="shared" si="1"/>
        <v>35</v>
      </c>
      <c r="L9" s="1">
        <f t="shared" si="26"/>
        <v>3.5553480614894135</v>
      </c>
      <c r="M9" s="3">
        <f t="shared" si="27"/>
        <v>373.13432835820896</v>
      </c>
      <c r="N9" s="3">
        <f t="shared" si="27"/>
        <v>220.65313327449252</v>
      </c>
      <c r="O9" s="3">
        <f>M9*60/$W$29</f>
        <v>22388.059701492537</v>
      </c>
      <c r="P9" s="3">
        <f>N9*60/$W$29</f>
        <v>13239.187996469551</v>
      </c>
      <c r="Q9" s="3">
        <f>O9/$W$42*100</f>
        <v>48.585199004975124</v>
      </c>
      <c r="R9" s="3">
        <f>P9/$W$42*100</f>
        <v>28.730876728449545</v>
      </c>
      <c r="S9" s="3">
        <f t="shared" si="2"/>
        <v>35</v>
      </c>
      <c r="T9" s="4">
        <f t="shared" si="0"/>
        <v>29.981099999999998</v>
      </c>
      <c r="U9">
        <f t="shared" si="13"/>
        <v>3.4237713143319998E-2</v>
      </c>
      <c r="V9" s="154">
        <f t="shared" si="24"/>
        <v>8.0318023011493427E-3</v>
      </c>
      <c r="W9" s="154">
        <f t="shared" si="14"/>
        <v>5.0567114007972706E-3</v>
      </c>
      <c r="Y9" s="127"/>
      <c r="AF9" s="95">
        <f>C9/$AD$34*$AD$29</f>
        <v>0.97222222222222221</v>
      </c>
      <c r="AG9" s="95">
        <f>AF9/$AD$29*$AD$34</f>
        <v>35</v>
      </c>
      <c r="AH9" s="96">
        <f>MAX(($AD$37+$AE$37*LN($AG9)),0)</f>
        <v>22123.420807632323</v>
      </c>
      <c r="AI9" s="96">
        <f>MAX(($AD$37+$AE$37*LN(AG9))/$AD$33,0)</f>
        <v>48.010895849896535</v>
      </c>
      <c r="AJ9" s="96">
        <f>($AD$38+$AE$38*AI9*$AD$33)/$AD$33</f>
        <v>28.457488763966602</v>
      </c>
      <c r="AK9" s="96">
        <f>($AD$39+$AE$39*AJ9*$AD$33)/$AD$33</f>
        <v>48.019094518047247</v>
      </c>
      <c r="AL9">
        <f t="shared" ref="AL9:AL16" si="29">AM9/$AD$33</f>
        <v>28.457488763966595</v>
      </c>
      <c r="AM9">
        <f t="shared" ref="AM9:AM16" si="30">MAX($AD$38+$AE$38*AH9, 0)</f>
        <v>13113.210822435807</v>
      </c>
      <c r="AN9" s="127">
        <f t="shared" ref="AN9:AN16" si="31">MAX($AD$40+$AH9*($AE$40+$AH9*$AF$40), 0)</f>
        <v>5.1338954187745353E-3</v>
      </c>
      <c r="AO9" s="127">
        <f t="shared" si="15"/>
        <v>2.1625919408211122E-2</v>
      </c>
      <c r="AP9" s="146">
        <f t="shared" si="16"/>
        <v>5.9496012809140091E-7</v>
      </c>
      <c r="AQ9" s="95">
        <f t="shared" ref="AQ9:AQ16" si="32">$W$36/AP9</f>
        <v>6.2906429754981188E-2</v>
      </c>
      <c r="AR9" s="127">
        <f t="shared" ref="AR9:AR16" si="33">MAX($AD$41+$AM9*($AE$41+$AM9*$AF$41), 0)</f>
        <v>4.4749381157226293E-4</v>
      </c>
      <c r="AS9">
        <f>AR9*AM9/5252</f>
        <v>1.1173040161619285E-3</v>
      </c>
      <c r="AT9" s="146">
        <f t="shared" ref="AT9:AT16" si="34">$AE$41+2*$AM9*$AF$41</f>
        <v>6.8604646756570766E-8</v>
      </c>
      <c r="AU9" s="95">
        <f>$W$36/AT9</f>
        <v>0.54554347663355163</v>
      </c>
      <c r="AV9" s="128">
        <f>$W$33/$W$32</f>
        <v>1.0526315789473683E-4</v>
      </c>
      <c r="AW9" s="96">
        <f>$W$35/$W$32/$W$30/AP9</f>
        <v>122.21547207155994</v>
      </c>
    </row>
    <row r="10" spans="1:49" ht="13.95" customHeight="1" x14ac:dyDescent="0.3">
      <c r="B10" s="113">
        <f t="shared" si="25"/>
        <v>1.3</v>
      </c>
      <c r="C10" s="73">
        <v>54</v>
      </c>
      <c r="D10" s="73">
        <v>1.375</v>
      </c>
      <c r="E10" s="73">
        <v>13.62</v>
      </c>
      <c r="F10" s="73">
        <v>3.93</v>
      </c>
      <c r="G10" s="73">
        <v>2150</v>
      </c>
      <c r="H10" s="73">
        <v>3180</v>
      </c>
      <c r="I10" s="78">
        <v>8.24</v>
      </c>
      <c r="J10" s="2">
        <f t="shared" si="28"/>
        <v>53.526600000000002</v>
      </c>
      <c r="K10" s="1">
        <f t="shared" si="1"/>
        <v>54</v>
      </c>
      <c r="L10" s="1">
        <f t="shared" si="26"/>
        <v>3.9889840465642745</v>
      </c>
      <c r="M10" s="3">
        <f t="shared" si="27"/>
        <v>465.11627906976747</v>
      </c>
      <c r="N10" s="3">
        <f t="shared" si="27"/>
        <v>314.46540880503147</v>
      </c>
      <c r="O10" s="3">
        <f>M10*60/$W$29</f>
        <v>27906.976744186049</v>
      </c>
      <c r="P10" s="3">
        <f>N10*60/$W$29</f>
        <v>18867.92452830189</v>
      </c>
      <c r="Q10" s="3">
        <f>O10/$W$42*100</f>
        <v>60.562015503875976</v>
      </c>
      <c r="R10" s="3">
        <f>P10/$W$42*100</f>
        <v>40.946016771488473</v>
      </c>
      <c r="S10" s="3">
        <f t="shared" si="2"/>
        <v>54</v>
      </c>
      <c r="T10" s="4">
        <f t="shared" si="0"/>
        <v>53.526600000000002</v>
      </c>
      <c r="U10">
        <f t="shared" si="13"/>
        <v>6.5812746644320005E-2</v>
      </c>
      <c r="V10" s="154">
        <f t="shared" si="24"/>
        <v>1.2385739542638876E-2</v>
      </c>
      <c r="W10" s="154">
        <f t="shared" si="14"/>
        <v>9.4106486422868042E-3</v>
      </c>
      <c r="Y10" s="127"/>
      <c r="AC10" s="146"/>
      <c r="AD10" s="128"/>
      <c r="AF10" s="95">
        <f>C10/$AD$34*$AD$29</f>
        <v>1.5</v>
      </c>
      <c r="AG10" s="95">
        <f>AF10/$AD$29*$AD$34</f>
        <v>54</v>
      </c>
      <c r="AH10" s="96">
        <f>MAX(($AD$37+$AE$37*LN($AG10)),0)</f>
        <v>28276.719974572956</v>
      </c>
      <c r="AI10" s="96">
        <f>MAX(($AD$37+$AE$37*LN(AG10))/$AD$33,0)</f>
        <v>61.364409667042004</v>
      </c>
      <c r="AJ10" s="96">
        <f>($AD$38+$AE$38*AI10*$AD$33)/$AD$33</f>
        <v>41.484597621753984</v>
      </c>
      <c r="AK10" s="96">
        <f>($AD$39+$AE$39*AJ10*$AD$33)/$AD$33</f>
        <v>61.352759037481228</v>
      </c>
      <c r="AL10">
        <f t="shared" si="29"/>
        <v>41.484597621753984</v>
      </c>
      <c r="AM10">
        <f t="shared" si="30"/>
        <v>19116.102584104236</v>
      </c>
      <c r="AN10" s="127">
        <f t="shared" si="31"/>
        <v>9.4698404838995734E-3</v>
      </c>
      <c r="AO10" s="127">
        <f t="shared" si="15"/>
        <v>5.0985534571040117E-2</v>
      </c>
      <c r="AP10" s="146">
        <f t="shared" si="16"/>
        <v>8.1434728488810894E-7</v>
      </c>
      <c r="AQ10" s="95">
        <f t="shared" si="32"/>
        <v>4.5959283219000058E-2</v>
      </c>
      <c r="AR10" s="127">
        <f t="shared" si="33"/>
        <v>1.3755224878909979E-3</v>
      </c>
      <c r="AS10">
        <f>AR10*AM10/5252</f>
        <v>5.0065934853896783E-3</v>
      </c>
      <c r="AT10" s="146">
        <f t="shared" si="34"/>
        <v>2.4058922618469343E-7</v>
      </c>
      <c r="AU10" s="95">
        <f>$W$36/AT10</f>
        <v>0.15556314843485483</v>
      </c>
      <c r="AV10" s="128">
        <f>$W$33/$W$32</f>
        <v>1.0526315789473683E-4</v>
      </c>
      <c r="AW10" s="96">
        <f>$W$35/$W$32/$W$30/AP10</f>
        <v>89.290324002783549</v>
      </c>
    </row>
    <row r="11" spans="1:49" ht="13.95" customHeight="1" x14ac:dyDescent="0.3">
      <c r="A11">
        <v>64</v>
      </c>
      <c r="B11" s="113">
        <f t="shared" si="25"/>
        <v>1.3555555555555556</v>
      </c>
      <c r="C11" s="140">
        <v>64</v>
      </c>
      <c r="D11" s="140">
        <v>1.41</v>
      </c>
      <c r="E11" s="73">
        <v>13.54</v>
      </c>
      <c r="F11" s="140">
        <v>4.6100000000000003</v>
      </c>
      <c r="G11" s="73">
        <v>2020</v>
      </c>
      <c r="H11" s="140">
        <v>2870</v>
      </c>
      <c r="I11" s="78">
        <v>9</v>
      </c>
      <c r="J11" s="2">
        <f t="shared" si="28"/>
        <v>62.419400000000003</v>
      </c>
      <c r="K11" s="1">
        <f t="shared" si="1"/>
        <v>64</v>
      </c>
      <c r="L11" s="1">
        <f t="shared" si="26"/>
        <v>4.1588830833596715</v>
      </c>
      <c r="M11" s="3">
        <f t="shared" si="27"/>
        <v>495.04950495049508</v>
      </c>
      <c r="N11" s="3">
        <f t="shared" si="27"/>
        <v>348.43205574912895</v>
      </c>
      <c r="O11" s="3">
        <f>M11*60/$W$29</f>
        <v>29702.970297029704</v>
      </c>
      <c r="P11" s="3">
        <f>N11*60/$W$29</f>
        <v>20905.923344947736</v>
      </c>
      <c r="Q11" s="3">
        <f>O11/$W$42*100</f>
        <v>64.459570957095707</v>
      </c>
      <c r="R11" s="3">
        <f>P11/$W$42*100</f>
        <v>45.368757259001164</v>
      </c>
      <c r="S11" s="3">
        <f t="shared" si="2"/>
        <v>64</v>
      </c>
      <c r="T11" s="4">
        <f t="shared" si="0"/>
        <v>62.419400000000003</v>
      </c>
      <c r="U11">
        <f t="shared" si="13"/>
        <v>7.7738187085920007E-2</v>
      </c>
      <c r="V11" s="154">
        <f t="shared" si="24"/>
        <v>1.3745458938700147E-2</v>
      </c>
      <c r="W11" s="154">
        <f t="shared" si="14"/>
        <v>1.0770368038348075E-2</v>
      </c>
      <c r="Y11" s="127"/>
      <c r="AF11" s="95"/>
      <c r="AG11" s="155">
        <v>70.201599999999999</v>
      </c>
      <c r="AH11" s="156">
        <f>MAX(($AD$37+$AE$37*LN($AG11)),0)</f>
        <v>31999.995048805355</v>
      </c>
      <c r="AI11" s="156">
        <f>MAX(($AD$37+$AE$37*LN(AG11))/$AD$33,0)</f>
        <v>69.444433699664401</v>
      </c>
      <c r="AJ11" s="156">
        <f>($AD$38+$AE$38*AI11*$AD$33)/$AD$33</f>
        <v>49.367118588734293</v>
      </c>
      <c r="AK11" s="156">
        <f>($AD$39+$AE$39*AJ11*$AD$33)/$AD$33</f>
        <v>69.420772538288901</v>
      </c>
      <c r="AL11" s="5">
        <f t="shared" si="29"/>
        <v>49.367118588734272</v>
      </c>
      <c r="AM11" s="5">
        <f t="shared" si="30"/>
        <v>22748.368245688755</v>
      </c>
      <c r="AN11" s="154">
        <f t="shared" si="31"/>
        <v>1.2749008265139302E-2</v>
      </c>
      <c r="AO11" s="154">
        <f t="shared" si="15"/>
        <v>7.7678636969085335E-2</v>
      </c>
      <c r="AP11" s="157">
        <f t="shared" si="16"/>
        <v>9.4709537828432563E-7</v>
      </c>
      <c r="AQ11" s="155">
        <f t="shared" si="32"/>
        <v>3.9517474546856564E-2</v>
      </c>
      <c r="AR11" s="154">
        <f t="shared" si="33"/>
        <v>2.438403168041258E-3</v>
      </c>
      <c r="AS11" s="5">
        <f>AR11*AM11/5252</f>
        <v>1.056163236825145E-2</v>
      </c>
      <c r="AT11" s="157">
        <f t="shared" si="34"/>
        <v>3.4465468446395431E-7</v>
      </c>
      <c r="AU11" s="155">
        <f>$W$36/AT11</f>
        <v>0.10859222053809225</v>
      </c>
      <c r="AV11" s="158">
        <f>$W$33/$W$32</f>
        <v>1.0526315789473683E-4</v>
      </c>
      <c r="AW11" s="156">
        <f>$W$35/$W$32/$W$30/AP11</f>
        <v>76.775090012758156</v>
      </c>
    </row>
    <row r="12" spans="1:49" ht="13.95" customHeight="1" x14ac:dyDescent="0.3">
      <c r="B12" s="113">
        <f t="shared" si="25"/>
        <v>1.4944444444444445</v>
      </c>
      <c r="C12" s="73">
        <v>89</v>
      </c>
      <c r="D12" s="73">
        <v>1.81</v>
      </c>
      <c r="E12" s="73">
        <v>13.45</v>
      </c>
      <c r="F12" s="73">
        <v>6.61</v>
      </c>
      <c r="G12" s="73">
        <v>1770</v>
      </c>
      <c r="H12" s="73">
        <v>2400</v>
      </c>
      <c r="I12" s="78">
        <v>10.8</v>
      </c>
      <c r="J12" s="2">
        <f t="shared" si="28"/>
        <v>88.904499999999999</v>
      </c>
      <c r="K12" s="1">
        <f t="shared" si="1"/>
        <v>89</v>
      </c>
      <c r="L12" s="1">
        <f t="shared" si="26"/>
        <v>4.4886363697321396</v>
      </c>
      <c r="M12" s="3">
        <f t="shared" si="27"/>
        <v>564.9717514124294</v>
      </c>
      <c r="N12" s="3">
        <f t="shared" si="27"/>
        <v>416.66666666666669</v>
      </c>
      <c r="O12" s="3">
        <f>M12*60/$W$29</f>
        <v>33898.305084745763</v>
      </c>
      <c r="P12" s="3">
        <f>N12*60/$W$29</f>
        <v>25000</v>
      </c>
      <c r="Q12" s="3">
        <f>O12/$W$42*100</f>
        <v>73.56403013182674</v>
      </c>
      <c r="R12" s="3">
        <f>P12/$W$42*100</f>
        <v>54.253472222222221</v>
      </c>
      <c r="S12" s="3">
        <f t="shared" si="2"/>
        <v>89</v>
      </c>
      <c r="T12" s="4">
        <f t="shared" si="0"/>
        <v>88.904499999999999</v>
      </c>
      <c r="U12">
        <f t="shared" si="13"/>
        <v>0.11325528885812</v>
      </c>
      <c r="V12" s="154">
        <f t="shared" si="24"/>
        <v>1.7547094923943962E-2</v>
      </c>
      <c r="W12" s="154">
        <f t="shared" si="14"/>
        <v>1.457200402359189E-2</v>
      </c>
      <c r="Y12" s="127"/>
      <c r="AF12" s="95">
        <f>C12/$AD$34*$AD$29</f>
        <v>2.4722222222222223</v>
      </c>
      <c r="AG12" s="95">
        <f>AF12/$AD$29*$AD$34</f>
        <v>89</v>
      </c>
      <c r="AH12" s="96">
        <f>MAX(($AD$37+$AE$37*LN($AG12)),0)</f>
        <v>35366.791670025093</v>
      </c>
      <c r="AI12" s="96">
        <f>MAX(($AD$37+$AE$37*LN(AG12))/$AD$33,0)</f>
        <v>76.75084997835306</v>
      </c>
      <c r="AJ12" s="96">
        <f>($AD$38+$AE$38*AI12*$AD$33)/$AD$33</f>
        <v>56.494941386998597</v>
      </c>
      <c r="AK12" s="96">
        <f>($AD$39+$AE$39*AJ12*$AD$33)/$AD$33</f>
        <v>76.716328212502532</v>
      </c>
      <c r="AL12">
        <f t="shared" si="29"/>
        <v>56.494941386998597</v>
      </c>
      <c r="AM12">
        <f t="shared" si="30"/>
        <v>26032.868991128955</v>
      </c>
      <c r="AN12" s="127">
        <f t="shared" si="31"/>
        <v>1.6139758156510163E-2</v>
      </c>
      <c r="AO12" s="127">
        <f t="shared" si="15"/>
        <v>0.10868458955176756</v>
      </c>
      <c r="AP12" s="146">
        <f t="shared" si="16"/>
        <v>1.0671337379029437E-6</v>
      </c>
      <c r="AQ12" s="95">
        <f t="shared" si="32"/>
        <v>3.5072283984146989E-2</v>
      </c>
      <c r="AR12" s="127">
        <f t="shared" si="33"/>
        <v>3.7249606052333559E-3</v>
      </c>
      <c r="AS12">
        <f>AR12*AM12/5252</f>
        <v>1.8463711240128786E-2</v>
      </c>
      <c r="AT12" s="146">
        <f t="shared" si="34"/>
        <v>4.3875657764533091E-7</v>
      </c>
      <c r="AU12" s="95">
        <f>$W$36/AT12</f>
        <v>8.5302008930907267E-2</v>
      </c>
      <c r="AV12" s="128">
        <f>$W$33/$W$32</f>
        <v>1.0526315789473683E-4</v>
      </c>
      <c r="AW12" s="96">
        <f>$W$35/$W$32/$W$30/AP12</f>
        <v>68.138912992609036</v>
      </c>
    </row>
    <row r="13" spans="1:49" ht="13.95" customHeight="1" x14ac:dyDescent="0.3">
      <c r="B13" s="113">
        <f t="shared" si="25"/>
        <v>1.6944444444444444</v>
      </c>
      <c r="C13" s="73">
        <v>125</v>
      </c>
      <c r="D13" s="73">
        <v>2.16</v>
      </c>
      <c r="E13" s="73">
        <v>13.2</v>
      </c>
      <c r="F13" s="73">
        <v>10.3</v>
      </c>
      <c r="G13" s="73">
        <v>1520</v>
      </c>
      <c r="H13" s="73">
        <v>2000</v>
      </c>
      <c r="I13" s="78">
        <v>14</v>
      </c>
      <c r="J13" s="2">
        <f t="shared" si="28"/>
        <v>135.96</v>
      </c>
      <c r="K13" s="1">
        <f t="shared" si="1"/>
        <v>125</v>
      </c>
      <c r="L13" s="1">
        <f t="shared" si="26"/>
        <v>4.8283137373023015</v>
      </c>
      <c r="M13" s="3">
        <f t="shared" si="27"/>
        <v>657.89473684210532</v>
      </c>
      <c r="N13" s="3">
        <f t="shared" si="27"/>
        <v>500.00000000000006</v>
      </c>
      <c r="O13" s="3">
        <f>M13*60/$W$29</f>
        <v>39473.68421052632</v>
      </c>
      <c r="P13" s="3">
        <f>N13*60/$W$29</f>
        <v>30000.000000000004</v>
      </c>
      <c r="Q13" s="3">
        <f>O13/$W$42*100</f>
        <v>85.663377192982466</v>
      </c>
      <c r="R13" s="3">
        <f>P13/$W$42*100</f>
        <v>65.104166666666671</v>
      </c>
      <c r="S13" s="3">
        <f t="shared" si="2"/>
        <v>125</v>
      </c>
      <c r="T13" s="4">
        <f t="shared" si="0"/>
        <v>135.96</v>
      </c>
      <c r="U13">
        <f t="shared" si="13"/>
        <v>0.17635774957912001</v>
      </c>
      <c r="V13" s="154">
        <f t="shared" si="24"/>
        <v>2.3464516153334967E-2</v>
      </c>
      <c r="W13" s="154">
        <f t="shared" si="14"/>
        <v>2.0489425252982894E-2</v>
      </c>
      <c r="Y13" s="127"/>
      <c r="Z13" s="146"/>
      <c r="AF13" s="95">
        <f>C13/$AD$34*$AD$29</f>
        <v>3.4722222222222223</v>
      </c>
      <c r="AG13" s="95">
        <f>AF13/$AD$29*$AD$34</f>
        <v>125</v>
      </c>
      <c r="AH13" s="96">
        <f>MAX(($AD$37+$AE$37*LN($AG13)),0)</f>
        <v>40186.817071139434</v>
      </c>
      <c r="AI13" s="96">
        <f>MAX(($AD$37+$AE$37*LN(AG13))/$AD$33,0)</f>
        <v>87.210974546743557</v>
      </c>
      <c r="AJ13" s="96">
        <f>($AD$38+$AE$38*AI13*$AD$33)/$AD$33</f>
        <v>66.699385197396978</v>
      </c>
      <c r="AK13" s="96">
        <f>($AD$39+$AE$39*AJ13*$AD$33)/$AD$33</f>
        <v>87.16090435450127</v>
      </c>
      <c r="AL13">
        <f t="shared" si="29"/>
        <v>66.699385197396992</v>
      </c>
      <c r="AM13">
        <f t="shared" si="30"/>
        <v>30735.076698960533</v>
      </c>
      <c r="AN13" s="127">
        <f t="shared" si="31"/>
        <v>2.1697533384729531E-2</v>
      </c>
      <c r="AO13" s="127">
        <f t="shared" si="15"/>
        <v>0.16602338252609797</v>
      </c>
      <c r="AP13" s="146">
        <f t="shared" si="16"/>
        <v>1.2389849090794855E-6</v>
      </c>
      <c r="AQ13" s="95">
        <f t="shared" si="32"/>
        <v>3.0207645977385553E-2</v>
      </c>
      <c r="AR13" s="127">
        <f t="shared" si="33"/>
        <v>6.1048249521557778E-3</v>
      </c>
      <c r="AS13">
        <f>AR13*AM13/5252</f>
        <v>3.5725868838201807E-2</v>
      </c>
      <c r="AT13" s="146">
        <f t="shared" si="34"/>
        <v>5.7347618398224756E-7</v>
      </c>
      <c r="AU13" s="95">
        <f>$W$36/AT13</f>
        <v>6.5263072033615449E-2</v>
      </c>
      <c r="AV13" s="128">
        <f>$W$33/$W$32</f>
        <v>1.0526315789473683E-4</v>
      </c>
      <c r="AW13" s="96">
        <f>$W$35/$W$32/$W$30/AP13</f>
        <v>58.687827741557669</v>
      </c>
    </row>
    <row r="14" spans="1:49" ht="13.95" customHeight="1" x14ac:dyDescent="0.3">
      <c r="B14" s="113">
        <f t="shared" si="25"/>
        <v>1.8611111111111112</v>
      </c>
      <c r="C14" s="73">
        <v>155</v>
      </c>
      <c r="D14" s="73">
        <v>2.5299999999999998</v>
      </c>
      <c r="E14" s="73">
        <v>12.85</v>
      </c>
      <c r="F14" s="73">
        <v>15</v>
      </c>
      <c r="G14" s="73">
        <v>1364</v>
      </c>
      <c r="H14" s="73">
        <v>1740</v>
      </c>
      <c r="I14" s="78">
        <v>15.8</v>
      </c>
      <c r="J14" s="2">
        <f t="shared" si="28"/>
        <v>192.75</v>
      </c>
      <c r="K14" s="1">
        <f t="shared" si="1"/>
        <v>155</v>
      </c>
      <c r="L14" s="1">
        <f t="shared" si="26"/>
        <v>5.0434251169192468</v>
      </c>
      <c r="M14" s="3">
        <f t="shared" si="27"/>
        <v>733.13782991202345</v>
      </c>
      <c r="N14" s="3">
        <f t="shared" si="27"/>
        <v>574.71264367816093</v>
      </c>
      <c r="O14" s="3">
        <f>M14*60/$W$29</f>
        <v>43988.269794721404</v>
      </c>
      <c r="P14" s="3">
        <f>N14*60/$W$29</f>
        <v>34482.758620689652</v>
      </c>
      <c r="Q14" s="3">
        <f>O14/$W$42*100</f>
        <v>95.460654936461381</v>
      </c>
      <c r="R14" s="3">
        <f>P14/$W$42*100</f>
        <v>74.83237547892719</v>
      </c>
      <c r="S14" s="3">
        <f t="shared" si="2"/>
        <v>155</v>
      </c>
      <c r="T14" s="4">
        <f t="shared" si="0"/>
        <v>192.75</v>
      </c>
      <c r="U14">
        <f t="shared" si="13"/>
        <v>0.25251438895912004</v>
      </c>
      <c r="V14" s="154">
        <f t="shared" si="24"/>
        <v>3.0149073309822319E-2</v>
      </c>
      <c r="W14" s="154">
        <f t="shared" si="14"/>
        <v>2.7173982409470245E-2</v>
      </c>
      <c r="Y14" s="127"/>
      <c r="AF14" s="95">
        <f>C14/$AD$34*$AD$29</f>
        <v>4.3055555555555554</v>
      </c>
      <c r="AG14" s="95">
        <f>AF14/$AD$29*$AD$34</f>
        <v>155</v>
      </c>
      <c r="AH14" s="96">
        <f>MAX(($AD$37+$AE$37*LN($AG14)),0)</f>
        <v>43239.249799405501</v>
      </c>
      <c r="AI14" s="96">
        <f>MAX(($AD$37+$AE$37*LN(AG14))/$AD$33,0)</f>
        <v>93.835177516070971</v>
      </c>
      <c r="AJ14" s="96">
        <f>($AD$38+$AE$38*AI14*$AD$33)/$AD$33</f>
        <v>73.161670282743415</v>
      </c>
      <c r="AK14" s="96">
        <f>($AD$39+$AE$39*AJ14*$AD$33)/$AD$33</f>
        <v>93.775260793646453</v>
      </c>
      <c r="AL14">
        <f t="shared" si="29"/>
        <v>73.161670282743401</v>
      </c>
      <c r="AM14">
        <f t="shared" si="30"/>
        <v>33712.897666288161</v>
      </c>
      <c r="AN14" s="127">
        <f t="shared" si="31"/>
        <v>2.5645549843300849E-2</v>
      </c>
      <c r="AO14" s="127">
        <f t="shared" si="15"/>
        <v>0.21113753539938881</v>
      </c>
      <c r="AP14" s="146">
        <f t="shared" si="16"/>
        <v>1.3478150698435463E-6</v>
      </c>
      <c r="AQ14" s="95">
        <f t="shared" si="32"/>
        <v>2.7768510934620141E-2</v>
      </c>
      <c r="AR14" s="127">
        <f t="shared" si="33"/>
        <v>7.9395613939336682E-3</v>
      </c>
      <c r="AS14">
        <f>AR14*AM14/5252</f>
        <v>5.096451271685034E-2</v>
      </c>
      <c r="AT14" s="146">
        <f t="shared" si="34"/>
        <v>6.5879161311398068E-7</v>
      </c>
      <c r="AU14" s="95">
        <f>$W$36/AT14</f>
        <v>5.6811314473004582E-2</v>
      </c>
      <c r="AV14" s="128">
        <f>$W$33/$W$32</f>
        <v>1.0526315789473683E-4</v>
      </c>
      <c r="AW14" s="96">
        <f>$W$35/$W$32/$W$30/AP14</f>
        <v>53.949042821495425</v>
      </c>
    </row>
    <row r="15" spans="1:49" ht="13.95" customHeight="1" x14ac:dyDescent="0.3">
      <c r="B15" s="113">
        <f t="shared" si="25"/>
        <v>1.9166666666666665</v>
      </c>
      <c r="C15" s="73">
        <v>165</v>
      </c>
      <c r="D15" s="73">
        <v>2.63</v>
      </c>
      <c r="E15" s="73">
        <v>12.75</v>
      </c>
      <c r="F15" s="73">
        <v>16.399999999999999</v>
      </c>
      <c r="G15" s="73">
        <v>1316</v>
      </c>
      <c r="H15" s="73">
        <v>1680</v>
      </c>
      <c r="I15" s="78">
        <v>17.2</v>
      </c>
      <c r="J15" s="2">
        <f t="shared" si="28"/>
        <v>209.1</v>
      </c>
      <c r="K15" s="1">
        <f t="shared" si="1"/>
        <v>165</v>
      </c>
      <c r="L15" s="1">
        <f t="shared" si="26"/>
        <v>5.1059454739005803</v>
      </c>
      <c r="M15" s="3">
        <f t="shared" si="27"/>
        <v>759.87841945288756</v>
      </c>
      <c r="N15" s="3">
        <f t="shared" si="27"/>
        <v>595.2380952380953</v>
      </c>
      <c r="O15" s="3">
        <f>M15*60/$W$29</f>
        <v>45592.705167173255</v>
      </c>
      <c r="P15" s="3">
        <f>N15*60/$W$29</f>
        <v>35714.285714285717</v>
      </c>
      <c r="Q15" s="3">
        <f>O15/$W$42*100</f>
        <v>98.942502532928074</v>
      </c>
      <c r="R15" s="3">
        <f>P15/$W$42*100</f>
        <v>77.504960317460331</v>
      </c>
      <c r="S15" s="3">
        <f t="shared" si="2"/>
        <v>165</v>
      </c>
      <c r="T15" s="4">
        <f t="shared" si="0"/>
        <v>209.1</v>
      </c>
      <c r="U15">
        <f t="shared" si="13"/>
        <v>0.27444009865912</v>
      </c>
      <c r="V15" s="154">
        <f t="shared" si="24"/>
        <v>3.1613816132925514E-2</v>
      </c>
      <c r="W15" s="154">
        <f t="shared" si="14"/>
        <v>2.863872523257344E-2</v>
      </c>
      <c r="Y15" s="127"/>
      <c r="AF15" s="95">
        <f>C15/$AD$34*$AD$29</f>
        <v>4.583333333333333</v>
      </c>
      <c r="AG15" s="95">
        <f>AF15/$AD$29*$AD$34</f>
        <v>165</v>
      </c>
      <c r="AH15" s="96">
        <f>MAX(($AD$37+$AE$37*LN($AG15)),0)</f>
        <v>44126.414319351083</v>
      </c>
      <c r="AI15" s="96">
        <f>MAX(($AD$37+$AE$37*LN(AG15))/$AD$33,0)</f>
        <v>95.760447741647312</v>
      </c>
      <c r="AJ15" s="96">
        <f>($AD$38+$AE$38*AI15*$AD$33)/$AD$33</f>
        <v>75.03988040426492</v>
      </c>
      <c r="AK15" s="96">
        <f>($AD$39+$AE$39*AJ15*$AD$33)/$AD$33</f>
        <v>95.697669206039706</v>
      </c>
      <c r="AL15">
        <f t="shared" si="29"/>
        <v>75.03988040426492</v>
      </c>
      <c r="AM15">
        <f t="shared" si="30"/>
        <v>34578.376890285275</v>
      </c>
      <c r="AN15" s="127">
        <f t="shared" si="31"/>
        <v>2.6855314322647372E-2</v>
      </c>
      <c r="AO15" s="127">
        <f t="shared" si="15"/>
        <v>0.22563380169031633</v>
      </c>
      <c r="AP15" s="146">
        <f t="shared" si="16"/>
        <v>1.3794456628573665E-6</v>
      </c>
      <c r="AQ15" s="95">
        <f t="shared" si="32"/>
        <v>2.7131780912102679E-2</v>
      </c>
      <c r="AR15" s="127">
        <f t="shared" si="33"/>
        <v>8.5204621586561918E-3</v>
      </c>
      <c r="AS15">
        <f>AR15*AM15/5252</f>
        <v>5.6097439413828526E-2</v>
      </c>
      <c r="AT15" s="146">
        <f t="shared" si="34"/>
        <v>6.8358784237358521E-7</v>
      </c>
      <c r="AU15" s="95">
        <f>$W$36/AT15</f>
        <v>5.4750560476384727E-2</v>
      </c>
      <c r="AV15" s="128">
        <f>$W$33/$W$32</f>
        <v>1.0526315789473683E-4</v>
      </c>
      <c r="AW15" s="96">
        <f>$W$35/$W$32/$W$30/AP15</f>
        <v>52.711995025471928</v>
      </c>
    </row>
    <row r="16" spans="1:49" ht="13.95" customHeight="1" thickBot="1" x14ac:dyDescent="0.35">
      <c r="B16" s="116">
        <f t="shared" si="25"/>
        <v>2</v>
      </c>
      <c r="C16" s="117">
        <v>180</v>
      </c>
      <c r="D16" s="117"/>
      <c r="E16" s="117"/>
      <c r="F16" s="117"/>
      <c r="G16" s="117"/>
      <c r="H16" s="117"/>
      <c r="I16" s="118"/>
      <c r="K16" s="1">
        <f t="shared" si="1"/>
        <v>180</v>
      </c>
      <c r="L16" s="1">
        <f t="shared" si="26"/>
        <v>5.1929568508902104</v>
      </c>
      <c r="O16" s="3">
        <f>AI16*$AD$33</f>
        <v>45361.106669554021</v>
      </c>
      <c r="P16" s="3">
        <f>N16*60/$W$29</f>
        <v>0</v>
      </c>
      <c r="Q16" s="3">
        <f>O16/$W$42*100</f>
        <v>98.439901626636328</v>
      </c>
      <c r="R16" s="3">
        <f>P16/$W$42*100</f>
        <v>0</v>
      </c>
      <c r="S16" s="1">
        <f t="shared" si="2"/>
        <v>180</v>
      </c>
      <c r="T16" s="4">
        <f t="shared" si="0"/>
        <v>0</v>
      </c>
      <c r="U16">
        <v>0</v>
      </c>
      <c r="AB16" s="97"/>
      <c r="AF16" s="95">
        <f>C16/$AD$34*$AD$29</f>
        <v>5</v>
      </c>
      <c r="AG16" s="95">
        <f>AF16/$AD$29*$AD$34</f>
        <v>180</v>
      </c>
      <c r="AH16" s="96">
        <f>MAX(($AD$37+$AE$37*LN($AG16)),0)</f>
        <v>45361.106669554021</v>
      </c>
      <c r="AI16" s="96">
        <f>MAX(($AD$37+$AE$37*LN(AG16))/$AD$33,0)</f>
        <v>98.439901626636328</v>
      </c>
      <c r="AJ16" s="96">
        <f>($AD$38+$AE$38*AI16*$AD$33)/$AD$33</f>
        <v>77.653839390427478</v>
      </c>
      <c r="AK16" s="96">
        <f>($AD$39+$AE$39*AJ16*$AD$33)/$AD$33</f>
        <v>98.373140223403354</v>
      </c>
      <c r="AL16">
        <f t="shared" si="29"/>
        <v>77.653839390427478</v>
      </c>
      <c r="AM16">
        <f t="shared" si="30"/>
        <v>35782.889191108981</v>
      </c>
      <c r="AN16" s="127">
        <f t="shared" si="31"/>
        <v>2.8585681652645696E-2</v>
      </c>
      <c r="AO16" s="127">
        <f t="shared" si="15"/>
        <v>0.24689226098011705</v>
      </c>
      <c r="AP16" s="146">
        <f t="shared" si="16"/>
        <v>1.4234668678858789E-6</v>
      </c>
      <c r="AQ16" s="95">
        <f t="shared" si="32"/>
        <v>2.6292721207050167E-2</v>
      </c>
      <c r="AR16" s="127">
        <f t="shared" si="33"/>
        <v>9.364635757178906E-3</v>
      </c>
      <c r="AS16">
        <f>AR16*AM16/5252</f>
        <v>6.3803069995093248E-2</v>
      </c>
      <c r="AT16" s="146">
        <f t="shared" si="34"/>
        <v>7.1809746701748993E-7</v>
      </c>
      <c r="AU16" s="95">
        <f>$W$36/AT16</f>
        <v>5.2119411672962718E-2</v>
      </c>
      <c r="AV16" s="128">
        <f>$W$33/$W$32</f>
        <v>1.0526315789473683E-4</v>
      </c>
      <c r="AW16" s="96">
        <f>$W$35/$W$32/$W$30/AP16</f>
        <v>51.08185835504522</v>
      </c>
    </row>
    <row r="17" spans="1:45" ht="13.95" customHeight="1" x14ac:dyDescent="0.3"/>
    <row r="18" spans="1:45" ht="13.95" customHeight="1" x14ac:dyDescent="0.35">
      <c r="B18" s="120">
        <f t="shared" si="25"/>
        <v>1.05</v>
      </c>
      <c r="C18" s="73">
        <v>9</v>
      </c>
      <c r="D18" s="119"/>
      <c r="E18" s="73">
        <v>13.8</v>
      </c>
      <c r="F18" s="73">
        <v>0.42399999999999999</v>
      </c>
      <c r="G18" s="73">
        <v>6160</v>
      </c>
      <c r="H18" s="119"/>
      <c r="I18" s="119"/>
      <c r="J18" s="2">
        <f t="shared" ref="J18:J26" si="35">E18*F18</f>
        <v>5.8512000000000004</v>
      </c>
      <c r="K18" s="1">
        <f t="shared" ref="K18:K26" si="36">C18</f>
        <v>9</v>
      </c>
      <c r="L18" s="1">
        <f t="shared" ref="L18:L26" si="37">LN(K18)</f>
        <v>2.1972245773362196</v>
      </c>
      <c r="M18" s="3">
        <f t="shared" ref="M18:M26" si="38">1/G18/0.000001</f>
        <v>162.33766233766235</v>
      </c>
      <c r="N18" s="3"/>
      <c r="O18" s="3">
        <f t="shared" ref="O18:O26" si="39">M18*60/$W$29</f>
        <v>9740.2597402597403</v>
      </c>
      <c r="P18" s="3"/>
      <c r="Q18" s="3">
        <f t="shared" ref="Q18:Q26" si="40">O18/$W$42*100</f>
        <v>21.137716450216452</v>
      </c>
      <c r="R18" s="3"/>
      <c r="S18" s="3">
        <f t="shared" ref="S18:S26" si="41">K18</f>
        <v>9</v>
      </c>
      <c r="T18" s="4">
        <f t="shared" ref="T18:T26" si="42">J18</f>
        <v>5.8512000000000004</v>
      </c>
      <c r="U18">
        <f t="shared" ref="U18:U26" si="43">T18*0.001341022</f>
        <v>7.8465879264000005E-3</v>
      </c>
      <c r="V18" s="154">
        <f t="shared" ref="V18:W26" si="44">$U18/$O18*5252</f>
        <v>4.230922058383821E-3</v>
      </c>
      <c r="W18" s="154">
        <f t="shared" ref="W18:W26" si="45">V18-$V$4</f>
        <v>1.2558311580317485E-3</v>
      </c>
      <c r="AJ18" s="148"/>
      <c r="AO18" t="s">
        <v>154</v>
      </c>
    </row>
    <row r="19" spans="1:45" ht="13.95" customHeight="1" x14ac:dyDescent="0.35">
      <c r="B19" s="120">
        <f t="shared" si="25"/>
        <v>1.0722222222222222</v>
      </c>
      <c r="C19" s="73">
        <v>13</v>
      </c>
      <c r="D19" s="119"/>
      <c r="E19" s="73">
        <v>13.8</v>
      </c>
      <c r="F19" s="73">
        <v>0.56499999999999995</v>
      </c>
      <c r="G19" s="73">
        <v>5080</v>
      </c>
      <c r="H19" s="119"/>
      <c r="I19" s="119"/>
      <c r="J19" s="2">
        <f t="shared" si="35"/>
        <v>7.7969999999999997</v>
      </c>
      <c r="K19" s="1">
        <f t="shared" si="36"/>
        <v>13</v>
      </c>
      <c r="L19" s="1">
        <f t="shared" si="37"/>
        <v>2.5649493574615367</v>
      </c>
      <c r="M19" s="3">
        <f t="shared" si="38"/>
        <v>196.85039370078741</v>
      </c>
      <c r="N19" s="3"/>
      <c r="O19" s="3">
        <f t="shared" si="39"/>
        <v>11811.023622047245</v>
      </c>
      <c r="P19" s="3"/>
      <c r="Q19" s="3">
        <f t="shared" si="40"/>
        <v>25.631561679790028</v>
      </c>
      <c r="R19" s="3"/>
      <c r="S19" s="3">
        <f t="shared" si="41"/>
        <v>13</v>
      </c>
      <c r="T19" s="4">
        <f t="shared" si="42"/>
        <v>7.7969999999999997</v>
      </c>
      <c r="U19">
        <f t="shared" si="43"/>
        <v>1.0455948534E-2</v>
      </c>
      <c r="V19" s="154">
        <f t="shared" si="44"/>
        <v>4.6494396639814237E-3</v>
      </c>
      <c r="W19" s="154">
        <f t="shared" si="45"/>
        <v>1.6743487636293511E-3</v>
      </c>
      <c r="AJ19" s="148"/>
      <c r="AO19" t="s">
        <v>133</v>
      </c>
      <c r="AP19" t="s">
        <v>100</v>
      </c>
      <c r="AQ19" t="s">
        <v>141</v>
      </c>
      <c r="AR19" t="s">
        <v>142</v>
      </c>
      <c r="AS19" t="s">
        <v>132</v>
      </c>
    </row>
    <row r="20" spans="1:45" ht="13.95" customHeight="1" x14ac:dyDescent="0.3">
      <c r="B20" s="120">
        <f t="shared" si="25"/>
        <v>1.1444444444444444</v>
      </c>
      <c r="C20" s="73">
        <v>26</v>
      </c>
      <c r="D20" s="119"/>
      <c r="E20" s="73">
        <v>13.75</v>
      </c>
      <c r="F20" s="73">
        <v>1.32</v>
      </c>
      <c r="G20" s="73">
        <v>3180</v>
      </c>
      <c r="H20" s="119"/>
      <c r="I20" s="119"/>
      <c r="J20" s="2">
        <f t="shared" si="35"/>
        <v>18.150000000000002</v>
      </c>
      <c r="K20" s="1">
        <f t="shared" si="36"/>
        <v>26</v>
      </c>
      <c r="L20" s="1">
        <f t="shared" si="37"/>
        <v>3.2580965380214821</v>
      </c>
      <c r="M20" s="3">
        <f t="shared" si="38"/>
        <v>314.46540880503147</v>
      </c>
      <c r="N20" s="3"/>
      <c r="O20" s="3">
        <f t="shared" si="39"/>
        <v>18867.92452830189</v>
      </c>
      <c r="P20" s="3"/>
      <c r="Q20" s="3">
        <f t="shared" si="40"/>
        <v>40.946016771488473</v>
      </c>
      <c r="R20" s="3"/>
      <c r="S20" s="3">
        <f t="shared" si="41"/>
        <v>26</v>
      </c>
      <c r="T20" s="4">
        <f t="shared" si="42"/>
        <v>18.150000000000002</v>
      </c>
      <c r="U20">
        <f t="shared" si="43"/>
        <v>2.4339549300000006E-2</v>
      </c>
      <c r="V20" s="154">
        <f t="shared" si="44"/>
        <v>6.7750595849508004E-3</v>
      </c>
      <c r="W20" s="154">
        <f t="shared" si="45"/>
        <v>3.7999686845987279E-3</v>
      </c>
      <c r="AQ20" t="s">
        <v>155</v>
      </c>
      <c r="AR20" t="s">
        <v>156</v>
      </c>
    </row>
    <row r="21" spans="1:45" ht="13.95" customHeight="1" x14ac:dyDescent="0.3">
      <c r="B21" s="120">
        <f t="shared" si="25"/>
        <v>1.2</v>
      </c>
      <c r="C21" s="73">
        <v>36</v>
      </c>
      <c r="D21" s="119"/>
      <c r="E21" s="73">
        <v>13.71</v>
      </c>
      <c r="F21" s="73">
        <v>2.08</v>
      </c>
      <c r="G21" s="73">
        <v>2650</v>
      </c>
      <c r="H21" s="119"/>
      <c r="I21" s="119"/>
      <c r="J21" s="2">
        <f t="shared" si="35"/>
        <v>28.516800000000003</v>
      </c>
      <c r="K21" s="1">
        <f t="shared" si="36"/>
        <v>36</v>
      </c>
      <c r="L21" s="1">
        <f t="shared" si="37"/>
        <v>3.5835189384561099</v>
      </c>
      <c r="M21" s="3">
        <f t="shared" si="38"/>
        <v>377.35849056603774</v>
      </c>
      <c r="N21" s="3"/>
      <c r="O21" s="3">
        <f t="shared" si="39"/>
        <v>22641.509433962266</v>
      </c>
      <c r="P21" s="3"/>
      <c r="Q21" s="3">
        <f t="shared" si="40"/>
        <v>49.135220125786169</v>
      </c>
      <c r="R21" s="3"/>
      <c r="S21" s="3">
        <f t="shared" si="41"/>
        <v>36</v>
      </c>
      <c r="T21" s="4">
        <f t="shared" si="42"/>
        <v>28.516800000000003</v>
      </c>
      <c r="U21">
        <f t="shared" si="43"/>
        <v>3.8241656169600007E-2</v>
      </c>
      <c r="V21" s="154">
        <f t="shared" si="44"/>
        <v>8.8706620372876483E-3</v>
      </c>
      <c r="W21" s="154">
        <f t="shared" si="45"/>
        <v>5.8955711369355762E-3</v>
      </c>
      <c r="AO21">
        <f>AP21*$AD$33</f>
        <v>7372.8</v>
      </c>
      <c r="AP21">
        <v>16</v>
      </c>
      <c r="AQ21">
        <v>3.3218574470251366E-4</v>
      </c>
      <c r="AR21">
        <v>7.3801227827272476E-4</v>
      </c>
      <c r="AS21">
        <v>0.33</v>
      </c>
    </row>
    <row r="22" spans="1:45" ht="13.95" customHeight="1" x14ac:dyDescent="0.3">
      <c r="B22" s="120">
        <f t="shared" si="25"/>
        <v>1.3111111111111111</v>
      </c>
      <c r="C22" s="73">
        <v>56</v>
      </c>
      <c r="D22" s="119"/>
      <c r="E22" s="73">
        <v>13.6</v>
      </c>
      <c r="F22" s="73">
        <v>3.8</v>
      </c>
      <c r="G22" s="73">
        <v>2070</v>
      </c>
      <c r="H22" s="119"/>
      <c r="I22" s="119"/>
      <c r="J22" s="2">
        <f t="shared" si="35"/>
        <v>51.68</v>
      </c>
      <c r="K22" s="1">
        <f t="shared" si="36"/>
        <v>56</v>
      </c>
      <c r="L22" s="1">
        <f t="shared" si="37"/>
        <v>4.0253516907351496</v>
      </c>
      <c r="M22" s="3">
        <f t="shared" si="38"/>
        <v>483.09178743961354</v>
      </c>
      <c r="N22" s="3"/>
      <c r="O22" s="3">
        <f t="shared" si="39"/>
        <v>28985.507246376812</v>
      </c>
      <c r="P22" s="3"/>
      <c r="Q22" s="3">
        <f t="shared" si="40"/>
        <v>62.902576489533011</v>
      </c>
      <c r="R22" s="3"/>
      <c r="S22" s="3">
        <f t="shared" si="41"/>
        <v>56</v>
      </c>
      <c r="T22" s="4">
        <f t="shared" si="42"/>
        <v>51.68</v>
      </c>
      <c r="U22">
        <f t="shared" si="43"/>
        <v>6.9304016960000006E-2</v>
      </c>
      <c r="V22" s="154">
        <f t="shared" si="44"/>
        <v>1.255747204905024E-2</v>
      </c>
      <c r="W22" s="154">
        <f t="shared" si="45"/>
        <v>9.5823811486981676E-3</v>
      </c>
      <c r="AO22">
        <f t="shared" ref="AO22" si="46">AP22*$AD$33</f>
        <v>9216</v>
      </c>
      <c r="AP22">
        <v>20</v>
      </c>
      <c r="AQ22">
        <v>7.4483427705766901E-4</v>
      </c>
      <c r="AR22">
        <v>6.978697406499287E-4</v>
      </c>
      <c r="AS22">
        <v>0.26300000000000001</v>
      </c>
    </row>
    <row r="23" spans="1:45" ht="13.95" customHeight="1" x14ac:dyDescent="0.3">
      <c r="B23" s="120">
        <f t="shared" si="25"/>
        <v>1.3555555555555556</v>
      </c>
      <c r="C23" s="73">
        <v>64</v>
      </c>
      <c r="D23" s="119"/>
      <c r="E23" s="73">
        <v>13.55</v>
      </c>
      <c r="F23" s="73">
        <v>4.38</v>
      </c>
      <c r="G23" s="73">
        <v>2000</v>
      </c>
      <c r="H23" s="119"/>
      <c r="I23" s="119"/>
      <c r="J23" s="2">
        <f t="shared" si="35"/>
        <v>59.349000000000004</v>
      </c>
      <c r="K23" s="1">
        <f t="shared" si="36"/>
        <v>64</v>
      </c>
      <c r="L23" s="1">
        <f t="shared" si="37"/>
        <v>4.1588830833596715</v>
      </c>
      <c r="M23" s="3">
        <f t="shared" si="38"/>
        <v>500.00000000000006</v>
      </c>
      <c r="N23" s="3"/>
      <c r="O23" s="3">
        <f t="shared" si="39"/>
        <v>30000.000000000004</v>
      </c>
      <c r="P23" s="3"/>
      <c r="Q23" s="3">
        <f t="shared" si="40"/>
        <v>65.104166666666671</v>
      </c>
      <c r="R23" s="3"/>
      <c r="S23" s="3">
        <f t="shared" si="41"/>
        <v>64</v>
      </c>
      <c r="T23" s="4">
        <f t="shared" si="42"/>
        <v>59.349000000000004</v>
      </c>
      <c r="U23">
        <f t="shared" si="43"/>
        <v>7.9588314678000011E-2</v>
      </c>
      <c r="V23" s="154">
        <f t="shared" si="44"/>
        <v>1.39332609562952E-2</v>
      </c>
      <c r="W23" s="154">
        <f t="shared" si="45"/>
        <v>1.0958170055943128E-2</v>
      </c>
      <c r="AO23">
        <f>AP23*$AD$33</f>
        <v>11520</v>
      </c>
      <c r="AP23">
        <v>25</v>
      </c>
      <c r="AQ23">
        <v>1.8196732395486779E-3</v>
      </c>
      <c r="AR23">
        <v>8.2156541787077825E-4</v>
      </c>
      <c r="AS23">
        <v>0.2</v>
      </c>
    </row>
    <row r="24" spans="1:45" ht="13.95" customHeight="1" x14ac:dyDescent="0.3">
      <c r="B24" s="120">
        <f t="shared" si="25"/>
        <v>1.4944444444444445</v>
      </c>
      <c r="C24" s="73">
        <v>89</v>
      </c>
      <c r="D24" s="119"/>
      <c r="E24" s="73">
        <v>13.42</v>
      </c>
      <c r="F24" s="73">
        <v>6.3</v>
      </c>
      <c r="G24" s="73">
        <v>1760</v>
      </c>
      <c r="H24" s="119"/>
      <c r="I24" s="119"/>
      <c r="J24" s="2">
        <f t="shared" si="35"/>
        <v>84.545999999999992</v>
      </c>
      <c r="K24" s="1">
        <f t="shared" si="36"/>
        <v>89</v>
      </c>
      <c r="L24" s="1">
        <f t="shared" si="37"/>
        <v>4.4886363697321396</v>
      </c>
      <c r="M24" s="3">
        <f t="shared" si="38"/>
        <v>568.18181818181813</v>
      </c>
      <c r="N24" s="3"/>
      <c r="O24" s="3">
        <f t="shared" si="39"/>
        <v>34090.909090909088</v>
      </c>
      <c r="P24" s="3"/>
      <c r="Q24" s="3">
        <f t="shared" si="40"/>
        <v>73.982007575757564</v>
      </c>
      <c r="R24" s="3"/>
      <c r="S24" s="3">
        <f t="shared" si="41"/>
        <v>89</v>
      </c>
      <c r="T24" s="4">
        <f t="shared" si="42"/>
        <v>84.545999999999992</v>
      </c>
      <c r="U24">
        <f t="shared" si="43"/>
        <v>0.11337804601199999</v>
      </c>
      <c r="V24" s="154">
        <f t="shared" si="44"/>
        <v>1.7466870597880702E-2</v>
      </c>
      <c r="W24" s="154">
        <f t="shared" si="45"/>
        <v>1.449177969752863E-2</v>
      </c>
      <c r="AA24" s="147"/>
      <c r="AO24">
        <f>AP24*$AD$33</f>
        <v>16588.8</v>
      </c>
      <c r="AP24">
        <v>36</v>
      </c>
      <c r="AQ24">
        <v>7.5397784789642732E-3</v>
      </c>
      <c r="AR24">
        <v>2.7131440751281396E-3</v>
      </c>
      <c r="AS24">
        <v>0.127</v>
      </c>
    </row>
    <row r="25" spans="1:45" ht="13.95" customHeight="1" x14ac:dyDescent="0.3">
      <c r="B25" s="120">
        <f t="shared" si="25"/>
        <v>1.7944444444444443</v>
      </c>
      <c r="C25" s="73">
        <v>143</v>
      </c>
      <c r="D25" s="119"/>
      <c r="E25" s="73">
        <v>13.1</v>
      </c>
      <c r="F25" s="73">
        <v>11.7</v>
      </c>
      <c r="G25" s="73">
        <v>1430</v>
      </c>
      <c r="H25" s="119"/>
      <c r="I25" s="119"/>
      <c r="J25" s="2">
        <f t="shared" si="35"/>
        <v>153.26999999999998</v>
      </c>
      <c r="K25" s="1">
        <f t="shared" si="36"/>
        <v>143</v>
      </c>
      <c r="L25" s="1">
        <f t="shared" si="37"/>
        <v>4.962844630259907</v>
      </c>
      <c r="M25" s="3">
        <f t="shared" si="38"/>
        <v>699.30069930069931</v>
      </c>
      <c r="N25" s="3"/>
      <c r="O25" s="3">
        <f t="shared" si="39"/>
        <v>41958.041958041955</v>
      </c>
      <c r="P25" s="3"/>
      <c r="Q25" s="3">
        <f t="shared" si="40"/>
        <v>91.054778554778551</v>
      </c>
      <c r="R25" s="3"/>
      <c r="S25" s="3">
        <f t="shared" si="41"/>
        <v>143</v>
      </c>
      <c r="T25" s="4">
        <f t="shared" si="42"/>
        <v>153.26999999999998</v>
      </c>
      <c r="U25">
        <f t="shared" si="43"/>
        <v>0.20553844193999998</v>
      </c>
      <c r="V25" s="154">
        <f t="shared" si="44"/>
        <v>2.5727794880141638E-2</v>
      </c>
      <c r="W25" s="154">
        <f t="shared" si="45"/>
        <v>2.2752703979789565E-2</v>
      </c>
      <c r="AB25" s="97"/>
      <c r="AC25" s="97"/>
      <c r="AD25" s="97"/>
      <c r="AE25" s="97"/>
      <c r="AF25" s="97"/>
      <c r="AO25">
        <f>AP25*$AD$33</f>
        <v>20736</v>
      </c>
      <c r="AP25">
        <v>45</v>
      </c>
      <c r="AQ25">
        <v>1.7146093021340732E-2</v>
      </c>
      <c r="AR25">
        <v>7.1180011608729891E-3</v>
      </c>
      <c r="AS25">
        <v>0.1</v>
      </c>
    </row>
    <row r="26" spans="1:45" ht="13.95" customHeight="1" x14ac:dyDescent="0.3">
      <c r="B26" s="120">
        <f t="shared" si="25"/>
        <v>1.9166666666666665</v>
      </c>
      <c r="C26" s="73">
        <v>165</v>
      </c>
      <c r="D26" s="119"/>
      <c r="E26" s="73">
        <v>12.72</v>
      </c>
      <c r="F26" s="73">
        <v>16.86</v>
      </c>
      <c r="G26" s="73">
        <v>1280</v>
      </c>
      <c r="H26" s="119"/>
      <c r="I26" s="119"/>
      <c r="J26" s="2">
        <f t="shared" si="35"/>
        <v>214.45920000000001</v>
      </c>
      <c r="K26" s="1">
        <f t="shared" si="36"/>
        <v>165</v>
      </c>
      <c r="L26" s="1">
        <f t="shared" si="37"/>
        <v>5.1059454739005803</v>
      </c>
      <c r="M26" s="3">
        <f t="shared" si="38"/>
        <v>781.25000000000011</v>
      </c>
      <c r="N26" s="3"/>
      <c r="O26" s="3">
        <f t="shared" si="39"/>
        <v>46875.000000000007</v>
      </c>
      <c r="P26" s="3"/>
      <c r="Q26" s="3">
        <f t="shared" si="40"/>
        <v>101.72526041666667</v>
      </c>
      <c r="R26" s="3"/>
      <c r="S26" s="3">
        <f t="shared" si="41"/>
        <v>165</v>
      </c>
      <c r="T26" s="4">
        <f t="shared" si="42"/>
        <v>214.45920000000001</v>
      </c>
      <c r="U26">
        <f t="shared" si="43"/>
        <v>0.28759450530240005</v>
      </c>
      <c r="V26" s="154">
        <f t="shared" si="44"/>
        <v>3.2222855292761705E-2</v>
      </c>
      <c r="W26" s="154">
        <f t="shared" si="45"/>
        <v>2.9247764392409632E-2</v>
      </c>
      <c r="AO26">
        <f>AP26*$AD$33</f>
        <v>23040</v>
      </c>
      <c r="AP26">
        <v>50</v>
      </c>
      <c r="AQ26">
        <v>2.4979887676232684E-2</v>
      </c>
      <c r="AR26">
        <v>1.1143313366134135E-2</v>
      </c>
      <c r="AS26">
        <v>7.3999999999999996E-2</v>
      </c>
    </row>
    <row r="27" spans="1:45" ht="13.95" customHeight="1" x14ac:dyDescent="0.3">
      <c r="B27" s="5"/>
      <c r="C27" s="6"/>
      <c r="D27" s="6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4"/>
      <c r="AO27">
        <f>AP27*$AD$33</f>
        <v>23961.600000000002</v>
      </c>
      <c r="AP27">
        <v>52</v>
      </c>
      <c r="AQ27">
        <v>2.8687189497277076E-2</v>
      </c>
      <c r="AR27">
        <v>1.3128852647530663E-2</v>
      </c>
      <c r="AS27">
        <v>7.0999999999999994E-2</v>
      </c>
    </row>
    <row r="28" spans="1:45" ht="13.95" customHeight="1" thickBot="1" x14ac:dyDescent="0.35">
      <c r="B28" s="5"/>
      <c r="C28" s="6"/>
      <c r="D28" s="6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t="s">
        <v>32</v>
      </c>
      <c r="Y28" t="s">
        <v>33</v>
      </c>
      <c r="AB28" s="30"/>
      <c r="AC28" s="5" t="s">
        <v>56</v>
      </c>
      <c r="AD28" s="5"/>
      <c r="AE28" s="5"/>
      <c r="AF28" s="5"/>
      <c r="AO28">
        <f>AP28*$AD$33</f>
        <v>25344</v>
      </c>
      <c r="AP28">
        <v>55</v>
      </c>
      <c r="AQ28">
        <v>3.4912727705496999E-2</v>
      </c>
      <c r="AR28">
        <v>1.6549422883591874E-2</v>
      </c>
      <c r="AS28">
        <v>4.4999999999999998E-2</v>
      </c>
    </row>
    <row r="29" spans="1:45" ht="13.95" customHeight="1" x14ac:dyDescent="0.3">
      <c r="A29" s="3" t="s">
        <v>28</v>
      </c>
      <c r="B29" s="11" t="s">
        <v>29</v>
      </c>
      <c r="C29" s="12"/>
      <c r="D29" s="12"/>
      <c r="E29" s="6"/>
      <c r="F29" s="6"/>
      <c r="G29" s="6"/>
      <c r="H29" s="6"/>
      <c r="I29" s="6"/>
      <c r="J29" s="2"/>
      <c r="M29" s="3"/>
      <c r="N29" s="3"/>
      <c r="O29" s="3"/>
      <c r="P29" s="3"/>
      <c r="Q29" s="3"/>
      <c r="R29" s="3"/>
      <c r="S29" s="3"/>
      <c r="T29" s="3"/>
      <c r="V29" s="17" t="s">
        <v>3</v>
      </c>
      <c r="W29" s="18">
        <v>1</v>
      </c>
      <c r="Y29" s="17"/>
      <c r="Z29" s="23" t="s">
        <v>22</v>
      </c>
      <c r="AA29" s="7"/>
      <c r="AB29" s="30"/>
      <c r="AC29" s="62" t="s">
        <v>15</v>
      </c>
      <c r="AD29" s="63">
        <f>W47</f>
        <v>5</v>
      </c>
      <c r="AE29" s="64"/>
      <c r="AF29" s="29"/>
      <c r="AO29">
        <f>AP29*$AD$33</f>
        <v>28569.600000000002</v>
      </c>
      <c r="AP29">
        <v>62</v>
      </c>
      <c r="AQ29">
        <v>5.2819357330458824E-2</v>
      </c>
      <c r="AR29">
        <v>2.6818816528704516E-2</v>
      </c>
      <c r="AS29">
        <v>0.03</v>
      </c>
    </row>
    <row r="30" spans="1:45" x14ac:dyDescent="0.3">
      <c r="A30" s="3"/>
      <c r="B30" s="13" t="s">
        <v>30</v>
      </c>
      <c r="C30" s="14"/>
      <c r="D30" s="14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19" t="s">
        <v>4</v>
      </c>
      <c r="W30" s="20">
        <v>4800</v>
      </c>
      <c r="X30" t="s">
        <v>77</v>
      </c>
      <c r="Y30" s="24" t="s">
        <v>16</v>
      </c>
      <c r="Z30" s="25">
        <v>0</v>
      </c>
      <c r="AB30" s="30"/>
      <c r="AC30" s="65" t="s">
        <v>14</v>
      </c>
      <c r="AD30" s="66">
        <f>W46</f>
        <v>0</v>
      </c>
      <c r="AE30" s="45"/>
      <c r="AF30" s="31"/>
    </row>
    <row r="31" spans="1:45" ht="13.95" customHeight="1" thickBot="1" x14ac:dyDescent="0.35">
      <c r="A31" s="3"/>
      <c r="B31" s="15" t="s">
        <v>31</v>
      </c>
      <c r="C31" s="16"/>
      <c r="D31" s="16"/>
      <c r="E31" s="6"/>
      <c r="F31" s="6"/>
      <c r="G31" s="6"/>
      <c r="H31" s="6"/>
      <c r="I31" s="6"/>
      <c r="J31" s="2"/>
      <c r="M31" s="3"/>
      <c r="N31" s="3"/>
      <c r="O31" s="3"/>
      <c r="P31" s="2"/>
      <c r="Q31" s="3"/>
      <c r="R31" s="3"/>
      <c r="S31" s="3"/>
      <c r="T31" s="3"/>
      <c r="V31" s="19" t="s">
        <v>5</v>
      </c>
      <c r="W31" s="20">
        <v>12</v>
      </c>
      <c r="Y31" s="26" t="s">
        <v>17</v>
      </c>
      <c r="Z31" s="27">
        <v>5</v>
      </c>
      <c r="AB31" s="30"/>
      <c r="AC31" s="65" t="s">
        <v>17</v>
      </c>
      <c r="AD31" s="66">
        <f>Z31</f>
        <v>5</v>
      </c>
      <c r="AE31" s="30"/>
      <c r="AF31" s="31"/>
    </row>
    <row r="32" spans="1:45" ht="13.95" customHeight="1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69</v>
      </c>
      <c r="W32" s="20">
        <v>3.9899999999999998E-2</v>
      </c>
      <c r="X32" t="s">
        <v>76</v>
      </c>
      <c r="AB32" s="30"/>
      <c r="AC32" s="65" t="s">
        <v>16</v>
      </c>
      <c r="AD32" s="66">
        <f>Z30</f>
        <v>0</v>
      </c>
      <c r="AE32" s="30"/>
      <c r="AF32" s="31"/>
    </row>
    <row r="33" spans="2:47" ht="23.4" x14ac:dyDescent="0.4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70</v>
      </c>
      <c r="W33" s="129">
        <v>4.1999999999999996E-6</v>
      </c>
      <c r="X33" t="s">
        <v>75</v>
      </c>
      <c r="AB33" s="94" t="s">
        <v>54</v>
      </c>
      <c r="AC33" s="65" t="s">
        <v>27</v>
      </c>
      <c r="AD33" s="66">
        <f>W42/100</f>
        <v>460.8</v>
      </c>
      <c r="AE33" s="30"/>
      <c r="AF33" s="31"/>
    </row>
    <row r="34" spans="2:47" x14ac:dyDescent="0.3">
      <c r="B34" s="5"/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57" t="s">
        <v>71</v>
      </c>
      <c r="W34" s="130">
        <f>W30*2*PI()/60</f>
        <v>502.6548245743669</v>
      </c>
      <c r="X34" t="s">
        <v>73</v>
      </c>
      <c r="AC34" s="65" t="s">
        <v>18</v>
      </c>
      <c r="AD34" s="66">
        <f>Y47</f>
        <v>180</v>
      </c>
      <c r="AE34" s="30"/>
      <c r="AF34" s="31"/>
    </row>
    <row r="35" spans="2:47" x14ac:dyDescent="0.3">
      <c r="B35" s="5"/>
      <c r="C35" s="6"/>
      <c r="D35" s="6"/>
      <c r="E35" s="6"/>
      <c r="F35" s="6"/>
      <c r="G35" s="6"/>
      <c r="H35" s="6"/>
      <c r="I35" s="6"/>
      <c r="J35" s="2"/>
      <c r="M35" s="3"/>
      <c r="N35" s="3"/>
      <c r="O35" s="3"/>
      <c r="P35" s="3"/>
      <c r="Q35" s="3"/>
      <c r="R35" s="3"/>
      <c r="S35" s="3"/>
      <c r="T35" s="3"/>
      <c r="V35" s="57" t="s">
        <v>72</v>
      </c>
      <c r="W35" s="132">
        <f>7/W34</f>
        <v>1.3926057520540842E-2</v>
      </c>
      <c r="X35" t="s">
        <v>74</v>
      </c>
      <c r="AC35" s="65" t="s">
        <v>13</v>
      </c>
      <c r="AD35" s="66">
        <f>Y46</f>
        <v>0</v>
      </c>
      <c r="AE35" s="30"/>
      <c r="AF35" s="31"/>
    </row>
    <row r="36" spans="2:47" ht="15" thickBot="1" x14ac:dyDescent="0.35">
      <c r="C36" s="6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V36" s="131" t="s">
        <v>79</v>
      </c>
      <c r="W36" s="145">
        <f>AE55</f>
        <v>3.7426817504796325E-8</v>
      </c>
      <c r="X36" t="s">
        <v>80</v>
      </c>
      <c r="Z36" t="s">
        <v>113</v>
      </c>
      <c r="AC36" s="65" t="s">
        <v>122</v>
      </c>
      <c r="AD36" s="66">
        <f>W55</f>
        <v>0</v>
      </c>
      <c r="AE36" s="67">
        <f>W54</f>
        <v>14542.877489600349</v>
      </c>
      <c r="AF36" s="68">
        <f>W53</f>
        <v>-351.26655108461694</v>
      </c>
    </row>
    <row r="37" spans="2:47" x14ac:dyDescent="0.3">
      <c r="AC37" s="65" t="s">
        <v>21</v>
      </c>
      <c r="AD37" s="66">
        <f>W57</f>
        <v>-28327.005397586898</v>
      </c>
      <c r="AE37" s="67">
        <f>W56</f>
        <v>14190.01046667831</v>
      </c>
      <c r="AF37" s="31"/>
    </row>
    <row r="38" spans="2:47" ht="15" thickBot="1" x14ac:dyDescent="0.35">
      <c r="V38" t="s">
        <v>35</v>
      </c>
      <c r="AC38" s="65" t="s">
        <v>123</v>
      </c>
      <c r="AD38" s="66">
        <f>Z56</f>
        <v>-8469.4388916507069</v>
      </c>
      <c r="AE38" s="69">
        <f>Z55</f>
        <v>0.97555662398469367</v>
      </c>
      <c r="AF38" s="31"/>
    </row>
    <row r="39" spans="2:47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s="34">
        <v>240</v>
      </c>
      <c r="W39" s="35" t="s">
        <v>34</v>
      </c>
      <c r="X39" s="36"/>
      <c r="Y39" s="35"/>
      <c r="Z39" s="35"/>
      <c r="AA39" s="37"/>
      <c r="AC39" s="65" t="s">
        <v>124</v>
      </c>
      <c r="AD39" s="66">
        <f>Z54</f>
        <v>8705.4061069276213</v>
      </c>
      <c r="AE39" s="69">
        <f>Z53</f>
        <v>1.0235321332609688</v>
      </c>
      <c r="AF39" s="31"/>
    </row>
    <row r="40" spans="2:47" x14ac:dyDescent="0.3"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8"/>
      <c r="X40" s="8"/>
      <c r="Y40" s="8"/>
      <c r="AC40" s="65" t="s">
        <v>92</v>
      </c>
      <c r="AD40" s="124">
        <f>W63</f>
        <v>6.9658921582847581E-4</v>
      </c>
      <c r="AE40" s="124">
        <f>W62</f>
        <v>-1.9381907115184841E-7</v>
      </c>
      <c r="AF40" s="139">
        <f>W61</f>
        <v>1.782679103068748E-11</v>
      </c>
    </row>
    <row r="41" spans="2:47" ht="15" thickBot="1" x14ac:dyDescent="0.35">
      <c r="C41" s="6"/>
      <c r="D41" s="6"/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V41" t="s">
        <v>36</v>
      </c>
      <c r="AC41" s="65" t="s">
        <v>131</v>
      </c>
      <c r="AD41" s="124">
        <f>Z63</f>
        <v>2.0111653701195102E-3</v>
      </c>
      <c r="AE41" s="124">
        <f>Z62</f>
        <v>-3.0709262345742761E-7</v>
      </c>
      <c r="AF41" s="139">
        <f>Z61</f>
        <v>1.4325144135226059E-11</v>
      </c>
    </row>
    <row r="42" spans="2:47" ht="15" thickBot="1" x14ac:dyDescent="0.35">
      <c r="B42" t="s">
        <v>55</v>
      </c>
      <c r="C42" s="6"/>
      <c r="D42" s="6"/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s="38" t="s">
        <v>6</v>
      </c>
      <c r="W42" s="39">
        <f>W30*W31/X42</f>
        <v>46080</v>
      </c>
      <c r="X42" s="40">
        <v>1.25</v>
      </c>
      <c r="Y42" s="35" t="s">
        <v>9</v>
      </c>
      <c r="Z42" s="41"/>
      <c r="AA42">
        <f>V39</f>
        <v>240</v>
      </c>
      <c r="AC42" s="149" t="s">
        <v>134</v>
      </c>
      <c r="AD42" s="150">
        <v>31.3</v>
      </c>
      <c r="AE42" s="150">
        <v>-1.58</v>
      </c>
      <c r="AF42" s="33"/>
    </row>
    <row r="43" spans="2:47" x14ac:dyDescent="0.3">
      <c r="B43" t="s">
        <v>51</v>
      </c>
      <c r="C43" s="6" t="s">
        <v>52</v>
      </c>
      <c r="D43" s="6" t="s">
        <v>53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</row>
    <row r="44" spans="2:47" ht="15" thickBot="1" x14ac:dyDescent="0.35">
      <c r="B44" s="73">
        <v>87</v>
      </c>
      <c r="C44" s="6">
        <f>B44/180*(2.4-0.53)+0.53</f>
        <v>1.4338333333333333</v>
      </c>
      <c r="D44" s="88">
        <f>(C44-1)*180</f>
        <v>78.089999999999989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t="s">
        <v>37</v>
      </c>
    </row>
    <row r="45" spans="2:47" ht="28.8" x14ac:dyDescent="0.3">
      <c r="B45" s="73">
        <v>90</v>
      </c>
      <c r="C45" s="6">
        <f t="shared" ref="C45:C50" si="47">B45/180*(2.4-0.53)+0.53</f>
        <v>1.4649999999999999</v>
      </c>
      <c r="D45" s="88">
        <f t="shared" ref="D45:D50" si="48">(C45-1)*180</f>
        <v>83.699999999999974</v>
      </c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V45" s="17"/>
      <c r="W45" s="42" t="s">
        <v>19</v>
      </c>
      <c r="X45" s="28"/>
      <c r="Y45" s="42" t="s">
        <v>20</v>
      </c>
      <c r="Z45" s="29" t="s">
        <v>110</v>
      </c>
      <c r="AD45" t="s">
        <v>135</v>
      </c>
    </row>
    <row r="46" spans="2:47" x14ac:dyDescent="0.3">
      <c r="B46" s="73">
        <v>100</v>
      </c>
      <c r="C46" s="6">
        <f t="shared" si="47"/>
        <v>1.568888888888889</v>
      </c>
      <c r="D46" s="88">
        <f t="shared" si="48"/>
        <v>102.40000000000002</v>
      </c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V46" s="57" t="s">
        <v>14</v>
      </c>
      <c r="W46" s="58">
        <v>0</v>
      </c>
      <c r="X46" s="45" t="s">
        <v>13</v>
      </c>
      <c r="Y46" s="59">
        <v>0</v>
      </c>
      <c r="Z46" s="89">
        <f>Z56/W42*100</f>
        <v>-18.379858705839208</v>
      </c>
      <c r="AA46" t="s">
        <v>107</v>
      </c>
      <c r="AD46" t="s">
        <v>129</v>
      </c>
      <c r="AE46">
        <v>25</v>
      </c>
      <c r="AF46" t="s">
        <v>93</v>
      </c>
    </row>
    <row r="47" spans="2:47" x14ac:dyDescent="0.3">
      <c r="B47" s="73">
        <v>110</v>
      </c>
      <c r="C47" s="6">
        <f t="shared" si="47"/>
        <v>1.6727777777777779</v>
      </c>
      <c r="D47" s="88">
        <f t="shared" si="48"/>
        <v>121.10000000000002</v>
      </c>
      <c r="E47" s="6"/>
      <c r="F47" s="6"/>
      <c r="G47" s="6"/>
      <c r="H47" s="6"/>
      <c r="I47" s="6"/>
      <c r="J47" s="2"/>
      <c r="M47" s="3"/>
      <c r="N47" s="3"/>
      <c r="O47" s="3"/>
      <c r="P47" s="3"/>
      <c r="Q47" s="3"/>
      <c r="R47" s="3"/>
      <c r="S47" s="3"/>
      <c r="T47" s="3"/>
      <c r="V47" s="57" t="s">
        <v>15</v>
      </c>
      <c r="W47" s="58">
        <v>5</v>
      </c>
      <c r="X47" s="45" t="s">
        <v>18</v>
      </c>
      <c r="Y47" s="59">
        <v>180</v>
      </c>
      <c r="Z47" s="60">
        <v>77</v>
      </c>
      <c r="AD47" t="s">
        <v>146</v>
      </c>
      <c r="AE47">
        <v>2.1797</v>
      </c>
      <c r="AF47" t="s">
        <v>94</v>
      </c>
    </row>
    <row r="48" spans="2:47" x14ac:dyDescent="0.3">
      <c r="B48" s="73">
        <v>114</v>
      </c>
      <c r="C48" s="6">
        <f t="shared" si="47"/>
        <v>1.7143333333333333</v>
      </c>
      <c r="D48" s="88">
        <f t="shared" si="48"/>
        <v>128.57999999999998</v>
      </c>
      <c r="V48" s="19"/>
      <c r="W48" s="30" t="s">
        <v>40</v>
      </c>
      <c r="X48" s="30"/>
      <c r="Y48" s="61"/>
      <c r="Z48" s="89">
        <f>(Z47-Z46)/(W47-W46)</f>
        <v>19.075971741167841</v>
      </c>
      <c r="AD48" t="s">
        <v>130</v>
      </c>
      <c r="AE48">
        <f>($AE$46/25.4)^2*$AE$47/1000*2.2/3</f>
        <v>1.5484983053299442E-3</v>
      </c>
      <c r="AF48" t="s">
        <v>96</v>
      </c>
      <c r="AG48" s="153" t="s">
        <v>148</v>
      </c>
      <c r="AH48" s="104"/>
      <c r="AP48" s="3"/>
      <c r="AT48" s="3"/>
      <c r="AU48" s="3"/>
    </row>
    <row r="49" spans="2:43" x14ac:dyDescent="0.3">
      <c r="B49" s="73">
        <v>127.5</v>
      </c>
      <c r="C49" s="6">
        <f t="shared" si="47"/>
        <v>1.8545833333333333</v>
      </c>
      <c r="D49" s="88">
        <f t="shared" si="48"/>
        <v>153.82499999999999</v>
      </c>
      <c r="V49" s="19"/>
      <c r="W49" s="30"/>
      <c r="X49" s="30"/>
      <c r="Y49" s="61"/>
      <c r="Z49" s="89">
        <f>Z47-Z48*(W47-W46)</f>
        <v>-18.379858705839212</v>
      </c>
      <c r="AD49" t="s">
        <v>143</v>
      </c>
      <c r="AE49" s="97">
        <f>3/8/2*25.4</f>
        <v>4.7624999999999993</v>
      </c>
      <c r="AF49" t="s">
        <v>93</v>
      </c>
      <c r="AG49" t="s">
        <v>144</v>
      </c>
      <c r="AQ49" s="3"/>
    </row>
    <row r="50" spans="2:43" ht="15" thickBot="1" x14ac:dyDescent="0.35">
      <c r="B50" s="80">
        <v>136.4</v>
      </c>
      <c r="C50" s="6">
        <f t="shared" si="47"/>
        <v>1.9470444444444444</v>
      </c>
      <c r="D50" s="88">
        <f t="shared" si="48"/>
        <v>170.46799999999999</v>
      </c>
      <c r="V50" s="21"/>
      <c r="W50" s="32"/>
      <c r="X50" s="32"/>
      <c r="Y50" s="47"/>
      <c r="Z50" s="48" t="s">
        <v>125</v>
      </c>
      <c r="AD50" t="s">
        <v>145</v>
      </c>
      <c r="AE50" s="97">
        <f>3/4*25.4</f>
        <v>19.049999999999997</v>
      </c>
      <c r="AF50" t="s">
        <v>93</v>
      </c>
      <c r="AG50" t="s">
        <v>144</v>
      </c>
    </row>
    <row r="51" spans="2:43" x14ac:dyDescent="0.3">
      <c r="AD51" t="s">
        <v>147</v>
      </c>
      <c r="AE51">
        <f>PI()*(AE49/25.4)^2/4*3/4*0.3</f>
        <v>6.2126221909368446E-3</v>
      </c>
      <c r="AF51" t="s">
        <v>150</v>
      </c>
      <c r="AG51" t="s">
        <v>144</v>
      </c>
    </row>
    <row r="52" spans="2:43" ht="15" thickBot="1" x14ac:dyDescent="0.35">
      <c r="V52" t="s">
        <v>38</v>
      </c>
      <c r="AD52" t="s">
        <v>136</v>
      </c>
      <c r="AE52">
        <f>($AE$49/25.4)^2*$AE$51/2</f>
        <v>1.0920624945006168E-4</v>
      </c>
      <c r="AF52" t="s">
        <v>96</v>
      </c>
      <c r="AG52" t="s">
        <v>149</v>
      </c>
    </row>
    <row r="53" spans="2:43" x14ac:dyDescent="0.3">
      <c r="V53" s="49" t="s">
        <v>122</v>
      </c>
      <c r="W53" s="50">
        <f>INDEX(LINEST($P$4:$P$15,$D$4:$D$15^{1,2},FALSE,FALSE),1)</f>
        <v>-351.26655108461694</v>
      </c>
      <c r="X53" s="28"/>
      <c r="Y53" s="51" t="s">
        <v>124</v>
      </c>
      <c r="Z53" s="52">
        <f>INDEX(LINEST($O$4:$O$15,$P$4:$P$15),1)</f>
        <v>1.0235321332609688</v>
      </c>
      <c r="AD53" t="s">
        <v>95</v>
      </c>
      <c r="AE53">
        <f>AE48+AE52</f>
        <v>1.6577045547800059E-3</v>
      </c>
      <c r="AF53" t="s">
        <v>96</v>
      </c>
    </row>
    <row r="54" spans="2:43" x14ac:dyDescent="0.3">
      <c r="V54" s="43"/>
      <c r="W54" s="54">
        <f>INDEX(LINEST($P$4:$P$15,$D$4:$D$15^{1,2},FALSE,FALSE),2)</f>
        <v>14542.877489600349</v>
      </c>
      <c r="X54" s="30"/>
      <c r="Y54" s="44"/>
      <c r="Z54" s="46">
        <f>INDEX(LINEST($O$4:$O$15,$P$4:$P$15),2)</f>
        <v>8705.4061069276213</v>
      </c>
      <c r="AD54" t="s">
        <v>95</v>
      </c>
      <c r="AE54">
        <f>AE53/144</f>
        <v>1.1511837185972264E-5</v>
      </c>
      <c r="AF54" t="s">
        <v>97</v>
      </c>
    </row>
    <row r="55" spans="2:43" x14ac:dyDescent="0.3">
      <c r="V55" s="43"/>
      <c r="W55" s="54">
        <f>INDEX(LINEST($P$4:$P$15,$D$4:$D$15^{1,2},FALSE,FALSE),3)</f>
        <v>0</v>
      </c>
      <c r="X55" s="30"/>
      <c r="Y55" s="44" t="s">
        <v>123</v>
      </c>
      <c r="Z55" s="46">
        <f>INDEX(LINEST($P$4:$P$15,$O$4:$O$15),1)</f>
        <v>0.97555662398469367</v>
      </c>
      <c r="AD55" t="s">
        <v>95</v>
      </c>
      <c r="AE55">
        <f>AE54/2048.5*6.66</f>
        <v>3.7426817504796325E-8</v>
      </c>
      <c r="AF55" t="s">
        <v>98</v>
      </c>
    </row>
    <row r="56" spans="2:43" x14ac:dyDescent="0.3">
      <c r="V56" s="43" t="s">
        <v>21</v>
      </c>
      <c r="W56" s="54">
        <f>INDEX(LINEST($O$8:$O$15,$L$8:$L$15),1)</f>
        <v>14190.01046667831</v>
      </c>
      <c r="X56" s="30"/>
      <c r="Y56" s="44"/>
      <c r="Z56" s="46">
        <f>INDEX(LINEST($P$4:$P$15,$O$4:$O$15),2)</f>
        <v>-8469.4388916507069</v>
      </c>
      <c r="AA56" t="s">
        <v>60</v>
      </c>
    </row>
    <row r="57" spans="2:43" x14ac:dyDescent="0.3">
      <c r="V57" s="43"/>
      <c r="W57" s="54">
        <f>INDEX(LINEST($O$8:$O$15,$L$8:$L$15),2)</f>
        <v>-28327.005397586898</v>
      </c>
      <c r="X57" s="30"/>
      <c r="Y57" s="30"/>
      <c r="Z57" s="31"/>
    </row>
    <row r="58" spans="2:43" x14ac:dyDescent="0.3">
      <c r="V58" s="19"/>
      <c r="W58" s="30"/>
      <c r="X58" s="30"/>
      <c r="Y58" s="30"/>
      <c r="Z58" s="31"/>
    </row>
    <row r="59" spans="2:43" ht="15" thickBot="1" x14ac:dyDescent="0.35">
      <c r="V59" s="107" t="s">
        <v>62</v>
      </c>
      <c r="W59" s="108">
        <f>EXP((0-$AD$37)/$AE$37)</f>
        <v>7.361501228839896</v>
      </c>
      <c r="X59" s="32"/>
      <c r="Y59" s="32"/>
      <c r="Z59" s="33"/>
      <c r="AA59" t="s">
        <v>65</v>
      </c>
    </row>
    <row r="60" spans="2:43" ht="15" thickBot="1" x14ac:dyDescent="0.35"/>
    <row r="61" spans="2:43" x14ac:dyDescent="0.3">
      <c r="V61" s="49" t="s">
        <v>92</v>
      </c>
      <c r="W61" s="121">
        <f>INDEX(LINEST($W$4:$W$15,$O$4:$O$15^{1,2}),1)</f>
        <v>1.782679103068748E-11</v>
      </c>
      <c r="Y61" s="49" t="s">
        <v>131</v>
      </c>
      <c r="Z61" s="121">
        <f>INDEX(LINEST($W$67:$W$84,$O$67:$O$84^{1,2}),1)</f>
        <v>1.4325144135226059E-11</v>
      </c>
      <c r="AE61" s="45"/>
      <c r="AF61" s="152"/>
    </row>
    <row r="62" spans="2:43" x14ac:dyDescent="0.3">
      <c r="V62" s="43"/>
      <c r="W62" s="122">
        <f>INDEX(LINEST($W$4:$W$15,$O$4:$O$15^{1,2}),2)</f>
        <v>-1.9381907115184841E-7</v>
      </c>
      <c r="Y62" s="43"/>
      <c r="Z62" s="122">
        <f>INDEX(LINEST($W$67:$W$84,$O$67:$O$84^{1,2}),2)</f>
        <v>-3.0709262345742761E-7</v>
      </c>
      <c r="AE62" s="45"/>
      <c r="AF62" s="152"/>
    </row>
    <row r="63" spans="2:43" ht="15" thickBot="1" x14ac:dyDescent="0.35">
      <c r="V63" s="55"/>
      <c r="W63" s="123">
        <f>INDEX(LINEST($W$4:$W$15,$O$4:$O$15^{1,2}),3)</f>
        <v>6.9658921582847581E-4</v>
      </c>
      <c r="Y63" s="55"/>
      <c r="Z63" s="123">
        <f>INDEX(LINEST($W$67:$W$84,$O$67:$O$84^{1,2}),3)</f>
        <v>2.0111653701195102E-3</v>
      </c>
      <c r="AE63" s="45"/>
      <c r="AF63" s="152"/>
    </row>
    <row r="66" spans="2:24" x14ac:dyDescent="0.3">
      <c r="B66" t="s">
        <v>117</v>
      </c>
      <c r="U66" t="s">
        <v>89</v>
      </c>
      <c r="V66" t="s">
        <v>152</v>
      </c>
      <c r="W66" t="s">
        <v>153</v>
      </c>
    </row>
    <row r="67" spans="2:24" x14ac:dyDescent="0.3">
      <c r="B67" s="113">
        <f>C67/180+1</f>
        <v>1.0611111111111111</v>
      </c>
      <c r="C67" s="142">
        <v>11</v>
      </c>
      <c r="D67" s="142"/>
      <c r="E67" s="142">
        <v>13.68</v>
      </c>
      <c r="F67" s="142">
        <v>0.6</v>
      </c>
      <c r="G67" s="142">
        <v>6860</v>
      </c>
      <c r="H67" s="143"/>
      <c r="I67" s="142"/>
      <c r="J67" s="2">
        <f>E67*F67</f>
        <v>8.2080000000000002</v>
      </c>
      <c r="K67" s="1">
        <f>C67</f>
        <v>11</v>
      </c>
      <c r="L67" s="1">
        <f>LN(K67)</f>
        <v>2.3978952727983707</v>
      </c>
      <c r="M67" s="3">
        <f>1/G67/0.000001</f>
        <v>145.77259475218659</v>
      </c>
      <c r="N67" s="3"/>
      <c r="O67" s="3">
        <f>M67*60/$W$29</f>
        <v>8746.3556851311951</v>
      </c>
      <c r="P67" s="3">
        <f>N67*60/$W$29</f>
        <v>0</v>
      </c>
      <c r="Q67" s="3">
        <f>O67/$W$42*100</f>
        <v>18.980806608357629</v>
      </c>
      <c r="R67" s="3">
        <f>P67/$W$42*100</f>
        <v>0</v>
      </c>
      <c r="S67" s="3">
        <f>K67</f>
        <v>11</v>
      </c>
      <c r="T67" s="4">
        <f>J67</f>
        <v>8.2080000000000002</v>
      </c>
      <c r="U67">
        <f>(T67-$T$3)*0.001341022</f>
        <v>5.0395070351200002E-3</v>
      </c>
      <c r="V67" s="137">
        <f>$U67/$O67*5252</f>
        <v>3.0261164651061443E-3</v>
      </c>
      <c r="W67" s="154">
        <f>V67-$V$67</f>
        <v>0</v>
      </c>
      <c r="X67">
        <f>-W67/2/O67</f>
        <v>0</v>
      </c>
    </row>
    <row r="68" spans="2:24" x14ac:dyDescent="0.3">
      <c r="B68" s="113">
        <f>C68/180+1</f>
        <v>1.0833333333333333</v>
      </c>
      <c r="C68" s="142">
        <v>15</v>
      </c>
      <c r="D68" s="142"/>
      <c r="E68" s="142">
        <v>13.66</v>
      </c>
      <c r="F68" s="142">
        <v>0.65100000000000002</v>
      </c>
      <c r="G68" s="142">
        <v>6180</v>
      </c>
      <c r="H68" s="143"/>
      <c r="I68" s="142"/>
      <c r="J68" s="2">
        <f t="shared" ref="J68:J71" si="49">E68*F68</f>
        <v>8.8926600000000011</v>
      </c>
      <c r="K68" s="1">
        <f t="shared" ref="K68:K71" si="50">C68</f>
        <v>15</v>
      </c>
      <c r="L68" s="1">
        <f t="shared" ref="L68:L71" si="51">LN(K68)</f>
        <v>2.7080502011022101</v>
      </c>
      <c r="M68" s="3">
        <f t="shared" ref="M68:M71" si="52">1/G68/0.000001</f>
        <v>161.81229773462783</v>
      </c>
      <c r="N68" s="3"/>
      <c r="O68" s="3">
        <f t="shared" ref="O68:O71" si="53">M68*60/$W$29</f>
        <v>9708.7378640776697</v>
      </c>
      <c r="P68" s="3">
        <f t="shared" ref="P68:P71" si="54">N68*60/$W$29</f>
        <v>0</v>
      </c>
      <c r="Q68" s="3">
        <f t="shared" ref="Q68:Q71" si="55">O68/$W$42*100</f>
        <v>21.069309600862997</v>
      </c>
      <c r="R68" s="3">
        <f t="shared" ref="R68:R71" si="56">P68/$W$42*100</f>
        <v>0</v>
      </c>
      <c r="S68" s="3">
        <f t="shared" ref="S68:S71" si="57">K68</f>
        <v>15</v>
      </c>
      <c r="T68" s="4">
        <f t="shared" ref="T68:T71" si="58">J68</f>
        <v>8.8926600000000011</v>
      </c>
      <c r="U68">
        <f t="shared" ref="U68:U84" si="59">(T68-$T$3)*0.001341022</f>
        <v>5.9576511576400013E-3</v>
      </c>
      <c r="V68" s="127">
        <f>$U68/$O68*5252</f>
        <v>3.2228271396323046E-3</v>
      </c>
      <c r="W68" s="154">
        <f t="shared" ref="W68:W84" si="60">V68-$V$67</f>
        <v>1.967106745261603E-4</v>
      </c>
      <c r="X68">
        <f>-W68/2/O68</f>
        <v>-1.0130599738097255E-8</v>
      </c>
    </row>
    <row r="69" spans="2:24" x14ac:dyDescent="0.3">
      <c r="B69" s="113">
        <f>C69/180+1</f>
        <v>1.0666666666666667</v>
      </c>
      <c r="C69" s="142">
        <v>12</v>
      </c>
      <c r="D69" s="142"/>
      <c r="E69" s="142">
        <v>13.63</v>
      </c>
      <c r="F69" s="142">
        <v>0.68</v>
      </c>
      <c r="G69" s="142">
        <v>5840</v>
      </c>
      <c r="H69" s="143"/>
      <c r="I69" s="142"/>
      <c r="J69" s="2">
        <f t="shared" si="49"/>
        <v>9.2684000000000015</v>
      </c>
      <c r="K69" s="1">
        <f t="shared" si="50"/>
        <v>12</v>
      </c>
      <c r="L69" s="1">
        <f t="shared" si="51"/>
        <v>2.4849066497880004</v>
      </c>
      <c r="M69" s="3">
        <f t="shared" si="52"/>
        <v>171.23287671232879</v>
      </c>
      <c r="N69" s="3"/>
      <c r="O69" s="3">
        <f t="shared" si="53"/>
        <v>10273.972602739726</v>
      </c>
      <c r="P69" s="3">
        <f t="shared" si="54"/>
        <v>0</v>
      </c>
      <c r="Q69" s="3">
        <f t="shared" si="55"/>
        <v>22.295947488584474</v>
      </c>
      <c r="R69" s="3">
        <f t="shared" si="56"/>
        <v>0</v>
      </c>
      <c r="S69" s="3">
        <f t="shared" si="57"/>
        <v>12</v>
      </c>
      <c r="T69" s="4">
        <f t="shared" si="58"/>
        <v>9.2684000000000015</v>
      </c>
      <c r="U69">
        <f t="shared" si="59"/>
        <v>6.4615267639200015E-3</v>
      </c>
      <c r="V69" s="127">
        <f t="shared" ref="V69:V84" si="61">$U69/$O69*5252</f>
        <v>3.3030980202398302E-3</v>
      </c>
      <c r="W69" s="154">
        <f t="shared" si="60"/>
        <v>2.7698155513368591E-4</v>
      </c>
      <c r="X69">
        <f>-W69/2/O69</f>
        <v>-1.3479769016506046E-8</v>
      </c>
    </row>
    <row r="70" spans="2:24" x14ac:dyDescent="0.3">
      <c r="B70" s="113">
        <f>C70/180+1</f>
        <v>1.0722222222222222</v>
      </c>
      <c r="C70" s="142">
        <v>13</v>
      </c>
      <c r="D70" s="142"/>
      <c r="E70" s="142">
        <v>13.6</v>
      </c>
      <c r="F70" s="142">
        <v>0.74</v>
      </c>
      <c r="G70" s="142">
        <v>5280</v>
      </c>
      <c r="H70" s="143"/>
      <c r="I70" s="142"/>
      <c r="J70" s="2">
        <f t="shared" ref="J70" si="62">E70*F70</f>
        <v>10.064</v>
      </c>
      <c r="K70" s="1">
        <f t="shared" ref="K70" si="63">C70</f>
        <v>13</v>
      </c>
      <c r="L70" s="1">
        <f t="shared" ref="L70" si="64">LN(K70)</f>
        <v>2.5649493574615367</v>
      </c>
      <c r="M70" s="3">
        <f t="shared" ref="M70" si="65">1/G70/0.000001</f>
        <v>189.39393939393941</v>
      </c>
      <c r="N70" s="3"/>
      <c r="O70" s="3">
        <f t="shared" ref="O70" si="66">M70*60/$W$29</f>
        <v>11363.636363636364</v>
      </c>
      <c r="P70" s="3">
        <f t="shared" ref="P70" si="67">N70*60/$W$29</f>
        <v>0</v>
      </c>
      <c r="Q70" s="3">
        <f t="shared" ref="Q70" si="68">O70/$W$42*100</f>
        <v>24.660669191919194</v>
      </c>
      <c r="R70" s="3">
        <f t="shared" ref="R70" si="69">P70/$W$42*100</f>
        <v>0</v>
      </c>
      <c r="S70" s="3">
        <f t="shared" ref="S70" si="70">K70</f>
        <v>13</v>
      </c>
      <c r="T70" s="4">
        <f t="shared" ref="T70" si="71">J70</f>
        <v>10.064</v>
      </c>
      <c r="U70">
        <f t="shared" si="59"/>
        <v>7.52844386712E-3</v>
      </c>
      <c r="V70" s="127">
        <f t="shared" si="61"/>
        <v>3.479466072730053E-3</v>
      </c>
      <c r="W70" s="154">
        <f t="shared" si="60"/>
        <v>4.5334960762390868E-4</v>
      </c>
      <c r="X70">
        <f>-W70/2/O70</f>
        <v>-1.9947382735451983E-8</v>
      </c>
    </row>
    <row r="71" spans="2:24" x14ac:dyDescent="0.3">
      <c r="B71" s="113">
        <f>C71/180+1</f>
        <v>1.0777777777777777</v>
      </c>
      <c r="C71" s="142">
        <v>14</v>
      </c>
      <c r="D71" s="142"/>
      <c r="E71" s="142">
        <v>13.57</v>
      </c>
      <c r="F71" s="142">
        <v>0.78700000000000003</v>
      </c>
      <c r="G71" s="142">
        <v>4900</v>
      </c>
      <c r="H71" s="143"/>
      <c r="I71" s="142"/>
      <c r="J71" s="2">
        <f t="shared" si="49"/>
        <v>10.679590000000001</v>
      </c>
      <c r="K71" s="1">
        <f t="shared" si="50"/>
        <v>14</v>
      </c>
      <c r="L71" s="1">
        <f t="shared" si="51"/>
        <v>2.6390573296152584</v>
      </c>
      <c r="M71" s="3">
        <f t="shared" si="52"/>
        <v>204.08163265306123</v>
      </c>
      <c r="N71" s="3"/>
      <c r="O71" s="3">
        <f t="shared" si="53"/>
        <v>12244.897959183674</v>
      </c>
      <c r="P71" s="3">
        <f t="shared" si="54"/>
        <v>0</v>
      </c>
      <c r="Q71" s="3">
        <f t="shared" si="55"/>
        <v>26.573129251700685</v>
      </c>
      <c r="R71" s="3">
        <f t="shared" si="56"/>
        <v>0</v>
      </c>
      <c r="S71" s="3">
        <f t="shared" si="57"/>
        <v>14</v>
      </c>
      <c r="T71" s="4">
        <f t="shared" si="58"/>
        <v>10.679590000000001</v>
      </c>
      <c r="U71">
        <f t="shared" si="59"/>
        <v>8.3539636001000016E-3</v>
      </c>
      <c r="V71" s="127">
        <f t="shared" si="61"/>
        <v>3.5831263742642254E-3</v>
      </c>
      <c r="W71" s="154">
        <f t="shared" si="60"/>
        <v>5.5700990915808109E-4</v>
      </c>
      <c r="X71">
        <f>-W71/2/O71</f>
        <v>-2.2744571290621641E-8</v>
      </c>
    </row>
    <row r="72" spans="2:24" x14ac:dyDescent="0.3">
      <c r="B72" s="113">
        <f>C72/180+1</f>
        <v>1.1111111111111112</v>
      </c>
      <c r="C72" s="142">
        <v>20</v>
      </c>
      <c r="D72" s="142"/>
      <c r="E72" s="142">
        <v>13.77</v>
      </c>
      <c r="F72" s="142">
        <v>0.92900000000000005</v>
      </c>
      <c r="G72" s="142">
        <v>3500</v>
      </c>
      <c r="H72" s="143"/>
      <c r="I72" s="142"/>
      <c r="J72" s="2">
        <f t="shared" ref="J72:J84" si="72">E72*F72</f>
        <v>12.79233</v>
      </c>
      <c r="K72" s="1">
        <f t="shared" ref="K72:K84" si="73">C72</f>
        <v>20</v>
      </c>
      <c r="L72" s="1">
        <f t="shared" ref="L72:L84" si="74">LN(K72)</f>
        <v>2.9957322735539909</v>
      </c>
      <c r="M72" s="3">
        <f t="shared" ref="M72:M84" si="75">1/G72/0.000001</f>
        <v>285.71428571428572</v>
      </c>
      <c r="N72" s="3"/>
      <c r="O72" s="3">
        <f t="shared" ref="O72:O84" si="76">M72*60/$W$29</f>
        <v>17142.857142857145</v>
      </c>
      <c r="P72" s="3">
        <f t="shared" ref="P72:P82" si="77">N72*60/$W$29</f>
        <v>0</v>
      </c>
      <c r="Q72" s="3">
        <f t="shared" ref="Q72:Q84" si="78">O72/$W$42*100</f>
        <v>37.202380952380956</v>
      </c>
      <c r="R72" s="3">
        <f t="shared" ref="R72:R82" si="79">P72/$W$42*100</f>
        <v>0</v>
      </c>
      <c r="S72" s="3">
        <f t="shared" ref="S72:S84" si="80">K72</f>
        <v>20</v>
      </c>
      <c r="T72" s="4">
        <f t="shared" ref="T72:T84" si="81">J72</f>
        <v>12.79233</v>
      </c>
      <c r="U72">
        <f t="shared" si="59"/>
        <v>1.1187194420379999E-2</v>
      </c>
      <c r="V72" s="127">
        <f t="shared" si="61"/>
        <v>3.4273834639237518E-3</v>
      </c>
      <c r="W72" s="154">
        <f t="shared" si="60"/>
        <v>4.0126699881760756E-4</v>
      </c>
      <c r="X72">
        <f>-W72/2/O72</f>
        <v>-1.1703620798846885E-8</v>
      </c>
    </row>
    <row r="73" spans="2:24" x14ac:dyDescent="0.3">
      <c r="B73" s="113">
        <f t="shared" ref="B73:B84" si="82">C73/180+1</f>
        <v>1.1388888888888888</v>
      </c>
      <c r="C73" s="142">
        <v>25</v>
      </c>
      <c r="D73" s="142"/>
      <c r="E73" s="142">
        <v>13.74</v>
      </c>
      <c r="F73" s="142">
        <v>1.26</v>
      </c>
      <c r="G73" s="142">
        <v>3010</v>
      </c>
      <c r="H73" s="142"/>
      <c r="I73" s="142"/>
      <c r="J73" s="2">
        <f t="shared" si="72"/>
        <v>17.3124</v>
      </c>
      <c r="K73" s="1">
        <f t="shared" si="73"/>
        <v>25</v>
      </c>
      <c r="L73" s="1">
        <f t="shared" si="74"/>
        <v>3.2188758248682006</v>
      </c>
      <c r="M73" s="3">
        <f t="shared" si="75"/>
        <v>332.22591362126246</v>
      </c>
      <c r="N73" s="3"/>
      <c r="O73" s="3">
        <f t="shared" si="76"/>
        <v>19933.554817275748</v>
      </c>
      <c r="P73" s="3">
        <f t="shared" si="77"/>
        <v>0</v>
      </c>
      <c r="Q73" s="3">
        <f t="shared" si="78"/>
        <v>43.258582502768547</v>
      </c>
      <c r="R73" s="3">
        <f t="shared" si="79"/>
        <v>0</v>
      </c>
      <c r="S73" s="3">
        <f t="shared" si="80"/>
        <v>25</v>
      </c>
      <c r="T73" s="4">
        <f t="shared" si="81"/>
        <v>17.3124</v>
      </c>
      <c r="U73">
        <f t="shared" si="59"/>
        <v>1.7248707731919999E-2</v>
      </c>
      <c r="V73" s="127">
        <f t="shared" si="61"/>
        <v>4.5446090192368654E-3</v>
      </c>
      <c r="W73" s="154">
        <f t="shared" si="60"/>
        <v>1.5184925541307211E-3</v>
      </c>
      <c r="X73">
        <f>-W73/2/O73</f>
        <v>-3.8088854899445583E-8</v>
      </c>
    </row>
    <row r="74" spans="2:24" x14ac:dyDescent="0.3">
      <c r="B74" s="113">
        <f t="shared" si="82"/>
        <v>1.1666666666666667</v>
      </c>
      <c r="C74" s="142">
        <v>30</v>
      </c>
      <c r="D74" s="142"/>
      <c r="E74" s="142">
        <v>13.72</v>
      </c>
      <c r="F74" s="142">
        <v>1.734</v>
      </c>
      <c r="G74" s="142">
        <v>2650</v>
      </c>
      <c r="H74" s="142"/>
      <c r="I74" s="142"/>
      <c r="J74" s="2">
        <f t="shared" si="72"/>
        <v>23.790480000000002</v>
      </c>
      <c r="K74" s="1">
        <f t="shared" si="73"/>
        <v>30</v>
      </c>
      <c r="L74" s="1">
        <f t="shared" si="74"/>
        <v>3.4011973816621555</v>
      </c>
      <c r="M74" s="3">
        <f t="shared" si="75"/>
        <v>377.35849056603774</v>
      </c>
      <c r="N74" s="3"/>
      <c r="O74" s="3">
        <f t="shared" si="76"/>
        <v>22641.509433962266</v>
      </c>
      <c r="P74" s="3">
        <f t="shared" si="77"/>
        <v>0</v>
      </c>
      <c r="Q74" s="3">
        <f t="shared" si="78"/>
        <v>49.135220125786169</v>
      </c>
      <c r="R74" s="3">
        <f t="shared" si="79"/>
        <v>0</v>
      </c>
      <c r="S74" s="3">
        <f t="shared" si="80"/>
        <v>30</v>
      </c>
      <c r="T74" s="4">
        <f t="shared" si="81"/>
        <v>23.790480000000002</v>
      </c>
      <c r="U74">
        <f t="shared" si="59"/>
        <v>2.5935955529680001E-2</v>
      </c>
      <c r="V74" s="127">
        <f t="shared" si="61"/>
        <v>6.0161906978496715E-3</v>
      </c>
      <c r="W74" s="154">
        <f t="shared" si="60"/>
        <v>2.9900742327435273E-3</v>
      </c>
      <c r="X74">
        <f>-W74/2/O74</f>
        <v>-6.6030805973086218E-8</v>
      </c>
    </row>
    <row r="75" spans="2:24" x14ac:dyDescent="0.3">
      <c r="B75" s="113">
        <f t="shared" si="82"/>
        <v>1.1944444444444444</v>
      </c>
      <c r="C75" s="142">
        <v>35</v>
      </c>
      <c r="D75" s="142"/>
      <c r="E75" s="142">
        <v>13.69</v>
      </c>
      <c r="F75" s="142">
        <v>2.113</v>
      </c>
      <c r="G75" s="142">
        <v>2500</v>
      </c>
      <c r="H75" s="142"/>
      <c r="I75" s="142"/>
      <c r="J75" s="2">
        <f t="shared" si="72"/>
        <v>28.926969999999997</v>
      </c>
      <c r="K75" s="1">
        <f t="shared" si="73"/>
        <v>35</v>
      </c>
      <c r="L75" s="1">
        <f t="shared" si="74"/>
        <v>3.5553480614894135</v>
      </c>
      <c r="M75" s="3">
        <f t="shared" si="75"/>
        <v>400.00000000000006</v>
      </c>
      <c r="N75" s="3"/>
      <c r="O75" s="3">
        <f t="shared" si="76"/>
        <v>24000.000000000004</v>
      </c>
      <c r="P75" s="3">
        <f t="shared" si="77"/>
        <v>0</v>
      </c>
      <c r="Q75" s="3">
        <f t="shared" si="78"/>
        <v>52.083333333333336</v>
      </c>
      <c r="R75" s="3">
        <f t="shared" si="79"/>
        <v>0</v>
      </c>
      <c r="S75" s="3">
        <f t="shared" si="80"/>
        <v>35</v>
      </c>
      <c r="T75" s="4">
        <f t="shared" si="81"/>
        <v>28.926969999999997</v>
      </c>
      <c r="U75">
        <f t="shared" si="59"/>
        <v>3.2824101622459995E-2</v>
      </c>
      <c r="V75" s="127">
        <f t="shared" si="61"/>
        <v>7.1830075717149939E-3</v>
      </c>
      <c r="W75" s="154">
        <f t="shared" si="60"/>
        <v>4.1568911066088496E-3</v>
      </c>
      <c r="X75">
        <f>-W75/2/O75</f>
        <v>-8.6601898054351018E-8</v>
      </c>
    </row>
    <row r="76" spans="2:24" x14ac:dyDescent="0.3">
      <c r="B76" s="113">
        <f t="shared" si="82"/>
        <v>1.2222222222222223</v>
      </c>
      <c r="C76" s="142">
        <v>40</v>
      </c>
      <c r="D76" s="142"/>
      <c r="E76" s="142">
        <v>13.66</v>
      </c>
      <c r="F76" s="142">
        <v>2.37</v>
      </c>
      <c r="G76" s="142">
        <v>2270</v>
      </c>
      <c r="H76" s="142"/>
      <c r="I76" s="142"/>
      <c r="J76" s="2">
        <f t="shared" si="72"/>
        <v>32.374200000000002</v>
      </c>
      <c r="K76" s="1">
        <f t="shared" si="73"/>
        <v>40</v>
      </c>
      <c r="L76" s="1">
        <f t="shared" si="74"/>
        <v>3.6888794541139363</v>
      </c>
      <c r="M76" s="3">
        <f t="shared" si="75"/>
        <v>440.52863436123351</v>
      </c>
      <c r="N76" s="3"/>
      <c r="O76" s="3">
        <f t="shared" si="76"/>
        <v>26431.718061674012</v>
      </c>
      <c r="P76" s="3">
        <f t="shared" si="77"/>
        <v>0</v>
      </c>
      <c r="Q76" s="3">
        <f t="shared" si="78"/>
        <v>57.360499265785613</v>
      </c>
      <c r="R76" s="3">
        <f t="shared" si="79"/>
        <v>0</v>
      </c>
      <c r="S76" s="3">
        <f t="shared" si="80"/>
        <v>40</v>
      </c>
      <c r="T76" s="4">
        <f t="shared" si="81"/>
        <v>32.374200000000002</v>
      </c>
      <c r="U76">
        <f t="shared" si="59"/>
        <v>3.7446912891520003E-2</v>
      </c>
      <c r="V76" s="127">
        <f t="shared" si="61"/>
        <v>7.4407265561536179E-3</v>
      </c>
      <c r="W76" s="154">
        <f t="shared" si="60"/>
        <v>4.4146100910474736E-3</v>
      </c>
      <c r="X76">
        <f>-W76/2/O76</f>
        <v>-8.3509707555648035E-8</v>
      </c>
    </row>
    <row r="77" spans="2:24" x14ac:dyDescent="0.3">
      <c r="B77" s="113">
        <f t="shared" si="82"/>
        <v>1.2777777777777777</v>
      </c>
      <c r="C77" s="142">
        <v>50</v>
      </c>
      <c r="D77" s="142"/>
      <c r="E77" s="142">
        <v>13.6</v>
      </c>
      <c r="F77" s="142">
        <v>3.1</v>
      </c>
      <c r="G77" s="142">
        <v>2020</v>
      </c>
      <c r="H77" s="142"/>
      <c r="I77" s="142"/>
      <c r="J77" s="2">
        <f t="shared" si="72"/>
        <v>42.16</v>
      </c>
      <c r="K77" s="1">
        <f t="shared" si="73"/>
        <v>50</v>
      </c>
      <c r="L77" s="1">
        <f t="shared" si="74"/>
        <v>3.912023005428146</v>
      </c>
      <c r="M77" s="3">
        <f t="shared" si="75"/>
        <v>495.04950495049508</v>
      </c>
      <c r="N77" s="3"/>
      <c r="O77" s="3">
        <f t="shared" si="76"/>
        <v>29702.970297029704</v>
      </c>
      <c r="P77" s="3">
        <f t="shared" si="77"/>
        <v>0</v>
      </c>
      <c r="Q77" s="3">
        <f t="shared" si="78"/>
        <v>64.459570957095707</v>
      </c>
      <c r="R77" s="3">
        <f t="shared" si="79"/>
        <v>0</v>
      </c>
      <c r="S77" s="3">
        <f t="shared" si="80"/>
        <v>50</v>
      </c>
      <c r="T77" s="4">
        <f t="shared" si="81"/>
        <v>42.16</v>
      </c>
      <c r="U77">
        <f t="shared" si="59"/>
        <v>5.0569885979119995E-2</v>
      </c>
      <c r="V77" s="127">
        <f t="shared" si="61"/>
        <v>8.9416323857987191E-3</v>
      </c>
      <c r="W77" s="154">
        <f t="shared" si="60"/>
        <v>5.9155159206925748E-3</v>
      </c>
      <c r="X77">
        <f>-W77/2/O77</f>
        <v>-9.957785133165834E-8</v>
      </c>
    </row>
    <row r="78" spans="2:24" x14ac:dyDescent="0.3">
      <c r="B78" s="113">
        <f t="shared" si="82"/>
        <v>1.3333333333333333</v>
      </c>
      <c r="C78" s="142">
        <v>60</v>
      </c>
      <c r="D78" s="142"/>
      <c r="E78" s="142">
        <v>13.52</v>
      </c>
      <c r="F78" s="142">
        <v>3.9</v>
      </c>
      <c r="G78" s="142">
        <v>1870</v>
      </c>
      <c r="H78" s="142"/>
      <c r="I78" s="142"/>
      <c r="J78" s="2">
        <f t="shared" si="72"/>
        <v>52.727999999999994</v>
      </c>
      <c r="K78" s="1">
        <f t="shared" si="73"/>
        <v>60</v>
      </c>
      <c r="L78" s="1">
        <f t="shared" si="74"/>
        <v>4.0943445622221004</v>
      </c>
      <c r="M78" s="3">
        <f t="shared" si="75"/>
        <v>534.75935828877004</v>
      </c>
      <c r="N78" s="3"/>
      <c r="O78" s="3">
        <f t="shared" si="76"/>
        <v>32085.561497326202</v>
      </c>
      <c r="P78" s="3">
        <f t="shared" si="77"/>
        <v>0</v>
      </c>
      <c r="Q78" s="3">
        <f t="shared" si="78"/>
        <v>69.630124777183596</v>
      </c>
      <c r="R78" s="3">
        <f t="shared" si="79"/>
        <v>0</v>
      </c>
      <c r="S78" s="3">
        <f t="shared" si="80"/>
        <v>60</v>
      </c>
      <c r="T78" s="4">
        <f t="shared" si="81"/>
        <v>52.727999999999994</v>
      </c>
      <c r="U78">
        <f t="shared" si="59"/>
        <v>6.4741806475119998E-2</v>
      </c>
      <c r="V78" s="127">
        <f t="shared" si="61"/>
        <v>1.0597413657095125E-2</v>
      </c>
      <c r="W78" s="154">
        <f t="shared" si="60"/>
        <v>7.5712971919889805E-3</v>
      </c>
      <c r="X78">
        <f>-W78/2/O78</f>
        <v>-1.1798604790849495E-7</v>
      </c>
    </row>
    <row r="79" spans="2:24" x14ac:dyDescent="0.3">
      <c r="B79" s="113">
        <f t="shared" si="82"/>
        <v>1.4166666666666667</v>
      </c>
      <c r="C79" s="142">
        <v>75</v>
      </c>
      <c r="D79" s="142"/>
      <c r="E79" s="142">
        <v>13.2</v>
      </c>
      <c r="F79" s="142">
        <v>4.92</v>
      </c>
      <c r="G79" s="142">
        <v>1650</v>
      </c>
      <c r="H79" s="142"/>
      <c r="I79" s="142"/>
      <c r="J79" s="2">
        <f t="shared" si="72"/>
        <v>64.944000000000003</v>
      </c>
      <c r="K79" s="1">
        <f t="shared" si="73"/>
        <v>75</v>
      </c>
      <c r="L79" s="1">
        <f t="shared" si="74"/>
        <v>4.3174881135363101</v>
      </c>
      <c r="M79" s="3">
        <f t="shared" si="75"/>
        <v>606.06060606060612</v>
      </c>
      <c r="N79" s="3"/>
      <c r="O79" s="3">
        <f t="shared" si="76"/>
        <v>36363.636363636368</v>
      </c>
      <c r="P79" s="3">
        <f t="shared" si="77"/>
        <v>0</v>
      </c>
      <c r="Q79" s="3">
        <f t="shared" si="78"/>
        <v>78.914141414141426</v>
      </c>
      <c r="R79" s="3">
        <f t="shared" si="79"/>
        <v>0</v>
      </c>
      <c r="S79" s="3">
        <f t="shared" si="80"/>
        <v>75</v>
      </c>
      <c r="T79" s="4">
        <f t="shared" si="81"/>
        <v>64.944000000000003</v>
      </c>
      <c r="U79">
        <f t="shared" si="59"/>
        <v>8.1123731227120008E-2</v>
      </c>
      <c r="V79" s="127">
        <f t="shared" si="61"/>
        <v>1.1716700501132942E-2</v>
      </c>
      <c r="W79" s="154">
        <f t="shared" si="60"/>
        <v>8.6905840360267973E-3</v>
      </c>
      <c r="X79">
        <f>-W79/2/O79</f>
        <v>-1.1949553049536844E-7</v>
      </c>
    </row>
    <row r="80" spans="2:24" x14ac:dyDescent="0.3">
      <c r="B80" s="113">
        <f t="shared" si="82"/>
        <v>1.5</v>
      </c>
      <c r="C80" s="142">
        <v>90</v>
      </c>
      <c r="D80" s="142"/>
      <c r="E80" s="142">
        <v>13.31</v>
      </c>
      <c r="F80" s="142">
        <v>6.12</v>
      </c>
      <c r="G80" s="142">
        <v>1510</v>
      </c>
      <c r="H80" s="142"/>
      <c r="I80" s="142"/>
      <c r="J80" s="2">
        <f t="shared" si="72"/>
        <v>81.4572</v>
      </c>
      <c r="K80" s="1">
        <f t="shared" si="73"/>
        <v>90</v>
      </c>
      <c r="L80" s="1">
        <f t="shared" si="74"/>
        <v>4.499809670330265</v>
      </c>
      <c r="M80" s="3">
        <f t="shared" si="75"/>
        <v>662.25165562913912</v>
      </c>
      <c r="N80" s="3"/>
      <c r="O80" s="3">
        <f t="shared" si="76"/>
        <v>39735.099337748346</v>
      </c>
      <c r="P80" s="3">
        <f t="shared" si="77"/>
        <v>0</v>
      </c>
      <c r="Q80" s="3">
        <f t="shared" si="78"/>
        <v>86.230684326710815</v>
      </c>
      <c r="R80" s="3">
        <f t="shared" si="79"/>
        <v>0</v>
      </c>
      <c r="S80" s="3">
        <f t="shared" si="80"/>
        <v>90</v>
      </c>
      <c r="T80" s="4">
        <f t="shared" si="81"/>
        <v>81.4572</v>
      </c>
      <c r="U80">
        <f t="shared" si="59"/>
        <v>0.10326829571752001</v>
      </c>
      <c r="V80" s="127">
        <f t="shared" si="61"/>
        <v>1.3649521409228446E-2</v>
      </c>
      <c r="W80" s="154">
        <f t="shared" si="60"/>
        <v>1.0623404944122301E-2</v>
      </c>
      <c r="X80">
        <f>-W80/2/O80</f>
        <v>-1.3367784554687227E-7</v>
      </c>
    </row>
    <row r="81" spans="2:24" x14ac:dyDescent="0.3">
      <c r="B81" s="113">
        <f t="shared" si="82"/>
        <v>1.6055555555555556</v>
      </c>
      <c r="C81" s="142">
        <v>109</v>
      </c>
      <c r="D81" s="142"/>
      <c r="E81" s="142">
        <v>12.93</v>
      </c>
      <c r="F81" s="142">
        <v>7.27</v>
      </c>
      <c r="G81" s="142">
        <v>1470</v>
      </c>
      <c r="H81" s="142"/>
      <c r="I81" s="142"/>
      <c r="J81" s="2">
        <f t="shared" si="72"/>
        <v>94.001099999999994</v>
      </c>
      <c r="K81" s="1">
        <f t="shared" si="73"/>
        <v>109</v>
      </c>
      <c r="L81" s="1">
        <f t="shared" si="74"/>
        <v>4.6913478822291435</v>
      </c>
      <c r="M81" s="3">
        <f t="shared" si="75"/>
        <v>680.27210884353735</v>
      </c>
      <c r="N81" s="3"/>
      <c r="O81" s="3">
        <f t="shared" si="76"/>
        <v>40816.326530612241</v>
      </c>
      <c r="P81" s="3">
        <f t="shared" si="77"/>
        <v>0</v>
      </c>
      <c r="Q81" s="3">
        <f t="shared" si="78"/>
        <v>88.577097505668917</v>
      </c>
      <c r="R81" s="3">
        <f t="shared" si="79"/>
        <v>0</v>
      </c>
      <c r="S81" s="3">
        <f t="shared" si="80"/>
        <v>109</v>
      </c>
      <c r="T81" s="4">
        <f t="shared" si="81"/>
        <v>94.001099999999994</v>
      </c>
      <c r="U81">
        <f t="shared" si="59"/>
        <v>0.12008994158332</v>
      </c>
      <c r="V81" s="127">
        <f t="shared" si="61"/>
        <v>1.5452453143292119E-2</v>
      </c>
      <c r="W81" s="154">
        <f t="shared" si="60"/>
        <v>1.2426336678185976E-2</v>
      </c>
      <c r="X81">
        <f>-W81/2/O81</f>
        <v>-1.5222262430777822E-7</v>
      </c>
    </row>
    <row r="82" spans="2:24" ht="15" thickBot="1" x14ac:dyDescent="0.35">
      <c r="B82" s="116">
        <f t="shared" si="82"/>
        <v>1.7222222222222223</v>
      </c>
      <c r="C82" s="142">
        <v>130</v>
      </c>
      <c r="D82" s="142"/>
      <c r="E82" s="142">
        <v>13.08</v>
      </c>
      <c r="F82" s="142">
        <v>8.9600000000000009</v>
      </c>
      <c r="G82" s="142">
        <v>1380</v>
      </c>
      <c r="H82" s="142"/>
      <c r="I82" s="142"/>
      <c r="J82" s="2">
        <f t="shared" si="72"/>
        <v>117.19680000000001</v>
      </c>
      <c r="K82" s="1">
        <f t="shared" si="73"/>
        <v>130</v>
      </c>
      <c r="L82" s="1">
        <f t="shared" si="74"/>
        <v>4.8675344504555822</v>
      </c>
      <c r="M82" s="3">
        <f t="shared" si="75"/>
        <v>724.63768115942037</v>
      </c>
      <c r="N82" s="3"/>
      <c r="O82" s="3">
        <f t="shared" si="76"/>
        <v>43478.260869565223</v>
      </c>
      <c r="P82" s="3">
        <f t="shared" si="77"/>
        <v>0</v>
      </c>
      <c r="Q82" s="3">
        <f t="shared" si="78"/>
        <v>94.353864734299535</v>
      </c>
      <c r="R82" s="3">
        <f t="shared" si="79"/>
        <v>0</v>
      </c>
      <c r="S82" s="3">
        <f t="shared" si="80"/>
        <v>130</v>
      </c>
      <c r="T82" s="4">
        <f t="shared" si="81"/>
        <v>117.19680000000001</v>
      </c>
      <c r="U82">
        <f t="shared" si="59"/>
        <v>0.15119588558872002</v>
      </c>
      <c r="V82" s="127">
        <f t="shared" si="61"/>
        <v>1.8263858195575022E-2</v>
      </c>
      <c r="W82" s="154">
        <f t="shared" si="60"/>
        <v>1.5237741730468879E-2</v>
      </c>
      <c r="X82">
        <f>-W82/2/O82</f>
        <v>-1.7523402990039207E-7</v>
      </c>
    </row>
    <row r="83" spans="2:24" x14ac:dyDescent="0.3">
      <c r="B83" s="144">
        <f t="shared" si="82"/>
        <v>1.8277777777777777</v>
      </c>
      <c r="C83" s="142">
        <v>149</v>
      </c>
      <c r="D83" s="142"/>
      <c r="E83" s="142">
        <v>12.95</v>
      </c>
      <c r="F83" s="142">
        <v>10.8</v>
      </c>
      <c r="G83" s="142">
        <v>1310</v>
      </c>
      <c r="H83" s="142"/>
      <c r="I83" s="142"/>
      <c r="J83" s="1">
        <f t="shared" si="72"/>
        <v>139.86000000000001</v>
      </c>
      <c r="K83" s="1">
        <f t="shared" si="73"/>
        <v>149</v>
      </c>
      <c r="L83" s="1">
        <f t="shared" si="74"/>
        <v>5.0039463059454592</v>
      </c>
      <c r="M83" s="1">
        <f t="shared" si="75"/>
        <v>763.35877862595419</v>
      </c>
      <c r="O83" s="1">
        <f t="shared" si="76"/>
        <v>45801.526717557252</v>
      </c>
      <c r="Q83" s="1">
        <f t="shared" si="78"/>
        <v>99.395674300254456</v>
      </c>
      <c r="S83" s="1">
        <f t="shared" si="80"/>
        <v>149</v>
      </c>
      <c r="T83" s="4">
        <f t="shared" si="81"/>
        <v>139.86000000000001</v>
      </c>
      <c r="U83">
        <f t="shared" si="59"/>
        <v>0.18158773537912004</v>
      </c>
      <c r="V83" s="127">
        <f t="shared" si="61"/>
        <v>2.0822423498943188E-2</v>
      </c>
      <c r="W83" s="154">
        <f t="shared" si="60"/>
        <v>1.7796307033837045E-2</v>
      </c>
      <c r="X83">
        <f>-W83/2/O83</f>
        <v>-1.942763517860544E-7</v>
      </c>
    </row>
    <row r="84" spans="2:24" x14ac:dyDescent="0.3">
      <c r="B84" s="144">
        <f t="shared" si="82"/>
        <v>1.911111111111111</v>
      </c>
      <c r="C84" s="142">
        <v>164</v>
      </c>
      <c r="D84" s="142"/>
      <c r="E84" s="142">
        <v>12.75</v>
      </c>
      <c r="F84" s="142">
        <v>13.9</v>
      </c>
      <c r="G84" s="142">
        <v>1252</v>
      </c>
      <c r="H84" s="142"/>
      <c r="I84" s="142"/>
      <c r="J84" s="1">
        <f t="shared" si="72"/>
        <v>177.22499999999999</v>
      </c>
      <c r="K84" s="1">
        <f t="shared" si="73"/>
        <v>164</v>
      </c>
      <c r="L84" s="1">
        <f t="shared" si="74"/>
        <v>5.0998664278241987</v>
      </c>
      <c r="M84" s="1">
        <f t="shared" si="75"/>
        <v>798.72204472843453</v>
      </c>
      <c r="O84" s="1">
        <f t="shared" si="76"/>
        <v>47923.322683706072</v>
      </c>
      <c r="Q84" s="1">
        <f t="shared" si="78"/>
        <v>104.00026624068157</v>
      </c>
      <c r="S84" s="1">
        <f t="shared" si="80"/>
        <v>164</v>
      </c>
      <c r="T84" s="4">
        <f t="shared" si="81"/>
        <v>177.22499999999999</v>
      </c>
      <c r="U84">
        <f t="shared" si="59"/>
        <v>0.23169502240912002</v>
      </c>
      <c r="V84" s="127">
        <f t="shared" si="61"/>
        <v>2.539185911052097E-2</v>
      </c>
      <c r="W84" s="154">
        <f t="shared" si="60"/>
        <v>2.2365742645414827E-2</v>
      </c>
      <c r="X84">
        <f>-W84/2/O84</f>
        <v>-2.3334924826716135E-7</v>
      </c>
    </row>
    <row r="87" spans="2:24" x14ac:dyDescent="0.3">
      <c r="B87" t="s">
        <v>118</v>
      </c>
      <c r="U87" t="s">
        <v>90</v>
      </c>
      <c r="W87" t="s">
        <v>91</v>
      </c>
    </row>
    <row r="88" spans="2:24" x14ac:dyDescent="0.3">
      <c r="B88" s="113">
        <f>C88/180+1</f>
        <v>1.0611111111111111</v>
      </c>
      <c r="C88" s="142">
        <v>11</v>
      </c>
      <c r="D88" s="142"/>
      <c r="E88" s="142">
        <v>13.81</v>
      </c>
      <c r="F88" s="142">
        <v>0.57599999999999996</v>
      </c>
      <c r="G88" s="142">
        <v>4880</v>
      </c>
      <c r="H88" s="143"/>
      <c r="I88" s="142"/>
      <c r="J88" s="2">
        <f>E88*F88</f>
        <v>7.9545599999999999</v>
      </c>
      <c r="K88" s="1">
        <f t="shared" ref="K88:K102" si="83">C88</f>
        <v>11</v>
      </c>
      <c r="L88" s="1">
        <f t="shared" ref="L88:L102" si="84">LN(K88)</f>
        <v>2.3978952727983707</v>
      </c>
      <c r="M88" s="3">
        <f t="shared" ref="M88:M102" si="85">1/G88/0.000001</f>
        <v>204.91803278688525</v>
      </c>
      <c r="N88" s="3"/>
      <c r="O88" s="3">
        <f t="shared" ref="O88:O102" si="86">M88*60/$W$29</f>
        <v>12295.081967213115</v>
      </c>
      <c r="P88" s="3">
        <f t="shared" ref="P88:P100" si="87">N88*60/$W$29</f>
        <v>0</v>
      </c>
      <c r="Q88" s="3">
        <f t="shared" ref="Q88:Q102" si="88">O88/$W$42*100</f>
        <v>26.682035519125684</v>
      </c>
      <c r="R88" s="3">
        <f t="shared" ref="R88:R100" si="89">P88/$W$42*100</f>
        <v>0</v>
      </c>
      <c r="S88" s="3">
        <f t="shared" ref="S88:S102" si="90">K88</f>
        <v>11</v>
      </c>
      <c r="T88" s="4">
        <f t="shared" ref="T88:T102" si="91">J88</f>
        <v>7.9545599999999999</v>
      </c>
      <c r="U88">
        <f>T88*0.001341022</f>
        <v>1.0667239960320001E-2</v>
      </c>
      <c r="V88" s="137">
        <f>$U88/$O88*5252</f>
        <v>4.5566466674235194E-3</v>
      </c>
      <c r="W88" s="127">
        <f>V88-$V$88</f>
        <v>0</v>
      </c>
      <c r="X88">
        <f>-W88/2/O88</f>
        <v>0</v>
      </c>
    </row>
    <row r="89" spans="2:24" x14ac:dyDescent="0.3">
      <c r="B89" s="113">
        <f>C89/180+1</f>
        <v>1.0833333333333333</v>
      </c>
      <c r="C89" s="142">
        <v>15</v>
      </c>
      <c r="D89" s="142"/>
      <c r="E89" s="142">
        <v>13.8</v>
      </c>
      <c r="F89" s="142">
        <v>0.77800000000000002</v>
      </c>
      <c r="G89" s="142">
        <v>3900</v>
      </c>
      <c r="H89" s="143"/>
      <c r="I89" s="142"/>
      <c r="J89" s="2">
        <f t="shared" ref="J89:J102" si="92">E89*F89</f>
        <v>10.736400000000001</v>
      </c>
      <c r="K89" s="1">
        <f t="shared" si="83"/>
        <v>15</v>
      </c>
      <c r="L89" s="1">
        <f t="shared" si="84"/>
        <v>2.7080502011022101</v>
      </c>
      <c r="M89" s="3">
        <f t="shared" si="85"/>
        <v>256.41025641025641</v>
      </c>
      <c r="N89" s="3"/>
      <c r="O89" s="3">
        <f t="shared" si="86"/>
        <v>15384.615384615385</v>
      </c>
      <c r="P89" s="3">
        <f t="shared" si="87"/>
        <v>0</v>
      </c>
      <c r="Q89" s="3">
        <f t="shared" si="88"/>
        <v>33.386752136752136</v>
      </c>
      <c r="R89" s="3">
        <f t="shared" si="89"/>
        <v>0</v>
      </c>
      <c r="S89" s="3">
        <f t="shared" si="90"/>
        <v>15</v>
      </c>
      <c r="T89" s="4">
        <f t="shared" si="91"/>
        <v>10.736400000000001</v>
      </c>
      <c r="U89">
        <f t="shared" ref="U89:U102" si="93">T89*0.001341022</f>
        <v>1.4397748600800004E-2</v>
      </c>
      <c r="V89" s="127">
        <f t="shared" ref="V89:V104" si="94">$U89/$O89*5252</f>
        <v>4.9151034173411049E-3</v>
      </c>
      <c r="W89" s="127">
        <f t="shared" ref="W89:W102" si="95">V89-$V$88</f>
        <v>3.5845674991758555E-4</v>
      </c>
      <c r="X89">
        <f>-W89/2/O89</f>
        <v>-1.1649844372321531E-8</v>
      </c>
    </row>
    <row r="90" spans="2:24" x14ac:dyDescent="0.3">
      <c r="B90" s="113">
        <f>C90/180+1</f>
        <v>1.1111111111111112</v>
      </c>
      <c r="C90" s="142">
        <v>20</v>
      </c>
      <c r="D90" s="142"/>
      <c r="E90" s="142">
        <v>13.78</v>
      </c>
      <c r="F90" s="142">
        <v>1.04</v>
      </c>
      <c r="G90" s="142">
        <v>3260</v>
      </c>
      <c r="H90" s="143"/>
      <c r="I90" s="142"/>
      <c r="J90" s="2">
        <f t="shared" si="92"/>
        <v>14.331199999999999</v>
      </c>
      <c r="K90" s="1">
        <f t="shared" si="83"/>
        <v>20</v>
      </c>
      <c r="L90" s="1">
        <f t="shared" si="84"/>
        <v>2.9957322735539909</v>
      </c>
      <c r="M90" s="3">
        <f t="shared" si="85"/>
        <v>306.74846625766872</v>
      </c>
      <c r="N90" s="3"/>
      <c r="O90" s="3">
        <f t="shared" si="86"/>
        <v>18404.907975460123</v>
      </c>
      <c r="P90" s="3">
        <f t="shared" si="87"/>
        <v>0</v>
      </c>
      <c r="Q90" s="3">
        <f t="shared" si="88"/>
        <v>39.941206543967276</v>
      </c>
      <c r="R90" s="3">
        <f t="shared" si="89"/>
        <v>0</v>
      </c>
      <c r="S90" s="3">
        <f t="shared" si="90"/>
        <v>20</v>
      </c>
      <c r="T90" s="4">
        <f t="shared" si="91"/>
        <v>14.331199999999999</v>
      </c>
      <c r="U90">
        <f t="shared" si="93"/>
        <v>1.92184544864E-2</v>
      </c>
      <c r="V90" s="127">
        <f t="shared" si="94"/>
        <v>5.4841525476331228E-3</v>
      </c>
      <c r="W90" s="127">
        <f t="shared" si="95"/>
        <v>9.2750588020960346E-4</v>
      </c>
      <c r="X90">
        <f>-W90/2/O90</f>
        <v>-2.519724307902756E-8</v>
      </c>
    </row>
    <row r="91" spans="2:24" x14ac:dyDescent="0.3">
      <c r="B91" s="113">
        <f t="shared" ref="B91:B102" si="96">C91/180+1</f>
        <v>1.1388888888888888</v>
      </c>
      <c r="C91" s="142">
        <v>25</v>
      </c>
      <c r="D91" s="142"/>
      <c r="E91" s="142">
        <v>13.76</v>
      </c>
      <c r="F91" s="142">
        <v>1.363</v>
      </c>
      <c r="G91" s="142">
        <v>2870</v>
      </c>
      <c r="H91" s="142"/>
      <c r="I91" s="142"/>
      <c r="J91" s="2">
        <f t="shared" si="92"/>
        <v>18.75488</v>
      </c>
      <c r="K91" s="1">
        <f t="shared" si="83"/>
        <v>25</v>
      </c>
      <c r="L91" s="1">
        <f t="shared" si="84"/>
        <v>3.2188758248682006</v>
      </c>
      <c r="M91" s="3">
        <f t="shared" si="85"/>
        <v>348.43205574912895</v>
      </c>
      <c r="N91" s="3"/>
      <c r="O91" s="3">
        <f t="shared" si="86"/>
        <v>20905.923344947736</v>
      </c>
      <c r="P91" s="3">
        <f t="shared" si="87"/>
        <v>0</v>
      </c>
      <c r="Q91" s="3">
        <f t="shared" si="88"/>
        <v>45.368757259001164</v>
      </c>
      <c r="R91" s="3">
        <f t="shared" si="89"/>
        <v>0</v>
      </c>
      <c r="S91" s="3">
        <f t="shared" si="90"/>
        <v>25</v>
      </c>
      <c r="T91" s="4">
        <f t="shared" si="91"/>
        <v>18.75488</v>
      </c>
      <c r="U91">
        <f t="shared" si="93"/>
        <v>2.5150706687360001E-2</v>
      </c>
      <c r="V91" s="127">
        <f t="shared" si="94"/>
        <v>6.3183773011363711E-3</v>
      </c>
      <c r="W91" s="127">
        <f t="shared" si="95"/>
        <v>1.7617306337128517E-3</v>
      </c>
      <c r="X91">
        <f>-W91/2/O91</f>
        <v>-4.21347243229657E-8</v>
      </c>
    </row>
    <row r="92" spans="2:24" x14ac:dyDescent="0.3">
      <c r="B92" s="113">
        <f t="shared" si="96"/>
        <v>1.1666666666666667</v>
      </c>
      <c r="C92" s="142">
        <v>30</v>
      </c>
      <c r="D92" s="142"/>
      <c r="E92" s="142">
        <v>13.74</v>
      </c>
      <c r="F92" s="142">
        <v>1.67</v>
      </c>
      <c r="G92" s="142">
        <v>2640</v>
      </c>
      <c r="H92" s="142"/>
      <c r="I92" s="142"/>
      <c r="J92" s="2">
        <f t="shared" si="92"/>
        <v>22.945799999999998</v>
      </c>
      <c r="K92" s="1">
        <f t="shared" si="83"/>
        <v>30</v>
      </c>
      <c r="L92" s="1">
        <f t="shared" si="84"/>
        <v>3.4011973816621555</v>
      </c>
      <c r="M92" s="3">
        <f t="shared" si="85"/>
        <v>378.78787878787881</v>
      </c>
      <c r="N92" s="3"/>
      <c r="O92" s="3">
        <f t="shared" si="86"/>
        <v>22727.272727272728</v>
      </c>
      <c r="P92" s="3">
        <f t="shared" si="87"/>
        <v>0</v>
      </c>
      <c r="Q92" s="3">
        <f t="shared" si="88"/>
        <v>49.321338383838388</v>
      </c>
      <c r="R92" s="3">
        <f t="shared" si="89"/>
        <v>0</v>
      </c>
      <c r="S92" s="3">
        <f t="shared" si="90"/>
        <v>30</v>
      </c>
      <c r="T92" s="4">
        <f t="shared" si="91"/>
        <v>22.945799999999998</v>
      </c>
      <c r="U92">
        <f t="shared" si="93"/>
        <v>3.0770822607600001E-2</v>
      </c>
      <c r="V92" s="127">
        <f t="shared" si="94"/>
        <v>7.1107678547450686E-3</v>
      </c>
      <c r="W92" s="127">
        <f t="shared" si="95"/>
        <v>2.5541211873215492E-3</v>
      </c>
      <c r="X92">
        <f>-W92/2/O92</f>
        <v>-5.6190666121074085E-8</v>
      </c>
    </row>
    <row r="93" spans="2:24" x14ac:dyDescent="0.3">
      <c r="B93" s="113">
        <f t="shared" si="96"/>
        <v>1.1944444444444444</v>
      </c>
      <c r="C93" s="142">
        <v>35</v>
      </c>
      <c r="D93" s="142"/>
      <c r="E93" s="142">
        <v>13.72</v>
      </c>
      <c r="F93" s="142">
        <v>2.0550000000000002</v>
      </c>
      <c r="G93" s="142">
        <v>2400</v>
      </c>
      <c r="H93" s="142"/>
      <c r="I93" s="142"/>
      <c r="J93" s="2">
        <f t="shared" si="92"/>
        <v>28.194600000000005</v>
      </c>
      <c r="K93" s="1">
        <f t="shared" si="83"/>
        <v>35</v>
      </c>
      <c r="L93" s="1">
        <f t="shared" si="84"/>
        <v>3.5553480614894135</v>
      </c>
      <c r="M93" s="3">
        <f t="shared" si="85"/>
        <v>416.66666666666669</v>
      </c>
      <c r="N93" s="3"/>
      <c r="O93" s="3">
        <f t="shared" si="86"/>
        <v>25000</v>
      </c>
      <c r="P93" s="3">
        <f t="shared" si="87"/>
        <v>0</v>
      </c>
      <c r="Q93" s="3">
        <f t="shared" si="88"/>
        <v>54.253472222222221</v>
      </c>
      <c r="R93" s="3">
        <f t="shared" si="89"/>
        <v>0</v>
      </c>
      <c r="S93" s="3">
        <f t="shared" si="90"/>
        <v>35</v>
      </c>
      <c r="T93" s="4">
        <f t="shared" si="91"/>
        <v>28.194600000000005</v>
      </c>
      <c r="U93">
        <f t="shared" si="93"/>
        <v>3.7809578881200012E-2</v>
      </c>
      <c r="V93" s="127">
        <f t="shared" si="94"/>
        <v>7.9430363313624987E-3</v>
      </c>
      <c r="W93" s="127">
        <f t="shared" si="95"/>
        <v>3.3863896639389794E-3</v>
      </c>
      <c r="X93">
        <f>-W93/2/O93</f>
        <v>-6.7727793278779586E-8</v>
      </c>
    </row>
    <row r="94" spans="2:24" x14ac:dyDescent="0.3">
      <c r="B94" s="113">
        <f t="shared" si="96"/>
        <v>1.2222222222222223</v>
      </c>
      <c r="C94" s="142">
        <v>40</v>
      </c>
      <c r="D94" s="142"/>
      <c r="E94" s="142">
        <v>13.7</v>
      </c>
      <c r="F94" s="142">
        <v>2.2999999999999998</v>
      </c>
      <c r="G94" s="142">
        <v>2250</v>
      </c>
      <c r="H94" s="142"/>
      <c r="I94" s="142"/>
      <c r="J94" s="2">
        <f t="shared" si="92"/>
        <v>31.509999999999994</v>
      </c>
      <c r="K94" s="1">
        <f t="shared" si="83"/>
        <v>40</v>
      </c>
      <c r="L94" s="1">
        <f t="shared" si="84"/>
        <v>3.6888794541139363</v>
      </c>
      <c r="M94" s="3">
        <f t="shared" si="85"/>
        <v>444.44444444444451</v>
      </c>
      <c r="N94" s="3"/>
      <c r="O94" s="3">
        <f t="shared" si="86"/>
        <v>26666.666666666672</v>
      </c>
      <c r="P94" s="3">
        <f t="shared" si="87"/>
        <v>0</v>
      </c>
      <c r="Q94" s="3">
        <f t="shared" si="88"/>
        <v>57.870370370370381</v>
      </c>
      <c r="R94" s="3">
        <f t="shared" si="89"/>
        <v>0</v>
      </c>
      <c r="S94" s="3">
        <f t="shared" si="90"/>
        <v>40</v>
      </c>
      <c r="T94" s="4">
        <f t="shared" si="91"/>
        <v>31.509999999999994</v>
      </c>
      <c r="U94">
        <f t="shared" si="93"/>
        <v>4.2255603219999993E-2</v>
      </c>
      <c r="V94" s="127">
        <f t="shared" si="94"/>
        <v>8.3222410541789974E-3</v>
      </c>
      <c r="W94" s="127">
        <f t="shared" si="95"/>
        <v>3.765594386755478E-3</v>
      </c>
      <c r="X94">
        <f>-W94/2/O94</f>
        <v>-7.0604894751665205E-8</v>
      </c>
    </row>
    <row r="95" spans="2:24" x14ac:dyDescent="0.3">
      <c r="B95" s="113">
        <f t="shared" si="96"/>
        <v>1.2777777777777777</v>
      </c>
      <c r="C95" s="142">
        <v>50</v>
      </c>
      <c r="D95" s="142"/>
      <c r="E95" s="142">
        <v>13.65</v>
      </c>
      <c r="F95" s="142">
        <v>3.02</v>
      </c>
      <c r="G95" s="142">
        <v>2010</v>
      </c>
      <c r="H95" s="142"/>
      <c r="I95" s="142"/>
      <c r="J95" s="2">
        <f t="shared" si="92"/>
        <v>41.222999999999999</v>
      </c>
      <c r="K95" s="1">
        <f t="shared" si="83"/>
        <v>50</v>
      </c>
      <c r="L95" s="1">
        <f t="shared" si="84"/>
        <v>3.912023005428146</v>
      </c>
      <c r="M95" s="3">
        <f t="shared" si="85"/>
        <v>497.51243781094524</v>
      </c>
      <c r="N95" s="3"/>
      <c r="O95" s="3">
        <f t="shared" si="86"/>
        <v>29850.746268656716</v>
      </c>
      <c r="P95" s="3">
        <f t="shared" si="87"/>
        <v>0</v>
      </c>
      <c r="Q95" s="3">
        <f t="shared" si="88"/>
        <v>64.780265339966832</v>
      </c>
      <c r="R95" s="3">
        <f t="shared" si="89"/>
        <v>0</v>
      </c>
      <c r="S95" s="3">
        <f t="shared" si="90"/>
        <v>50</v>
      </c>
      <c r="T95" s="4">
        <f t="shared" si="91"/>
        <v>41.222999999999999</v>
      </c>
      <c r="U95">
        <f t="shared" si="93"/>
        <v>5.5280949906E-2</v>
      </c>
      <c r="V95" s="127">
        <f t="shared" si="94"/>
        <v>9.7262408883614527E-3</v>
      </c>
      <c r="W95" s="127">
        <f t="shared" si="95"/>
        <v>5.1695942209379333E-3</v>
      </c>
      <c r="X95">
        <f>-W95/2/O95</f>
        <v>-8.6590703200710378E-8</v>
      </c>
    </row>
    <row r="96" spans="2:24" x14ac:dyDescent="0.3">
      <c r="B96" s="113">
        <f t="shared" si="96"/>
        <v>1.3333333333333333</v>
      </c>
      <c r="C96" s="142">
        <v>60</v>
      </c>
      <c r="D96" s="142"/>
      <c r="E96" s="142">
        <v>13.6</v>
      </c>
      <c r="F96" s="142">
        <v>3.81</v>
      </c>
      <c r="G96" s="142">
        <v>1880</v>
      </c>
      <c r="H96" s="142"/>
      <c r="I96" s="142"/>
      <c r="J96" s="2">
        <f t="shared" si="92"/>
        <v>51.816000000000003</v>
      </c>
      <c r="K96" s="1">
        <f t="shared" si="83"/>
        <v>60</v>
      </c>
      <c r="L96" s="1">
        <f t="shared" si="84"/>
        <v>4.0943445622221004</v>
      </c>
      <c r="M96" s="3">
        <f t="shared" si="85"/>
        <v>531.91489361702133</v>
      </c>
      <c r="N96" s="3"/>
      <c r="O96" s="3">
        <f t="shared" si="86"/>
        <v>31914.89361702128</v>
      </c>
      <c r="P96" s="3">
        <f t="shared" si="87"/>
        <v>0</v>
      </c>
      <c r="Q96" s="3">
        <f t="shared" si="88"/>
        <v>69.259751773049643</v>
      </c>
      <c r="R96" s="3">
        <f t="shared" si="89"/>
        <v>0</v>
      </c>
      <c r="S96" s="3">
        <f t="shared" si="90"/>
        <v>60</v>
      </c>
      <c r="T96" s="4">
        <f t="shared" si="91"/>
        <v>51.816000000000003</v>
      </c>
      <c r="U96">
        <f t="shared" si="93"/>
        <v>6.9486395952000013E-2</v>
      </c>
      <c r="V96" s="127">
        <f t="shared" si="94"/>
        <v>1.1434866614916992E-2</v>
      </c>
      <c r="W96" s="127">
        <f t="shared" si="95"/>
        <v>6.8782199474934731E-3</v>
      </c>
      <c r="X96">
        <f>-W96/2/O96</f>
        <v>-1.0775877917739773E-7</v>
      </c>
    </row>
    <row r="97" spans="2:24" x14ac:dyDescent="0.3">
      <c r="B97" s="113">
        <f t="shared" si="96"/>
        <v>1.4166666666666667</v>
      </c>
      <c r="C97" s="142">
        <v>75</v>
      </c>
      <c r="D97" s="142"/>
      <c r="E97" s="142">
        <v>13.54</v>
      </c>
      <c r="F97" s="142">
        <v>4.91</v>
      </c>
      <c r="G97" s="142">
        <v>1630</v>
      </c>
      <c r="H97" s="142"/>
      <c r="I97" s="142"/>
      <c r="J97" s="2">
        <f t="shared" si="92"/>
        <v>66.481399999999994</v>
      </c>
      <c r="K97" s="1">
        <f t="shared" si="83"/>
        <v>75</v>
      </c>
      <c r="L97" s="1">
        <f t="shared" si="84"/>
        <v>4.3174881135363101</v>
      </c>
      <c r="M97" s="3">
        <f t="shared" si="85"/>
        <v>613.49693251533745</v>
      </c>
      <c r="N97" s="3"/>
      <c r="O97" s="3">
        <f t="shared" si="86"/>
        <v>36809.815950920245</v>
      </c>
      <c r="P97" s="3">
        <f t="shared" si="87"/>
        <v>0</v>
      </c>
      <c r="Q97" s="3">
        <f t="shared" si="88"/>
        <v>79.882413087934552</v>
      </c>
      <c r="R97" s="3">
        <f t="shared" si="89"/>
        <v>0</v>
      </c>
      <c r="S97" s="3">
        <f t="shared" si="90"/>
        <v>75</v>
      </c>
      <c r="T97" s="4">
        <f t="shared" si="91"/>
        <v>66.481399999999994</v>
      </c>
      <c r="U97">
        <f t="shared" si="93"/>
        <v>8.9153019990799998E-2</v>
      </c>
      <c r="V97" s="127">
        <f t="shared" si="94"/>
        <v>1.2720293456940682E-2</v>
      </c>
      <c r="W97" s="127">
        <f t="shared" si="95"/>
        <v>8.1636467895171635E-3</v>
      </c>
      <c r="X97">
        <f>-W97/2/O97</f>
        <v>-1.1088953555760814E-7</v>
      </c>
    </row>
    <row r="98" spans="2:24" x14ac:dyDescent="0.3">
      <c r="B98" s="113">
        <f t="shared" si="96"/>
        <v>1.5</v>
      </c>
      <c r="C98" s="142">
        <v>90</v>
      </c>
      <c r="D98" s="142"/>
      <c r="E98" s="142">
        <v>13.47</v>
      </c>
      <c r="F98" s="142">
        <v>6</v>
      </c>
      <c r="G98" s="142">
        <v>1520</v>
      </c>
      <c r="H98" s="142"/>
      <c r="I98" s="142"/>
      <c r="J98" s="2">
        <f t="shared" si="92"/>
        <v>80.820000000000007</v>
      </c>
      <c r="K98" s="1">
        <f t="shared" si="83"/>
        <v>90</v>
      </c>
      <c r="L98" s="1">
        <f t="shared" si="84"/>
        <v>4.499809670330265</v>
      </c>
      <c r="M98" s="3">
        <f t="shared" si="85"/>
        <v>657.89473684210532</v>
      </c>
      <c r="N98" s="3"/>
      <c r="O98" s="3">
        <f t="shared" si="86"/>
        <v>39473.68421052632</v>
      </c>
      <c r="P98" s="3">
        <f t="shared" si="87"/>
        <v>0</v>
      </c>
      <c r="Q98" s="3">
        <f t="shared" si="88"/>
        <v>85.663377192982466</v>
      </c>
      <c r="R98" s="3">
        <f t="shared" si="89"/>
        <v>0</v>
      </c>
      <c r="S98" s="3">
        <f t="shared" si="90"/>
        <v>90</v>
      </c>
      <c r="T98" s="4">
        <f t="shared" si="91"/>
        <v>80.820000000000007</v>
      </c>
      <c r="U98">
        <f t="shared" si="93"/>
        <v>0.10838139804000002</v>
      </c>
      <c r="V98" s="127">
        <f t="shared" si="94"/>
        <v>1.4420217263487361E-2</v>
      </c>
      <c r="W98" s="127">
        <f t="shared" si="95"/>
        <v>9.8635705960638427E-3</v>
      </c>
      <c r="X98">
        <f>-W98/2/O98</f>
        <v>-1.2493856088347532E-7</v>
      </c>
    </row>
    <row r="99" spans="2:24" x14ac:dyDescent="0.3">
      <c r="B99" s="113">
        <f t="shared" si="96"/>
        <v>1.6055555555555556</v>
      </c>
      <c r="C99" s="142">
        <v>109</v>
      </c>
      <c r="D99" s="142"/>
      <c r="E99" s="142">
        <v>13.38</v>
      </c>
      <c r="F99" s="142">
        <v>7.4</v>
      </c>
      <c r="G99" s="142">
        <v>1390</v>
      </c>
      <c r="H99" s="142"/>
      <c r="I99" s="142"/>
      <c r="J99" s="2">
        <f t="shared" si="92"/>
        <v>99.012000000000015</v>
      </c>
      <c r="K99" s="1">
        <f t="shared" si="83"/>
        <v>109</v>
      </c>
      <c r="L99" s="1">
        <f t="shared" si="84"/>
        <v>4.6913478822291435</v>
      </c>
      <c r="M99" s="3">
        <f t="shared" si="85"/>
        <v>719.42446043165478</v>
      </c>
      <c r="N99" s="3"/>
      <c r="O99" s="3">
        <f t="shared" si="86"/>
        <v>43165.467625899284</v>
      </c>
      <c r="P99" s="3">
        <f t="shared" si="87"/>
        <v>0</v>
      </c>
      <c r="Q99" s="3">
        <f t="shared" si="88"/>
        <v>93.675059952038382</v>
      </c>
      <c r="R99" s="3">
        <f t="shared" si="89"/>
        <v>0</v>
      </c>
      <c r="S99" s="3">
        <f t="shared" si="90"/>
        <v>109</v>
      </c>
      <c r="T99" s="4">
        <f t="shared" si="91"/>
        <v>99.012000000000015</v>
      </c>
      <c r="U99">
        <f t="shared" si="93"/>
        <v>0.13277727026400002</v>
      </c>
      <c r="V99" s="127">
        <f t="shared" si="94"/>
        <v>1.6155187509381233E-2</v>
      </c>
      <c r="W99" s="127">
        <f t="shared" si="95"/>
        <v>1.1598540841957713E-2</v>
      </c>
      <c r="X99">
        <f>-W99/2/O99</f>
        <v>-1.3434976475267684E-7</v>
      </c>
    </row>
    <row r="100" spans="2:24" ht="15" thickBot="1" x14ac:dyDescent="0.35">
      <c r="B100" s="116">
        <f t="shared" si="96"/>
        <v>1.7222222222222223</v>
      </c>
      <c r="C100" s="142">
        <v>130</v>
      </c>
      <c r="D100" s="142"/>
      <c r="E100" s="142">
        <v>13.29</v>
      </c>
      <c r="F100" s="142">
        <v>8.9</v>
      </c>
      <c r="G100" s="142">
        <v>1350</v>
      </c>
      <c r="H100" s="142"/>
      <c r="I100" s="142"/>
      <c r="J100" s="2">
        <f t="shared" si="92"/>
        <v>118.28099999999999</v>
      </c>
      <c r="K100" s="1">
        <f t="shared" si="83"/>
        <v>130</v>
      </c>
      <c r="L100" s="1">
        <f t="shared" si="84"/>
        <v>4.8675344504555822</v>
      </c>
      <c r="M100" s="3">
        <f t="shared" si="85"/>
        <v>740.74074074074076</v>
      </c>
      <c r="N100" s="3"/>
      <c r="O100" s="3">
        <f t="shared" si="86"/>
        <v>44444.444444444445</v>
      </c>
      <c r="P100" s="3">
        <f t="shared" si="87"/>
        <v>0</v>
      </c>
      <c r="Q100" s="3">
        <f t="shared" si="88"/>
        <v>96.450617283950621</v>
      </c>
      <c r="R100" s="3">
        <f t="shared" si="89"/>
        <v>0</v>
      </c>
      <c r="S100" s="3">
        <f t="shared" si="90"/>
        <v>130</v>
      </c>
      <c r="T100" s="4">
        <f t="shared" si="91"/>
        <v>118.28099999999999</v>
      </c>
      <c r="U100">
        <f t="shared" si="93"/>
        <v>0.15861742318200001</v>
      </c>
      <c r="V100" s="127">
        <f t="shared" si="94"/>
        <v>1.8743820897416941E-2</v>
      </c>
      <c r="W100" s="127">
        <f t="shared" si="95"/>
        <v>1.418717422999342E-2</v>
      </c>
      <c r="X100">
        <f>-W100/2/O100</f>
        <v>-1.5960571008742599E-7</v>
      </c>
    </row>
    <row r="101" spans="2:24" x14ac:dyDescent="0.3">
      <c r="B101" s="144">
        <f t="shared" si="96"/>
        <v>1.8444444444444446</v>
      </c>
      <c r="C101" s="142">
        <v>152</v>
      </c>
      <c r="D101" s="142"/>
      <c r="E101" s="142">
        <v>13.1</v>
      </c>
      <c r="F101" s="142">
        <v>11.64</v>
      </c>
      <c r="G101" s="142">
        <v>1280</v>
      </c>
      <c r="H101" s="142"/>
      <c r="I101" s="142"/>
      <c r="J101" s="1">
        <f t="shared" si="92"/>
        <v>152.48400000000001</v>
      </c>
      <c r="K101" s="1">
        <f t="shared" si="83"/>
        <v>152</v>
      </c>
      <c r="L101" s="1">
        <f t="shared" si="84"/>
        <v>5.0238805208462765</v>
      </c>
      <c r="M101" s="1">
        <f t="shared" si="85"/>
        <v>781.25000000000011</v>
      </c>
      <c r="O101" s="1">
        <f t="shared" si="86"/>
        <v>46875.000000000007</v>
      </c>
      <c r="Q101" s="1">
        <f t="shared" si="88"/>
        <v>101.72526041666667</v>
      </c>
      <c r="S101" s="1">
        <f t="shared" si="90"/>
        <v>152</v>
      </c>
      <c r="T101" s="4">
        <f t="shared" si="91"/>
        <v>152.48400000000001</v>
      </c>
      <c r="U101">
        <f t="shared" si="93"/>
        <v>0.20448439864800003</v>
      </c>
      <c r="V101" s="127">
        <f t="shared" si="94"/>
        <v>2.2910977316251649E-2</v>
      </c>
      <c r="W101" s="127">
        <f t="shared" si="95"/>
        <v>1.8354330648828129E-2</v>
      </c>
      <c r="X101">
        <f>-W101/2/O101</f>
        <v>-1.9577952692083334E-7</v>
      </c>
    </row>
    <row r="102" spans="2:24" x14ac:dyDescent="0.3">
      <c r="B102" s="144">
        <f t="shared" si="96"/>
        <v>1.911111111111111</v>
      </c>
      <c r="C102" s="142">
        <v>164</v>
      </c>
      <c r="D102" s="142"/>
      <c r="E102" s="142">
        <v>12.93</v>
      </c>
      <c r="F102" s="142">
        <v>14.16</v>
      </c>
      <c r="G102" s="142">
        <v>1236</v>
      </c>
      <c r="H102" s="142"/>
      <c r="I102" s="142"/>
      <c r="J102" s="1">
        <f t="shared" si="92"/>
        <v>183.08879999999999</v>
      </c>
      <c r="K102" s="1">
        <f t="shared" si="83"/>
        <v>164</v>
      </c>
      <c r="L102" s="1">
        <f t="shared" si="84"/>
        <v>5.0998664278241987</v>
      </c>
      <c r="M102" s="1">
        <f t="shared" si="85"/>
        <v>809.06148867313925</v>
      </c>
      <c r="O102" s="1">
        <f t="shared" si="86"/>
        <v>48543.689320388352</v>
      </c>
      <c r="Q102" s="1">
        <f t="shared" si="88"/>
        <v>105.346548004315</v>
      </c>
      <c r="S102" s="1">
        <f t="shared" si="90"/>
        <v>164</v>
      </c>
      <c r="T102" s="4">
        <f t="shared" si="91"/>
        <v>183.08879999999999</v>
      </c>
      <c r="U102">
        <f t="shared" si="93"/>
        <v>0.24552610875360001</v>
      </c>
      <c r="V102" s="127">
        <f t="shared" si="94"/>
        <v>2.6563764337382487E-2</v>
      </c>
      <c r="W102" s="127">
        <f t="shared" si="95"/>
        <v>2.2007117669958966E-2</v>
      </c>
      <c r="X102">
        <f>-W102/2/O102</f>
        <v>-2.2667331200057733E-7</v>
      </c>
    </row>
    <row r="103" spans="2:24" x14ac:dyDescent="0.3">
      <c r="V103" s="127"/>
    </row>
    <row r="104" spans="2:24" x14ac:dyDescent="0.3">
      <c r="V104" s="1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50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111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116</v>
      </c>
      <c r="O1" s="4" t="s">
        <v>25</v>
      </c>
      <c r="P1" s="4" t="s">
        <v>112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119</v>
      </c>
      <c r="Z1" s="4" t="s">
        <v>120</v>
      </c>
      <c r="AA1" s="4" t="s">
        <v>121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108</v>
      </c>
      <c r="AK1" s="4" t="s">
        <v>109</v>
      </c>
      <c r="AL1" s="4" t="s">
        <v>102</v>
      </c>
      <c r="AM1" s="4" t="s">
        <v>103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104</v>
      </c>
      <c r="AS1" s="4" t="s">
        <v>105</v>
      </c>
      <c r="AT1" s="4" t="s">
        <v>106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113</v>
      </c>
      <c r="AC34" s="65" t="s">
        <v>122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123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124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110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107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125</v>
      </c>
    </row>
    <row r="50" spans="22:27" ht="15" thickBot="1" x14ac:dyDescent="0.35">
      <c r="V50" t="s">
        <v>38</v>
      </c>
    </row>
    <row r="51" spans="22:27" x14ac:dyDescent="0.3">
      <c r="V51" s="49" t="s">
        <v>122</v>
      </c>
      <c r="W51" s="50">
        <f>INDEX(LINEST($P$4:$P$13,$D$4:$D$13^{1,2},FALSE,FALSE),1)</f>
        <v>-170.6101401015417</v>
      </c>
      <c r="X51" s="28"/>
      <c r="Y51" s="51" t="s">
        <v>124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123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3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111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116</v>
      </c>
      <c r="N1" s="4" t="s">
        <v>25</v>
      </c>
      <c r="O1" s="4" t="s">
        <v>112</v>
      </c>
      <c r="P1" s="4" t="s">
        <v>26</v>
      </c>
      <c r="Q1" s="4" t="s">
        <v>100</v>
      </c>
      <c r="R1" s="4" t="s">
        <v>114</v>
      </c>
      <c r="S1" s="4" t="s">
        <v>7</v>
      </c>
      <c r="T1" s="4" t="s">
        <v>115</v>
      </c>
      <c r="U1" s="4" t="s">
        <v>8</v>
      </c>
      <c r="V1" s="4" t="s">
        <v>126</v>
      </c>
      <c r="W1" s="4" t="s">
        <v>127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119</v>
      </c>
      <c r="AD1" s="4" t="s">
        <v>120</v>
      </c>
      <c r="AE1" s="4" t="s">
        <v>121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110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107</v>
      </c>
      <c r="AG28" s="65" t="s">
        <v>122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125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123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125</v>
      </c>
      <c r="AG32" s="70" t="s">
        <v>124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122</v>
      </c>
      <c r="AA35" s="50">
        <f>INDEX(LINEST($O$3:$O$9,$D$3:$D$9^{1,2},FALSE,FALSE),1)</f>
        <v>-475.97454575994487</v>
      </c>
      <c r="AB35" s="28"/>
      <c r="AC35" s="51" t="s">
        <v>124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123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111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116</v>
      </c>
      <c r="N1" s="4" t="s">
        <v>25</v>
      </c>
      <c r="O1" s="4" t="s">
        <v>112</v>
      </c>
      <c r="P1" s="4" t="s">
        <v>26</v>
      </c>
      <c r="Q1" s="4" t="s">
        <v>128</v>
      </c>
      <c r="R1" s="4" t="s">
        <v>114</v>
      </c>
      <c r="S1" s="4" t="s">
        <v>7</v>
      </c>
      <c r="T1" s="4" t="s">
        <v>115</v>
      </c>
      <c r="U1" s="4" t="s">
        <v>8</v>
      </c>
      <c r="V1" s="4" t="s">
        <v>126</v>
      </c>
      <c r="W1" s="4" t="s">
        <v>127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110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107</v>
      </c>
      <c r="AG25" s="65" t="s">
        <v>122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125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123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125</v>
      </c>
      <c r="AG29" s="70" t="s">
        <v>124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122</v>
      </c>
      <c r="AA32" s="50">
        <f>INDEX(LINEST($O$2:$O$9,$D$2:$D$9^{1,2},FALSE,FALSE),1)</f>
        <v>-435.01106108560197</v>
      </c>
      <c r="AB32" s="28"/>
      <c r="AC32" s="51" t="s">
        <v>124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123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2016-11-06T23:36:58Z</dcterms:modified>
</cp:coreProperties>
</file>