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3040" windowHeight="9972"/>
  </bookViews>
  <sheets>
    <sheet name="CalArduinoTurnigy" sheetId="3" r:id="rId1"/>
    <sheet name="CalArduinoHiTec" sheetId="1" r:id="rId2"/>
    <sheet name="CalPhotonHiTec" sheetId="2" r:id="rId3"/>
  </sheets>
  <calcPr calcId="152511"/>
</workbook>
</file>

<file path=xl/calcChain.xml><?xml version="1.0" encoding="utf-8"?>
<calcChain xmlns="http://schemas.openxmlformats.org/spreadsheetml/2006/main">
  <c r="AB39" i="3" l="1"/>
  <c r="AB38" i="3"/>
  <c r="AB37" i="3"/>
  <c r="AB36" i="3"/>
  <c r="AB35" i="3"/>
  <c r="AE38" i="3"/>
  <c r="AE37" i="3"/>
  <c r="AE36" i="3"/>
  <c r="AE35" i="3"/>
  <c r="AI10" i="3"/>
  <c r="AH6" i="3" l="1"/>
  <c r="AI6" i="3" s="1"/>
  <c r="AH10" i="3"/>
  <c r="P10" i="3"/>
  <c r="Y10" i="3"/>
  <c r="Z10" i="3" s="1"/>
  <c r="K2" i="3"/>
  <c r="T2" i="3" s="1"/>
  <c r="B2" i="3"/>
  <c r="Y3" i="3"/>
  <c r="Z3" i="3" s="1"/>
  <c r="Y2" i="3"/>
  <c r="Z2" i="3" s="1"/>
  <c r="B10" i="3"/>
  <c r="K10" i="3"/>
  <c r="L10" i="3" s="1"/>
  <c r="J8" i="3"/>
  <c r="Y8" i="3" s="1"/>
  <c r="Z8" i="3" s="1"/>
  <c r="B5" i="3"/>
  <c r="B6" i="3"/>
  <c r="B7" i="3"/>
  <c r="B8" i="3"/>
  <c r="B9" i="3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AI22" i="3"/>
  <c r="AI21" i="3"/>
  <c r="AH7" i="3" s="1"/>
  <c r="AI7" i="3" s="1"/>
  <c r="AI19" i="3"/>
  <c r="AB24" i="3"/>
  <c r="AI20" i="3" s="1"/>
  <c r="AI18" i="3"/>
  <c r="AI17" i="3"/>
  <c r="AI16" i="3"/>
  <c r="AH5" i="3" s="1"/>
  <c r="AI5" i="3" s="1"/>
  <c r="N9" i="3"/>
  <c r="P9" i="3" s="1"/>
  <c r="M9" i="3"/>
  <c r="O9" i="3" s="1"/>
  <c r="K9" i="3"/>
  <c r="T9" i="3" s="1"/>
  <c r="J9" i="3"/>
  <c r="Y9" i="3" s="1"/>
  <c r="Z9" i="3" s="1"/>
  <c r="N8" i="3"/>
  <c r="P8" i="3" s="1"/>
  <c r="M8" i="3"/>
  <c r="O8" i="3" s="1"/>
  <c r="K8" i="3"/>
  <c r="T8" i="3" s="1"/>
  <c r="O7" i="3"/>
  <c r="N7" i="3"/>
  <c r="P7" i="3" s="1"/>
  <c r="M7" i="3"/>
  <c r="K7" i="3"/>
  <c r="T7" i="3" s="1"/>
  <c r="J7" i="3"/>
  <c r="Y7" i="3" s="1"/>
  <c r="Z7" i="3" s="1"/>
  <c r="AA7" i="3" s="1"/>
  <c r="AB7" i="3" s="1"/>
  <c r="AD7" i="3" s="1"/>
  <c r="AE7" i="3" s="1"/>
  <c r="AF7" i="3" s="1"/>
  <c r="N6" i="3"/>
  <c r="P6" i="3" s="1"/>
  <c r="M6" i="3"/>
  <c r="O6" i="3" s="1"/>
  <c r="K6" i="3"/>
  <c r="T6" i="3" s="1"/>
  <c r="J6" i="3"/>
  <c r="Y6" i="3" s="1"/>
  <c r="Z6" i="3" s="1"/>
  <c r="N5" i="3"/>
  <c r="P5" i="3" s="1"/>
  <c r="M5" i="3"/>
  <c r="O5" i="3" s="1"/>
  <c r="K5" i="3"/>
  <c r="L5" i="3" s="1"/>
  <c r="J5" i="3"/>
  <c r="Y5" i="3" s="1"/>
  <c r="Z5" i="3" s="1"/>
  <c r="N4" i="3"/>
  <c r="P4" i="3" s="1"/>
  <c r="M4" i="3"/>
  <c r="O4" i="3" s="1"/>
  <c r="K4" i="3"/>
  <c r="T4" i="3" s="1"/>
  <c r="J4" i="3"/>
  <c r="Y4" i="3" s="1"/>
  <c r="Z4" i="3" s="1"/>
  <c r="B4" i="3"/>
  <c r="Y1" i="3"/>
  <c r="Q7" i="3" l="1"/>
  <c r="Q2" i="3"/>
  <c r="R10" i="3"/>
  <c r="AH9" i="3"/>
  <c r="AI9" i="3" s="1"/>
  <c r="R3" i="3"/>
  <c r="AH8" i="3"/>
  <c r="AI8" i="3" s="1"/>
  <c r="Q3" i="3"/>
  <c r="R2" i="3"/>
  <c r="L2" i="3"/>
  <c r="AH4" i="3"/>
  <c r="AI4" i="3" s="1"/>
  <c r="AH2" i="3"/>
  <c r="AI2" i="3" s="1"/>
  <c r="T10" i="3"/>
  <c r="L9" i="3"/>
  <c r="L8" i="3"/>
  <c r="L7" i="3"/>
  <c r="L4" i="3"/>
  <c r="L6" i="3"/>
  <c r="R4" i="3"/>
  <c r="R7" i="3"/>
  <c r="AA6" i="3"/>
  <c r="AB6" i="3" s="1"/>
  <c r="AD6" i="3" s="1"/>
  <c r="AE6" i="3" s="1"/>
  <c r="AA8" i="3"/>
  <c r="AB8" i="3" s="1"/>
  <c r="AD8" i="3" s="1"/>
  <c r="AE8" i="3" s="1"/>
  <c r="AF8" i="3" s="1"/>
  <c r="AA5" i="3"/>
  <c r="AB5" i="3" s="1"/>
  <c r="AA9" i="3"/>
  <c r="AB9" i="3" s="1"/>
  <c r="AA4" i="3"/>
  <c r="AB4" i="3" s="1"/>
  <c r="Q5" i="3"/>
  <c r="AJ25" i="3"/>
  <c r="R6" i="3"/>
  <c r="Q8" i="3"/>
  <c r="AI23" i="3"/>
  <c r="Q6" i="3"/>
  <c r="R8" i="3"/>
  <c r="R9" i="3"/>
  <c r="T5" i="3"/>
  <c r="Q4" i="3"/>
  <c r="R5" i="3"/>
  <c r="AI26" i="3"/>
  <c r="Q9" i="3"/>
  <c r="AJ23" i="3"/>
  <c r="B2" i="2"/>
  <c r="N3" i="2"/>
  <c r="P3" i="2" s="1"/>
  <c r="M3" i="2"/>
  <c r="O3" i="2" s="1"/>
  <c r="L3" i="2"/>
  <c r="K3" i="2"/>
  <c r="S3" i="2" s="1"/>
  <c r="J3" i="2"/>
  <c r="X3" i="2" s="1"/>
  <c r="M2" i="1"/>
  <c r="O2" i="1" s="1"/>
  <c r="L2" i="1"/>
  <c r="N2" i="1" s="1"/>
  <c r="K2" i="1"/>
  <c r="S2" i="1" s="1"/>
  <c r="J2" i="1"/>
  <c r="X2" i="1" s="1"/>
  <c r="Y2" i="1" s="1"/>
  <c r="B2" i="1"/>
  <c r="S10" i="3" l="1"/>
  <c r="S2" i="3"/>
  <c r="U2" i="3" s="1"/>
  <c r="S3" i="3"/>
  <c r="U3" i="3" s="1"/>
  <c r="W10" i="3"/>
  <c r="X10" i="3" s="1"/>
  <c r="W2" i="3"/>
  <c r="X2" i="3" s="1"/>
  <c r="W3" i="3"/>
  <c r="X3" i="3" s="1"/>
  <c r="AD12" i="3"/>
  <c r="AK23" i="3"/>
  <c r="W5" i="3"/>
  <c r="X5" i="3" s="1"/>
  <c r="W4" i="3"/>
  <c r="X4" i="3" s="1"/>
  <c r="W8" i="3"/>
  <c r="X8" i="3" s="1"/>
  <c r="W6" i="3"/>
  <c r="X6" i="3" s="1"/>
  <c r="W9" i="3"/>
  <c r="X9" i="3" s="1"/>
  <c r="W7" i="3"/>
  <c r="X7" i="3" s="1"/>
  <c r="AI25" i="3"/>
  <c r="AE28" i="3"/>
  <c r="AE30" i="3" s="1"/>
  <c r="S7" i="3"/>
  <c r="U7" i="3" s="1"/>
  <c r="AJ26" i="3"/>
  <c r="S4" i="3"/>
  <c r="U4" i="3" s="1"/>
  <c r="S5" i="3"/>
  <c r="S8" i="3"/>
  <c r="U8" i="3" s="1"/>
  <c r="S9" i="3"/>
  <c r="U9" i="3" s="1"/>
  <c r="S6" i="3"/>
  <c r="U6" i="3" s="1"/>
  <c r="AE12" i="3"/>
  <c r="AF6" i="3"/>
  <c r="AF12" i="3" s="1"/>
  <c r="Q3" i="2"/>
  <c r="Z2" i="1"/>
  <c r="AA2" i="1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1" i="1"/>
  <c r="D31" i="1" s="1"/>
  <c r="V10" i="3" l="1"/>
  <c r="V5" i="3"/>
  <c r="V9" i="3"/>
  <c r="V6" i="3"/>
  <c r="V2" i="3"/>
  <c r="V8" i="3"/>
  <c r="V7" i="3"/>
  <c r="V4" i="3"/>
  <c r="AE31" i="3"/>
  <c r="U5" i="3"/>
  <c r="AI24" i="3"/>
  <c r="AH24" i="2"/>
  <c r="AH23" i="2"/>
  <c r="AH21" i="2"/>
  <c r="AH20" i="2"/>
  <c r="AH19" i="2"/>
  <c r="AH18" i="2"/>
  <c r="M9" i="2"/>
  <c r="O9" i="2" s="1"/>
  <c r="L9" i="2"/>
  <c r="N9" i="2" s="1"/>
  <c r="K9" i="2"/>
  <c r="X9" i="2"/>
  <c r="AA21" i="2"/>
  <c r="AH22" i="2" s="1"/>
  <c r="M8" i="2"/>
  <c r="O8" i="2" s="1"/>
  <c r="L8" i="2"/>
  <c r="N8" i="2" s="1"/>
  <c r="K8" i="2"/>
  <c r="S8" i="2" s="1"/>
  <c r="J8" i="2"/>
  <c r="X8" i="2" s="1"/>
  <c r="M7" i="2"/>
  <c r="O7" i="2" s="1"/>
  <c r="L7" i="2"/>
  <c r="N7" i="2" s="1"/>
  <c r="K7" i="2"/>
  <c r="S7" i="2" s="1"/>
  <c r="J7" i="2"/>
  <c r="X7" i="2" s="1"/>
  <c r="M6" i="2"/>
  <c r="O6" i="2" s="1"/>
  <c r="L6" i="2"/>
  <c r="N6" i="2" s="1"/>
  <c r="K6" i="2"/>
  <c r="S6" i="2" s="1"/>
  <c r="J6" i="2"/>
  <c r="X6" i="2" s="1"/>
  <c r="M5" i="2"/>
  <c r="O5" i="2" s="1"/>
  <c r="L5" i="2"/>
  <c r="N5" i="2" s="1"/>
  <c r="K5" i="2"/>
  <c r="S5" i="2" s="1"/>
  <c r="J5" i="2"/>
  <c r="X5" i="2" s="1"/>
  <c r="M4" i="2"/>
  <c r="O4" i="2" s="1"/>
  <c r="L4" i="2"/>
  <c r="N4" i="2" s="1"/>
  <c r="K4" i="2"/>
  <c r="S4" i="2" s="1"/>
  <c r="J4" i="2"/>
  <c r="X4" i="2" s="1"/>
  <c r="M2" i="2"/>
  <c r="O2" i="2" s="1"/>
  <c r="L2" i="2"/>
  <c r="N2" i="2" s="1"/>
  <c r="K2" i="2"/>
  <c r="S2" i="2" s="1"/>
  <c r="J2" i="2"/>
  <c r="X2" i="2" s="1"/>
  <c r="X1" i="2"/>
  <c r="AJ2" i="3" l="1"/>
  <c r="AK2" i="3" s="1"/>
  <c r="AL2" i="3" s="1"/>
  <c r="AJ24" i="3"/>
  <c r="AJ10" i="3" s="1"/>
  <c r="P4" i="2"/>
  <c r="P5" i="2"/>
  <c r="P6" i="2"/>
  <c r="P7" i="2"/>
  <c r="P8" i="2"/>
  <c r="S9" i="2"/>
  <c r="P9" i="2"/>
  <c r="Q6" i="2"/>
  <c r="AA34" i="2"/>
  <c r="AH25" i="2" s="1"/>
  <c r="AA33" i="2"/>
  <c r="AI25" i="2" s="1"/>
  <c r="AA32" i="2"/>
  <c r="Q2" i="2"/>
  <c r="Q8" i="2"/>
  <c r="Q5" i="2"/>
  <c r="P2" i="2"/>
  <c r="Q7" i="2"/>
  <c r="Q4" i="2"/>
  <c r="Q9" i="2"/>
  <c r="AJ7" i="3" l="1"/>
  <c r="AK7" i="3" s="1"/>
  <c r="AL7" i="3" s="1"/>
  <c r="AJ4" i="3"/>
  <c r="AK4" i="3" s="1"/>
  <c r="AL4" i="3" s="1"/>
  <c r="AJ8" i="3"/>
  <c r="AK8" i="3" s="1"/>
  <c r="AL8" i="3" s="1"/>
  <c r="C3" i="3"/>
  <c r="AH3" i="3" s="1"/>
  <c r="AI3" i="3" s="1"/>
  <c r="AJ3" i="3" s="1"/>
  <c r="AK3" i="3" s="1"/>
  <c r="AL3" i="3" s="1"/>
  <c r="AJ6" i="3"/>
  <c r="AK6" i="3" s="1"/>
  <c r="AL6" i="3" s="1"/>
  <c r="AJ5" i="3"/>
  <c r="AK5" i="3" s="1"/>
  <c r="AL5" i="3" s="1"/>
  <c r="AJ9" i="3"/>
  <c r="AK9" i="3" s="1"/>
  <c r="AL9" i="3" s="1"/>
  <c r="AK10" i="3"/>
  <c r="AL10" i="3" s="1"/>
  <c r="AB41" i="3"/>
  <c r="AM7" i="3"/>
  <c r="AM2" i="3"/>
  <c r="AM9" i="3"/>
  <c r="V3" i="2"/>
  <c r="W3" i="2" s="1"/>
  <c r="AJ25" i="2"/>
  <c r="V9" i="2"/>
  <c r="W9" i="2" s="1"/>
  <c r="V8" i="2"/>
  <c r="W8" i="2" s="1"/>
  <c r="V7" i="2"/>
  <c r="W7" i="2" s="1"/>
  <c r="V6" i="2"/>
  <c r="W6" i="2" s="1"/>
  <c r="V5" i="2"/>
  <c r="W5" i="2" s="1"/>
  <c r="V4" i="2"/>
  <c r="W4" i="2" s="1"/>
  <c r="V2" i="2"/>
  <c r="W2" i="2" s="1"/>
  <c r="K3" i="3" l="1"/>
  <c r="B3" i="3"/>
  <c r="V3" i="3"/>
  <c r="AM8" i="3"/>
  <c r="AM5" i="3"/>
  <c r="AM4" i="3"/>
  <c r="AM6" i="3"/>
  <c r="AM3" i="3"/>
  <c r="O10" i="3"/>
  <c r="Q10" i="3" s="1"/>
  <c r="AM10" i="3"/>
  <c r="L3" i="3"/>
  <c r="T3" i="3"/>
  <c r="AH22" i="1"/>
  <c r="AH21" i="1"/>
  <c r="AH27" i="1"/>
  <c r="AH26" i="1"/>
  <c r="AH23" i="1"/>
  <c r="AH24" i="1"/>
  <c r="X1" i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3" i="1"/>
  <c r="N3" i="1" s="1"/>
  <c r="K4" i="1" l="1"/>
  <c r="K5" i="1"/>
  <c r="K6" i="1"/>
  <c r="K7" i="1"/>
  <c r="K8" i="1"/>
  <c r="K9" i="1"/>
  <c r="K3" i="1"/>
  <c r="AA24" i="1"/>
  <c r="AH25" i="1" l="1"/>
  <c r="P2" i="1"/>
  <c r="Q2" i="1"/>
  <c r="P6" i="1"/>
  <c r="P3" i="1"/>
  <c r="P9" i="1"/>
  <c r="P8" i="1"/>
  <c r="P7" i="1"/>
  <c r="P5" i="1"/>
  <c r="P4" i="1"/>
  <c r="S4" i="1"/>
  <c r="S3" i="1"/>
  <c r="S5" i="1"/>
  <c r="S9" i="1"/>
  <c r="S6" i="1"/>
  <c r="S8" i="1"/>
  <c r="S7" i="1"/>
  <c r="J4" i="1"/>
  <c r="J5" i="1"/>
  <c r="J6" i="1"/>
  <c r="J7" i="1"/>
  <c r="J8" i="1"/>
  <c r="J9" i="1"/>
  <c r="J3" i="1"/>
  <c r="X3" i="1" l="1"/>
  <c r="Y3" i="1" s="1"/>
  <c r="Z3" i="1" s="1"/>
  <c r="AA3" i="1" s="1"/>
  <c r="X9" i="1"/>
  <c r="Y9" i="1" s="1"/>
  <c r="Z9" i="1" s="1"/>
  <c r="AA9" i="1" s="1"/>
  <c r="X5" i="1"/>
  <c r="Y5" i="1" s="1"/>
  <c r="Z5" i="1" s="1"/>
  <c r="AA5" i="1" s="1"/>
  <c r="AC5" i="1" s="1"/>
  <c r="AD5" i="1" s="1"/>
  <c r="AE5" i="1" s="1"/>
  <c r="X4" i="1"/>
  <c r="Y4" i="1" s="1"/>
  <c r="Z4" i="1" s="1"/>
  <c r="AA4" i="1" s="1"/>
  <c r="AC4" i="1" s="1"/>
  <c r="X6" i="1"/>
  <c r="Y6" i="1" s="1"/>
  <c r="Z6" i="1" s="1"/>
  <c r="AA6" i="1" s="1"/>
  <c r="AC6" i="1" s="1"/>
  <c r="AD6" i="1" s="1"/>
  <c r="AE6" i="1" s="1"/>
  <c r="X8" i="1"/>
  <c r="Y8" i="1" s="1"/>
  <c r="Z8" i="1" s="1"/>
  <c r="AA8" i="1" s="1"/>
  <c r="X7" i="1"/>
  <c r="Y7" i="1" s="1"/>
  <c r="Z7" i="1" s="1"/>
  <c r="AA7" i="1" s="1"/>
  <c r="AC7" i="1" s="1"/>
  <c r="AD7" i="1" s="1"/>
  <c r="AE7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3" i="1"/>
  <c r="O3" i="1" s="1"/>
  <c r="AC10" i="1" l="1"/>
  <c r="AD4" i="1"/>
  <c r="AD36" i="1"/>
  <c r="AD35" i="1"/>
  <c r="R2" i="1" s="1"/>
  <c r="T2" i="1" s="1"/>
  <c r="AD38" i="1"/>
  <c r="AD28" i="1" s="1"/>
  <c r="AD30" i="1" s="1"/>
  <c r="AD37" i="1"/>
  <c r="AA35" i="1"/>
  <c r="AA36" i="1"/>
  <c r="AI28" i="1" s="1"/>
  <c r="AA37" i="1"/>
  <c r="AH28" i="1" s="1"/>
  <c r="Q3" i="1"/>
  <c r="Q5" i="1"/>
  <c r="Q4" i="1"/>
  <c r="Q8" i="1"/>
  <c r="Q9" i="1"/>
  <c r="Q7" i="1"/>
  <c r="Q6" i="1"/>
  <c r="V2" i="1" l="1"/>
  <c r="W2" i="1" s="1"/>
  <c r="AJ28" i="1"/>
  <c r="V11" i="1"/>
  <c r="AD31" i="1"/>
  <c r="AH30" i="1" s="1"/>
  <c r="AI30" i="1"/>
  <c r="AD10" i="1"/>
  <c r="AE4" i="1"/>
  <c r="AE10" i="1" s="1"/>
  <c r="AI31" i="1"/>
  <c r="AD34" i="2"/>
  <c r="AI28" i="2" s="1"/>
  <c r="AH31" i="1"/>
  <c r="AD35" i="2"/>
  <c r="AI32" i="1"/>
  <c r="O19" i="2"/>
  <c r="P19" i="2" s="1"/>
  <c r="Q19" i="2" s="1"/>
  <c r="O16" i="2"/>
  <c r="P16" i="2" s="1"/>
  <c r="Q16" i="2" s="1"/>
  <c r="O13" i="2"/>
  <c r="P13" i="2" s="1"/>
  <c r="Q13" i="2" s="1"/>
  <c r="O14" i="2"/>
  <c r="P14" i="2" s="1"/>
  <c r="Q14" i="2" s="1"/>
  <c r="O15" i="2"/>
  <c r="P15" i="2" s="1"/>
  <c r="Q15" i="2" s="1"/>
  <c r="O18" i="2"/>
  <c r="P18" i="2" s="1"/>
  <c r="Q18" i="2" s="1"/>
  <c r="AD32" i="2"/>
  <c r="O17" i="2"/>
  <c r="P17" i="2" s="1"/>
  <c r="Q17" i="2" s="1"/>
  <c r="AH32" i="1"/>
  <c r="AD33" i="2"/>
  <c r="AH29" i="2" s="1"/>
  <c r="R7" i="1"/>
  <c r="T7" i="1" s="1"/>
  <c r="R6" i="1"/>
  <c r="T6" i="1" s="1"/>
  <c r="R4" i="1"/>
  <c r="T4" i="1" s="1"/>
  <c r="R8" i="1"/>
  <c r="T8" i="1" s="1"/>
  <c r="R3" i="1"/>
  <c r="R5" i="1"/>
  <c r="T5" i="1" s="1"/>
  <c r="R9" i="1"/>
  <c r="T9" i="1" s="1"/>
  <c r="R3" i="2" l="1"/>
  <c r="T3" i="2" s="1"/>
  <c r="T3" i="1"/>
  <c r="AA38" i="1"/>
  <c r="U2" i="1" s="1"/>
  <c r="AA39" i="1"/>
  <c r="AH29" i="1" s="1"/>
  <c r="AH28" i="2"/>
  <c r="AD25" i="2"/>
  <c r="AD27" i="2" s="1"/>
  <c r="AI29" i="2"/>
  <c r="R2" i="2"/>
  <c r="R5" i="2"/>
  <c r="T5" i="2" s="1"/>
  <c r="R4" i="2"/>
  <c r="T4" i="2" s="1"/>
  <c r="R9" i="2"/>
  <c r="T9" i="2" s="1"/>
  <c r="R7" i="2"/>
  <c r="T7" i="2" s="1"/>
  <c r="R8" i="2"/>
  <c r="T8" i="2" s="1"/>
  <c r="R6" i="2"/>
  <c r="T6" i="2" s="1"/>
  <c r="V7" i="1"/>
  <c r="W7" i="1" s="1"/>
  <c r="V4" i="1"/>
  <c r="W4" i="1" s="1"/>
  <c r="V8" i="1"/>
  <c r="W8" i="1" s="1"/>
  <c r="V5" i="1"/>
  <c r="W5" i="1" s="1"/>
  <c r="V9" i="1"/>
  <c r="W9" i="1" s="1"/>
  <c r="V6" i="1"/>
  <c r="W6" i="1" s="1"/>
  <c r="V3" i="1"/>
  <c r="W3" i="1" s="1"/>
  <c r="AF7" i="1" l="1"/>
  <c r="AF9" i="1"/>
  <c r="AF6" i="1"/>
  <c r="AF5" i="1"/>
  <c r="AF4" i="1"/>
  <c r="AI29" i="1"/>
  <c r="AF2" i="1" s="1"/>
  <c r="AD28" i="2"/>
  <c r="AH27" i="2" s="1"/>
  <c r="AI27" i="2"/>
  <c r="T2" i="2"/>
  <c r="AA35" i="2"/>
  <c r="U3" i="2" s="1"/>
  <c r="AA36" i="2"/>
  <c r="AH26" i="2" s="1"/>
  <c r="U5" i="1"/>
  <c r="U7" i="1"/>
  <c r="U3" i="1"/>
  <c r="U6" i="1"/>
  <c r="U8" i="1"/>
  <c r="U9" i="1"/>
  <c r="U4" i="1"/>
  <c r="AF3" i="1" l="1"/>
  <c r="AF8" i="1"/>
  <c r="AI26" i="2"/>
  <c r="U7" i="2"/>
  <c r="U8" i="2"/>
  <c r="U5" i="2"/>
  <c r="U9" i="2"/>
  <c r="U4" i="2"/>
  <c r="U6" i="2"/>
  <c r="U2" i="2"/>
</calcChain>
</file>

<file path=xl/sharedStrings.xml><?xml version="1.0" encoding="utf-8"?>
<sst xmlns="http://schemas.openxmlformats.org/spreadsheetml/2006/main" count="253" uniqueCount="88">
  <si>
    <t>throttleFlt, deg</t>
  </si>
  <si>
    <t>v4, vdc</t>
  </si>
  <si>
    <t>Vemf, V pk-pk</t>
  </si>
  <si>
    <t>numPoles</t>
  </si>
  <si>
    <t>Kv</t>
  </si>
  <si>
    <t>Vc</t>
  </si>
  <si>
    <t>max RPM</t>
  </si>
  <si>
    <t>fan,RPM</t>
  </si>
  <si>
    <t>fan, %</t>
  </si>
  <si>
    <t>Calc fan, rpm</t>
  </si>
  <si>
    <t>Throttle, deg</t>
  </si>
  <si>
    <t>Calc NG from Nf, rpm</t>
  </si>
  <si>
    <t>Calc Ng from Nf, %</t>
  </si>
  <si>
    <t>Calc Ng from Throttle, rpm</t>
  </si>
  <si>
    <t>for 100% Ng at</t>
  </si>
  <si>
    <t>Charger V, vdc</t>
  </si>
  <si>
    <t>Charger I, A</t>
  </si>
  <si>
    <t>Charger Pwr, W</t>
  </si>
  <si>
    <t>P_V4_NF</t>
  </si>
  <si>
    <t>P_P_PNF</t>
  </si>
  <si>
    <t>P_NG_NF</t>
  </si>
  <si>
    <t>P_NF_NG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</si>
  <si>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</si>
  <si>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</si>
  <si>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</si>
  <si>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</si>
  <si>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</si>
  <si>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</si>
  <si>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</si>
  <si>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</si>
  <si>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</si>
  <si>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Calc fan, %</t>
  </si>
  <si>
    <t>vf2v, v</t>
  </si>
  <si>
    <t>Tfan, micros</t>
  </si>
  <si>
    <t>Tng, micros</t>
  </si>
  <si>
    <t>FreqFan, Hz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</si>
  <si>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</si>
  <si>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</si>
  <si>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</si>
  <si>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</si>
  <si>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</si>
  <si>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</si>
  <si>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</si>
  <si>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</si>
  <si>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</si>
  <si>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</si>
  <si>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</si>
  <si>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</si>
  <si>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</si>
  <si>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</si>
  <si>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pcnfRef, %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</si>
  <si>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</si>
  <si>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</si>
  <si>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</si>
  <si>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</si>
  <si>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</si>
  <si>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</si>
  <si>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</si>
  <si>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</si>
  <si>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</si>
  <si>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</si>
  <si>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</si>
  <si>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JgEst, ft-lbf/(rpm/sec)</t>
  </si>
  <si>
    <t>JgEst, lbm-ft^2</t>
  </si>
  <si>
    <t>JgEst, lbm-in^2</t>
  </si>
  <si>
    <t>avg=</t>
  </si>
  <si>
    <t>TTL, ms</t>
  </si>
  <si>
    <t>original throttle, deg</t>
  </si>
  <si>
    <t>ttl, ms</t>
  </si>
  <si>
    <t>cal thtl</t>
  </si>
  <si>
    <t>Nf for 0% Ng</t>
  </si>
  <si>
    <t>-----&gt;</t>
  </si>
  <si>
    <t>10/13/2016 determined to scale deg throttle to 1000-2000 microseconds by setting in code for Servo</t>
  </si>
  <si>
    <t>Nf, %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</si>
  <si>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</si>
  <si>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</si>
  <si>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</si>
  <si>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</si>
  <si>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</si>
  <si>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</si>
  <si>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</si>
  <si>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Nf from Model Ng, %</t>
  </si>
  <si>
    <t>Model Ng from pcnfRef at RESET, %</t>
  </si>
  <si>
    <t>model throttle from vpot</t>
  </si>
  <si>
    <t>Model Ng from Model Throttle, %</t>
  </si>
  <si>
    <t>Model pcnfRef from Model Ng, %</t>
  </si>
  <si>
    <t>throttle for Ng=0</t>
  </si>
  <si>
    <t>simulate vpot from throttle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</si>
</sst>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0.000"/>
    <numFmt numFmtId="167" formatCode="0E+0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25" xfId="0" applyNumberFormat="1" applyFill="1" applyBorder="1" applyAlignment="1">
      <alignment horizontal="center" wrapText="1"/>
    </xf>
    <xf numFmtId="2" fontId="0" fillId="3" borderId="12" xfId="0" applyNumberFormat="1" applyFill="1" applyBorder="1" applyAlignment="1">
      <alignment horizontal="center"/>
    </xf>
    <xf numFmtId="0" fontId="0" fillId="0" borderId="25" xfId="0" applyFill="1" applyBorder="1" applyAlignment="1">
      <alignment horizontal="center" wrapText="1"/>
    </xf>
    <xf numFmtId="0" fontId="0" fillId="0" borderId="26" xfId="0" applyFill="1" applyBorder="1" applyAlignment="1">
      <alignment horizontal="center" wrapText="1"/>
    </xf>
    <xf numFmtId="0" fontId="0" fillId="0" borderId="27" xfId="0" applyFill="1" applyBorder="1"/>
    <xf numFmtId="0" fontId="0" fillId="2" borderId="0" xfId="0" applyFill="1"/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9706971560062"/>
          <c:y val="0.1632962962962963"/>
          <c:w val="0.79740543990220403"/>
          <c:h val="0.698172936716243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CalArduinoTurnigy!$J$4:$J$34</c:f>
              <c:numCache>
                <c:formatCode>0.0</c:formatCode>
                <c:ptCount val="31"/>
                <c:pt idx="0">
                  <c:v>5.9340000000000002</c:v>
                </c:pt>
                <c:pt idx="1">
                  <c:v>7.3968000000000007</c:v>
                </c:pt>
                <c:pt idx="2">
                  <c:v>29.981099999999998</c:v>
                </c:pt>
                <c:pt idx="3">
                  <c:v>88.904499999999999</c:v>
                </c:pt>
                <c:pt idx="4">
                  <c:v>169.11679999999998</c:v>
                </c:pt>
                <c:pt idx="5">
                  <c:v>241.61249999999998</c:v>
                </c:pt>
              </c:numCache>
            </c:numRef>
          </c:xVal>
          <c:yVal>
            <c:numRef>
              <c:f>CalArduinoTurnigy!$Q$4:$Q$34</c:f>
              <c:numCache>
                <c:formatCode>0</c:formatCode>
                <c:ptCount val="31"/>
                <c:pt idx="0">
                  <c:v>19.278606965174134</c:v>
                </c:pt>
                <c:pt idx="1">
                  <c:v>27.958152958152958</c:v>
                </c:pt>
                <c:pt idx="2">
                  <c:v>48.196517412935322</c:v>
                </c:pt>
                <c:pt idx="3">
                  <c:v>72.975517890772139</c:v>
                </c:pt>
                <c:pt idx="4">
                  <c:v>89.699074074074076</c:v>
                </c:pt>
                <c:pt idx="5">
                  <c:v>99.974200206398365</c:v>
                </c:pt>
                <c:pt idx="6">
                  <c:v>118.74123336675764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09672"/>
        <c:axId val="144908496"/>
      </c:scatterChart>
      <c:valAx>
        <c:axId val="14490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8496"/>
        <c:crosses val="autoZero"/>
        <c:crossBetween val="midCat"/>
      </c:valAx>
      <c:valAx>
        <c:axId val="1449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37800"/>
        <c:axId val="202938192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38976"/>
        <c:axId val="202938584"/>
      </c:scatterChart>
      <c:valAx>
        <c:axId val="20293780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8192"/>
        <c:crosses val="autoZero"/>
        <c:crossBetween val="midCat"/>
      </c:valAx>
      <c:valAx>
        <c:axId val="2029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7800"/>
        <c:crosses val="autoZero"/>
        <c:crossBetween val="midCat"/>
      </c:valAx>
      <c:valAx>
        <c:axId val="202938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8976"/>
        <c:crosses val="max"/>
        <c:crossBetween val="midCat"/>
      </c:valAx>
      <c:valAx>
        <c:axId val="20293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38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39528"/>
        <c:axId val="147238744"/>
      </c:scatterChart>
      <c:valAx>
        <c:axId val="14723952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7238744"/>
        <c:crosses val="autoZero"/>
        <c:crossBetween val="midCat"/>
      </c:valAx>
      <c:valAx>
        <c:axId val="147238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239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41096"/>
        <c:axId val="147243056"/>
      </c:scatterChart>
      <c:valAx>
        <c:axId val="14724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7243056"/>
        <c:crosses val="autoZero"/>
        <c:crossBetween val="midCat"/>
      </c:valAx>
      <c:valAx>
        <c:axId val="14724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241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Nf,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36392"/>
        <c:axId val="147242664"/>
      </c:scatterChart>
      <c:valAx>
        <c:axId val="147236392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2664"/>
        <c:crosses val="autoZero"/>
        <c:crossBetween val="midCat"/>
      </c:valAx>
      <c:valAx>
        <c:axId val="14724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6392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38352"/>
        <c:axId val="147237568"/>
      </c:scatterChart>
      <c:valAx>
        <c:axId val="14723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7568"/>
        <c:crosses val="autoZero"/>
        <c:crossBetween val="midCat"/>
      </c:valAx>
      <c:valAx>
        <c:axId val="147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43840"/>
        <c:axId val="147240704"/>
      </c:scatterChart>
      <c:valAx>
        <c:axId val="14724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0704"/>
        <c:crosses val="autoZero"/>
        <c:crossBetween val="midCat"/>
      </c:valAx>
      <c:valAx>
        <c:axId val="1472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37176"/>
        <c:axId val="147237960"/>
      </c:scatterChart>
      <c:valAx>
        <c:axId val="14723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7960"/>
        <c:crosses val="autoZero"/>
        <c:crossBetween val="midCat"/>
      </c:valAx>
      <c:valAx>
        <c:axId val="147237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CalArduinoTurnigy!$O$5:$O$9</c:f>
              <c:numCache>
                <c:formatCode>0</c:formatCode>
                <c:ptCount val="5"/>
                <c:pt idx="0">
                  <c:v>6493.5064935064938</c:v>
                </c:pt>
                <c:pt idx="1">
                  <c:v>11194.029850746268</c:v>
                </c:pt>
                <c:pt idx="2">
                  <c:v>16949.152542372882</c:v>
                </c:pt>
                <c:pt idx="3">
                  <c:v>20833.333333333332</c:v>
                </c:pt>
                <c:pt idx="4">
                  <c:v>23219.81424148607</c:v>
                </c:pt>
              </c:numCache>
            </c:numRef>
          </c:xVal>
          <c:yVal>
            <c:numRef>
              <c:f>CalArduinoTurnigy!$P$5:$P$9</c:f>
              <c:numCache>
                <c:formatCode>0</c:formatCode>
                <c:ptCount val="5"/>
                <c:pt idx="0">
                  <c:v>0.3</c:v>
                </c:pt>
                <c:pt idx="1">
                  <c:v>6619.5939982347754</c:v>
                </c:pt>
                <c:pt idx="2">
                  <c:v>12500</c:v>
                </c:pt>
                <c:pt idx="3">
                  <c:v>16120.365394948954</c:v>
                </c:pt>
                <c:pt idx="4">
                  <c:v>18181.818181818184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12808"/>
        <c:axId val="144905360"/>
      </c:scatterChart>
      <c:valAx>
        <c:axId val="14491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5360"/>
        <c:crosses val="autoZero"/>
        <c:crossBetween val="midCat"/>
      </c:valAx>
      <c:valAx>
        <c:axId val="1449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CalArduinoTurnigy!$K$4:$K$9</c:f>
              <c:numCache>
                <c:formatCode>General</c:formatCode>
                <c:ptCount val="6"/>
                <c:pt idx="0">
                  <c:v>50</c:v>
                </c:pt>
                <c:pt idx="1">
                  <c:v>53</c:v>
                </c:pt>
                <c:pt idx="2">
                  <c:v>64</c:v>
                </c:pt>
                <c:pt idx="3">
                  <c:v>90</c:v>
                </c:pt>
                <c:pt idx="4">
                  <c:v>120</c:v>
                </c:pt>
                <c:pt idx="5">
                  <c:v>135</c:v>
                </c:pt>
              </c:numCache>
            </c:numRef>
          </c:xVal>
          <c:yVal>
            <c:numRef>
              <c:f>CalArduinoTurnigy!$Q$4:$Q$9</c:f>
              <c:numCache>
                <c:formatCode>0</c:formatCode>
                <c:ptCount val="6"/>
                <c:pt idx="0">
                  <c:v>19.278606965174134</c:v>
                </c:pt>
                <c:pt idx="1">
                  <c:v>27.958152958152958</c:v>
                </c:pt>
                <c:pt idx="2">
                  <c:v>48.196517412935322</c:v>
                </c:pt>
                <c:pt idx="3">
                  <c:v>72.975517890772139</c:v>
                </c:pt>
                <c:pt idx="4">
                  <c:v>89.699074074074076</c:v>
                </c:pt>
                <c:pt idx="5">
                  <c:v>99.974200206398365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10848"/>
        <c:axId val="144906928"/>
      </c:scatterChart>
      <c:scatterChart>
        <c:scatterStyle val="lineMarker"/>
        <c:varyColors val="0"/>
        <c:ser>
          <c:idx val="1"/>
          <c:order val="1"/>
          <c:tx>
            <c:strRef>
              <c:f>CalArduinoTurnigy!$Y$1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CalArduinoTurnigy!$K$4:$K$9</c:f>
              <c:numCache>
                <c:formatCode>General</c:formatCode>
                <c:ptCount val="6"/>
                <c:pt idx="0">
                  <c:v>50</c:v>
                </c:pt>
                <c:pt idx="1">
                  <c:v>53</c:v>
                </c:pt>
                <c:pt idx="2">
                  <c:v>64</c:v>
                </c:pt>
                <c:pt idx="3">
                  <c:v>90</c:v>
                </c:pt>
                <c:pt idx="4">
                  <c:v>120</c:v>
                </c:pt>
                <c:pt idx="5">
                  <c:v>135</c:v>
                </c:pt>
              </c:numCache>
            </c:numRef>
          </c:xVal>
          <c:yVal>
            <c:numRef>
              <c:f>CalArduinoTurnigy!$Y$4:$Y$9</c:f>
              <c:numCache>
                <c:formatCode>General</c:formatCode>
                <c:ptCount val="6"/>
                <c:pt idx="0">
                  <c:v>5.9340000000000002</c:v>
                </c:pt>
                <c:pt idx="1">
                  <c:v>7.3968000000000007</c:v>
                </c:pt>
                <c:pt idx="2">
                  <c:v>29.981099999999998</c:v>
                </c:pt>
                <c:pt idx="3">
                  <c:v>88.904499999999999</c:v>
                </c:pt>
                <c:pt idx="4">
                  <c:v>169.11679999999998</c:v>
                </c:pt>
                <c:pt idx="5">
                  <c:v>241.61249999999998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06536"/>
        <c:axId val="144906144"/>
      </c:scatterChart>
      <c:valAx>
        <c:axId val="144910848"/>
        <c:scaling>
          <c:orientation val="minMax"/>
          <c:max val="15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6928"/>
        <c:crossesAt val="-40"/>
        <c:crossBetween val="midCat"/>
        <c:majorUnit val="20"/>
      </c:valAx>
      <c:valAx>
        <c:axId val="1449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0848"/>
        <c:crosses val="autoZero"/>
        <c:crossBetween val="midCat"/>
      </c:valAx>
      <c:valAx>
        <c:axId val="144906144"/>
        <c:scaling>
          <c:orientation val="minMax"/>
          <c:max val="32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6536"/>
        <c:crosses val="max"/>
        <c:crossBetween val="midCat"/>
        <c:majorUnit val="40"/>
      </c:valAx>
      <c:valAx>
        <c:axId val="144906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90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CalArduinoTurnigy!$Y$1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CalArduinoTurnigy!$Q$4:$Q$9</c:f>
              <c:numCache>
                <c:formatCode>0</c:formatCode>
                <c:ptCount val="6"/>
                <c:pt idx="0">
                  <c:v>19.278606965174134</c:v>
                </c:pt>
                <c:pt idx="1">
                  <c:v>27.958152958152958</c:v>
                </c:pt>
                <c:pt idx="2">
                  <c:v>48.196517412935322</c:v>
                </c:pt>
                <c:pt idx="3">
                  <c:v>72.975517890772139</c:v>
                </c:pt>
                <c:pt idx="4">
                  <c:v>89.699074074074076</c:v>
                </c:pt>
                <c:pt idx="5">
                  <c:v>99.974200206398365</c:v>
                </c:pt>
              </c:numCache>
            </c:numRef>
          </c:xVal>
          <c:yVal>
            <c:numRef>
              <c:f>CalArduinoTurnigy!$Y$4:$Y$9</c:f>
              <c:numCache>
                <c:formatCode>General</c:formatCode>
                <c:ptCount val="6"/>
                <c:pt idx="0">
                  <c:v>5.9340000000000002</c:v>
                </c:pt>
                <c:pt idx="1">
                  <c:v>7.3968000000000007</c:v>
                </c:pt>
                <c:pt idx="2">
                  <c:v>29.981099999999998</c:v>
                </c:pt>
                <c:pt idx="3">
                  <c:v>88.904499999999999</c:v>
                </c:pt>
                <c:pt idx="4">
                  <c:v>169.11679999999998</c:v>
                </c:pt>
                <c:pt idx="5">
                  <c:v>241.61249999999998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10456"/>
        <c:axId val="144911632"/>
      </c:scatterChart>
      <c:valAx>
        <c:axId val="14491045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4911632"/>
        <c:crosses val="autoZero"/>
        <c:crossBetween val="midCat"/>
      </c:valAx>
      <c:valAx>
        <c:axId val="144911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910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CalArduinoTurnigy!$AC$1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CalArduinoTurnigy!$Q$5:$Q$9</c:f>
              <c:numCache>
                <c:formatCode>0</c:formatCode>
                <c:ptCount val="5"/>
                <c:pt idx="0">
                  <c:v>27.958152958152958</c:v>
                </c:pt>
                <c:pt idx="1">
                  <c:v>48.196517412935322</c:v>
                </c:pt>
                <c:pt idx="2">
                  <c:v>72.975517890772139</c:v>
                </c:pt>
                <c:pt idx="3">
                  <c:v>89.699074074074076</c:v>
                </c:pt>
                <c:pt idx="4">
                  <c:v>99.974200206398365</c:v>
                </c:pt>
              </c:numCache>
            </c:numRef>
          </c:xVal>
          <c:yVal>
            <c:numRef>
              <c:f>CalArduinoTurnigy!$AC$5:$AC$9</c:f>
              <c:numCache>
                <c:formatCode>General</c:formatCode>
                <c:ptCount val="5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34272"/>
        <c:axId val="202933880"/>
      </c:scatterChart>
      <c:valAx>
        <c:axId val="20293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02933880"/>
        <c:crosses val="autoZero"/>
        <c:crossBetween val="midCat"/>
      </c:valAx>
      <c:valAx>
        <c:axId val="20293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34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CalArduinoTurnigy!$U$1</c:f>
              <c:strCache>
                <c:ptCount val="1"/>
                <c:pt idx="0">
                  <c:v>Calc Ng from Nf,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CalArduinoTurnigy!$R$4:$R$9</c:f>
              <c:numCache>
                <c:formatCode>0</c:formatCode>
                <c:ptCount val="6"/>
                <c:pt idx="0">
                  <c:v>1.2916666666666669E-3</c:v>
                </c:pt>
                <c:pt idx="1">
                  <c:v>1.2916666666666669E-3</c:v>
                </c:pt>
                <c:pt idx="2">
                  <c:v>28.50102971462195</c:v>
                </c:pt>
                <c:pt idx="3">
                  <c:v>53.81944444444445</c:v>
                </c:pt>
                <c:pt idx="4">
                  <c:v>69.407128783808005</c:v>
                </c:pt>
                <c:pt idx="5">
                  <c:v>78.282828282828305</c:v>
                </c:pt>
              </c:numCache>
            </c:numRef>
          </c:xVal>
          <c:yVal>
            <c:numRef>
              <c:f>CalArduinoTurnigy!$U$4:$U$9</c:f>
              <c:numCache>
                <c:formatCode>0</c:formatCode>
                <c:ptCount val="6"/>
                <c:pt idx="0">
                  <c:v>18.174295736640588</c:v>
                </c:pt>
                <c:pt idx="1">
                  <c:v>18.174295736640588</c:v>
                </c:pt>
                <c:pt idx="2">
                  <c:v>47.683008238485534</c:v>
                </c:pt>
                <c:pt idx="3">
                  <c:v>73.89776923059263</c:v>
                </c:pt>
                <c:pt idx="4">
                  <c:v>90.037303389321181</c:v>
                </c:pt>
                <c:pt idx="5">
                  <c:v>99.227228725780549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35056"/>
        <c:axId val="202935448"/>
      </c:scatterChart>
      <c:valAx>
        <c:axId val="202935056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5448"/>
        <c:crosses val="autoZero"/>
        <c:crossBetween val="midCat"/>
      </c:valAx>
      <c:valAx>
        <c:axId val="20293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5056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02533193122855E-2"/>
          <c:y val="0.16245370370370371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og"/>
            <c:backward val="55"/>
            <c:dispRSqr val="0"/>
            <c:dispEq val="1"/>
            <c:trendlineLbl>
              <c:layout>
                <c:manualLayout>
                  <c:x val="-0.1784534120734908"/>
                  <c:y val="-2.81944444444444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CalArduinoTurnigy!$K$4:$K$9</c:f>
              <c:numCache>
                <c:formatCode>General</c:formatCode>
                <c:ptCount val="6"/>
                <c:pt idx="0">
                  <c:v>50</c:v>
                </c:pt>
                <c:pt idx="1">
                  <c:v>53</c:v>
                </c:pt>
                <c:pt idx="2">
                  <c:v>64</c:v>
                </c:pt>
                <c:pt idx="3">
                  <c:v>90</c:v>
                </c:pt>
                <c:pt idx="4">
                  <c:v>120</c:v>
                </c:pt>
                <c:pt idx="5">
                  <c:v>135</c:v>
                </c:pt>
              </c:numCache>
            </c:numRef>
          </c:xVal>
          <c:yVal>
            <c:numRef>
              <c:f>CalArduinoTurnigy!$O$4:$O$9</c:f>
              <c:numCache>
                <c:formatCode>0</c:formatCode>
                <c:ptCount val="6"/>
                <c:pt idx="0">
                  <c:v>4477.6119402985078</c:v>
                </c:pt>
                <c:pt idx="1">
                  <c:v>6493.5064935064938</c:v>
                </c:pt>
                <c:pt idx="2">
                  <c:v>11194.029850746268</c:v>
                </c:pt>
                <c:pt idx="3">
                  <c:v>16949.152542372882</c:v>
                </c:pt>
                <c:pt idx="4">
                  <c:v>20833.333333333332</c:v>
                </c:pt>
                <c:pt idx="5">
                  <c:v>23219.81424148607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CalArduinoTurnigy!$V$1</c:f>
              <c:strCache>
                <c:ptCount val="1"/>
                <c:pt idx="0">
                  <c:v>Calc Ng from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CalArduinoTurnigy!$C$4:$C$9</c:f>
              <c:numCache>
                <c:formatCode>General</c:formatCode>
                <c:ptCount val="6"/>
                <c:pt idx="0">
                  <c:v>50</c:v>
                </c:pt>
                <c:pt idx="1">
                  <c:v>53</c:v>
                </c:pt>
                <c:pt idx="2">
                  <c:v>64</c:v>
                </c:pt>
                <c:pt idx="3">
                  <c:v>90</c:v>
                </c:pt>
                <c:pt idx="4">
                  <c:v>120</c:v>
                </c:pt>
                <c:pt idx="5">
                  <c:v>135</c:v>
                </c:pt>
              </c:numCache>
            </c:numRef>
          </c:xVal>
          <c:yVal>
            <c:numRef>
              <c:f>CalArduinoTurnigy!$V$4:$V$9</c:f>
              <c:numCache>
                <c:formatCode>0</c:formatCode>
                <c:ptCount val="6"/>
                <c:pt idx="0">
                  <c:v>7405.3255760457178</c:v>
                </c:pt>
                <c:pt idx="1">
                  <c:v>8322.9960747101359</c:v>
                </c:pt>
                <c:pt idx="2">
                  <c:v>11293.097255819957</c:v>
                </c:pt>
                <c:pt idx="3">
                  <c:v>16662.311836048742</c:v>
                </c:pt>
                <c:pt idx="4">
                  <c:v>21192.984528970075</c:v>
                </c:pt>
                <c:pt idx="5">
                  <c:v>23047.936347099792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35840"/>
        <c:axId val="202933096"/>
      </c:scatterChart>
      <c:valAx>
        <c:axId val="20293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3096"/>
        <c:crosses val="autoZero"/>
        <c:crossBetween val="midCat"/>
      </c:valAx>
      <c:valAx>
        <c:axId val="202933096"/>
        <c:scaling>
          <c:orientation val="minMax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33488"/>
        <c:axId val="202936232"/>
      </c:scatterChart>
      <c:valAx>
        <c:axId val="20293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6232"/>
        <c:crosses val="autoZero"/>
        <c:crossBetween val="midCat"/>
      </c:valAx>
      <c:valAx>
        <c:axId val="20293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32704"/>
        <c:axId val="202937408"/>
      </c:scatterChart>
      <c:valAx>
        <c:axId val="20293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7408"/>
        <c:crosses val="autoZero"/>
        <c:crossBetween val="midCat"/>
      </c:valAx>
      <c:valAx>
        <c:axId val="2029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9</xdr:col>
      <xdr:colOff>411480</xdr:colOff>
      <xdr:row>31</xdr:row>
      <xdr:rowOff>53340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15240</xdr:rowOff>
    </xdr:from>
    <xdr:to>
      <xdr:col>5</xdr:col>
      <xdr:colOff>190500</xdr:colOff>
      <xdr:row>50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217170</xdr:colOff>
      <xdr:row>13</xdr:row>
      <xdr:rowOff>144780</xdr:rowOff>
    </xdr:from>
    <xdr:to>
      <xdr:col>19</xdr:col>
      <xdr:colOff>228600</xdr:colOff>
      <xdr:row>26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272415</xdr:colOff>
      <xdr:row>31</xdr:row>
      <xdr:rowOff>146691</xdr:rowOff>
    </xdr:from>
    <xdr:to>
      <xdr:col>13</xdr:col>
      <xdr:colOff>251460</xdr:colOff>
      <xdr:row>45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634365</xdr:colOff>
      <xdr:row>0</xdr:row>
      <xdr:rowOff>510541</xdr:rowOff>
    </xdr:from>
    <xdr:to>
      <xdr:col>45</xdr:col>
      <xdr:colOff>7620</xdr:colOff>
      <xdr:row>13</xdr:row>
      <xdr:rowOff>144781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50</xdr:row>
      <xdr:rowOff>114300</xdr:rowOff>
    </xdr:from>
    <xdr:to>
      <xdr:col>4</xdr:col>
      <xdr:colOff>373380</xdr:colOff>
      <xdr:row>61</xdr:row>
      <xdr:rowOff>99060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487680</xdr:colOff>
      <xdr:row>27</xdr:row>
      <xdr:rowOff>137166</xdr:rowOff>
    </xdr:from>
    <xdr:to>
      <xdr:col>25</xdr:col>
      <xdr:colOff>68580</xdr:colOff>
      <xdr:row>43</xdr:row>
      <xdr:rowOff>137160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</xdr:colOff>
      <xdr:row>31</xdr:row>
      <xdr:rowOff>184791</xdr:rowOff>
    </xdr:from>
    <xdr:to>
      <xdr:col>20</xdr:col>
      <xdr:colOff>198120</xdr:colOff>
      <xdr:row>45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1"/>
  <sheetViews>
    <sheetView tabSelected="1" topLeftCell="AF1" workbookViewId="0">
      <pane ySplit="5" topLeftCell="A6" activePane="bottomLeft" state="frozen"/>
      <selection pane="bottomLeft" activeCell="AE28" sqref="AE28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7773437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7.6640625" style="1" customWidth="1"/>
    <col min="20" max="20" width="8" style="1" customWidth="1"/>
    <col min="21" max="21" width="6.33203125" style="1" customWidth="1"/>
    <col min="22" max="22" width="8.109375" style="1" bestFit="1" customWidth="1"/>
    <col min="23" max="24" width="6.109375" customWidth="1"/>
    <col min="25" max="25" width="7.6640625" customWidth="1"/>
    <col min="27" max="27" width="9.88671875" bestFit="1" customWidth="1"/>
    <col min="28" max="28" width="10.6640625" customWidth="1"/>
    <col min="29" max="29" width="6.5546875" bestFit="1" customWidth="1"/>
    <col min="30" max="31" width="9.6640625" customWidth="1"/>
    <col min="32" max="32" width="7.88671875" customWidth="1"/>
    <col min="33" max="36" width="10" customWidth="1"/>
    <col min="37" max="38" width="11.5546875" customWidth="1"/>
    <col min="39" max="39" width="8.6640625" customWidth="1"/>
    <col min="41" max="41" width="9.6640625" customWidth="1"/>
  </cols>
  <sheetData>
    <row r="1" spans="1:39" ht="57.6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79</v>
      </c>
      <c r="M1" s="4" t="s">
        <v>36</v>
      </c>
      <c r="N1" s="4" t="s">
        <v>35</v>
      </c>
      <c r="O1" s="4" t="s">
        <v>37</v>
      </c>
      <c r="P1" s="4" t="s">
        <v>7</v>
      </c>
      <c r="Q1" s="4" t="s">
        <v>38</v>
      </c>
      <c r="R1" s="4" t="s">
        <v>73</v>
      </c>
      <c r="S1" s="4" t="s">
        <v>11</v>
      </c>
      <c r="T1" s="4" t="s">
        <v>10</v>
      </c>
      <c r="U1" s="4" t="s">
        <v>12</v>
      </c>
      <c r="V1" s="4" t="s">
        <v>13</v>
      </c>
      <c r="W1" s="4" t="s">
        <v>9</v>
      </c>
      <c r="X1" s="4" t="s">
        <v>31</v>
      </c>
      <c r="Y1" s="4" t="str">
        <f>J1</f>
        <v>Charger Pwr, W</v>
      </c>
      <c r="Z1" s="4" t="s">
        <v>58</v>
      </c>
      <c r="AA1" s="4" t="s">
        <v>59</v>
      </c>
      <c r="AB1" s="4" t="s">
        <v>60</v>
      </c>
      <c r="AC1" s="4" t="s">
        <v>61</v>
      </c>
      <c r="AD1" s="4" t="s">
        <v>62</v>
      </c>
      <c r="AE1" s="4" t="s">
        <v>63</v>
      </c>
      <c r="AF1" s="4" t="s">
        <v>64</v>
      </c>
      <c r="AG1" s="4"/>
      <c r="AH1" s="4" t="s">
        <v>87</v>
      </c>
      <c r="AI1" s="4" t="s">
        <v>83</v>
      </c>
      <c r="AJ1" s="4" t="s">
        <v>84</v>
      </c>
      <c r="AK1" s="4" t="s">
        <v>85</v>
      </c>
      <c r="AL1" s="4" t="s">
        <v>82</v>
      </c>
      <c r="AM1" s="4" t="s">
        <v>81</v>
      </c>
    </row>
    <row r="2" spans="1:39" x14ac:dyDescent="0.3">
      <c r="B2" s="110">
        <f t="shared" ref="B2" si="0">C2/180+1</f>
        <v>1.0000055555555556</v>
      </c>
      <c r="C2" s="108">
        <v>1E-3</v>
      </c>
      <c r="D2" s="108"/>
      <c r="E2" s="108"/>
      <c r="F2" s="108"/>
      <c r="G2" s="108"/>
      <c r="H2" s="108"/>
      <c r="I2" s="109"/>
      <c r="J2" s="4"/>
      <c r="K2" s="1">
        <f t="shared" ref="K2:K10" si="1">C2</f>
        <v>1E-3</v>
      </c>
      <c r="L2" s="1">
        <f t="shared" ref="L2:L3" si="2">LN(K2)</f>
        <v>-6.9077552789821368</v>
      </c>
      <c r="M2" s="3"/>
      <c r="N2" s="4"/>
      <c r="O2" s="4">
        <v>0</v>
      </c>
      <c r="P2" s="4">
        <v>0</v>
      </c>
      <c r="Q2" s="3">
        <f t="shared" ref="Q2:Q3" si="3">O2/$AB$24*100</f>
        <v>0</v>
      </c>
      <c r="R2" s="3">
        <f t="shared" ref="R2:R3" si="4">P2/$AB$24*100</f>
        <v>0</v>
      </c>
      <c r="S2" s="3">
        <f t="shared" ref="S2:S3" si="5">P2*$AE$35+$AE$36</f>
        <v>4220.8161308545332</v>
      </c>
      <c r="T2" s="3">
        <f t="shared" ref="T2:T3" si="6">K2</f>
        <v>1E-3</v>
      </c>
      <c r="U2" s="3">
        <f t="shared" ref="U2:U3" si="7">S2/$AB$24*100</f>
        <v>18.172958341179239</v>
      </c>
      <c r="V2" s="3">
        <f>MAX($AB$38*LN(C2)+$AB$39,0)</f>
        <v>0</v>
      </c>
      <c r="W2" s="3">
        <f t="shared" ref="W2:W3" si="8">D2*D2*$AB$35+D2*$AB$36+$AB$37</f>
        <v>0</v>
      </c>
      <c r="X2" s="3">
        <f t="shared" ref="X2:X3" si="9">W2/$AB$24*100</f>
        <v>0</v>
      </c>
      <c r="Y2" s="4">
        <f t="shared" ref="Y2:Y3" si="10">J2</f>
        <v>0</v>
      </c>
      <c r="Z2">
        <f t="shared" ref="Z2:Z3" si="11">Y2*0.001341022</f>
        <v>0</v>
      </c>
      <c r="AC2" s="4"/>
      <c r="AD2" s="4"/>
      <c r="AE2" s="4"/>
      <c r="AF2" s="4"/>
      <c r="AG2" s="97"/>
      <c r="AH2" s="95">
        <f t="shared" ref="AH2:AH10" si="12">C2/$AI$21*$AI$16</f>
        <v>2.7777777777777779E-5</v>
      </c>
      <c r="AI2" s="95">
        <f t="shared" ref="AI2:AI10" si="13">AH2/$AI$16*$AI$21</f>
        <v>1E-3</v>
      </c>
      <c r="AJ2" s="96">
        <f t="shared" ref="AJ2:AJ10" si="14">MAX(($AI$24+$AJ$24*LN(AI2))/$AI$20,0)</f>
        <v>0</v>
      </c>
      <c r="AK2" s="96">
        <f t="shared" ref="AK2:AK10" si="15">($AI$25+$AJ$25*AJ2*$AI$20)/$AI$20</f>
        <v>-17.464104311969095</v>
      </c>
      <c r="AL2" s="96">
        <f t="shared" ref="AL2:AL10" si="16">($AI$26+$AJ$26*AK2*$AI$20)/$AI$20</f>
        <v>9.0573430237926189E-2</v>
      </c>
      <c r="AM2">
        <f t="shared" ref="AM2:AM10" si="17">MAX(($AI$25+$AJ$25*AJ2*$AI$20)/$AI$20, 0)</f>
        <v>0</v>
      </c>
    </row>
    <row r="3" spans="1:39" x14ac:dyDescent="0.3">
      <c r="B3" s="110">
        <f>C3/180+1</f>
        <v>1.1735748344058337</v>
      </c>
      <c r="C3" s="111">
        <f>EXP((0-$AI$24)/$AJ$24)</f>
        <v>31.243470193050076</v>
      </c>
      <c r="D3" s="108"/>
      <c r="E3" s="108"/>
      <c r="F3" s="108"/>
      <c r="G3" s="108"/>
      <c r="H3" s="108"/>
      <c r="I3" s="109"/>
      <c r="J3" s="4"/>
      <c r="K3" s="1">
        <f>C3</f>
        <v>31.243470193050076</v>
      </c>
      <c r="L3" s="1">
        <f t="shared" si="2"/>
        <v>3.4418104005261214</v>
      </c>
      <c r="M3" s="3"/>
      <c r="N3" s="4"/>
      <c r="O3" s="4">
        <v>0</v>
      </c>
      <c r="P3" s="4">
        <v>0</v>
      </c>
      <c r="Q3" s="3">
        <f t="shared" si="3"/>
        <v>0</v>
      </c>
      <c r="R3" s="3">
        <f t="shared" si="4"/>
        <v>0</v>
      </c>
      <c r="S3" s="3">
        <f t="shared" si="5"/>
        <v>4220.8161308545332</v>
      </c>
      <c r="T3" s="3">
        <f t="shared" si="6"/>
        <v>31.243470193050076</v>
      </c>
      <c r="U3" s="3">
        <f t="shared" si="7"/>
        <v>18.172958341179239</v>
      </c>
      <c r="V3" s="3">
        <f>MAX($AB$38*LN(C3)+$AB$39,0)</f>
        <v>0</v>
      </c>
      <c r="W3" s="3">
        <f t="shared" si="8"/>
        <v>0</v>
      </c>
      <c r="X3" s="3">
        <f t="shared" si="9"/>
        <v>0</v>
      </c>
      <c r="Y3" s="4">
        <f t="shared" si="10"/>
        <v>0</v>
      </c>
      <c r="Z3">
        <f t="shared" si="11"/>
        <v>0</v>
      </c>
      <c r="AC3" s="4"/>
      <c r="AD3" s="4"/>
      <c r="AE3" s="4"/>
      <c r="AF3" s="4"/>
      <c r="AG3" s="97"/>
      <c r="AH3" s="95">
        <f t="shared" si="12"/>
        <v>0.86787417202916883</v>
      </c>
      <c r="AI3" s="95">
        <f t="shared" si="13"/>
        <v>31.243470193050079</v>
      </c>
      <c r="AJ3" s="96">
        <f t="shared" si="14"/>
        <v>0</v>
      </c>
      <c r="AK3" s="96">
        <f t="shared" si="15"/>
        <v>-17.464104311969095</v>
      </c>
      <c r="AL3" s="96">
        <f t="shared" si="16"/>
        <v>9.0573430237926189E-2</v>
      </c>
      <c r="AM3">
        <f t="shared" si="17"/>
        <v>0</v>
      </c>
    </row>
    <row r="4" spans="1:39" x14ac:dyDescent="0.3">
      <c r="B4" s="98">
        <f>C4/180+1</f>
        <v>1.2777777777777777</v>
      </c>
      <c r="C4" s="99">
        <v>50</v>
      </c>
      <c r="D4" s="99">
        <v>3.0000000000000001E-3</v>
      </c>
      <c r="E4" s="99">
        <v>13.8</v>
      </c>
      <c r="F4" s="106">
        <v>0.43</v>
      </c>
      <c r="G4" s="99">
        <v>6700</v>
      </c>
      <c r="H4" s="105">
        <v>100000000</v>
      </c>
      <c r="I4" s="100">
        <v>0</v>
      </c>
      <c r="J4" s="2">
        <f>E4*F4</f>
        <v>5.9340000000000002</v>
      </c>
      <c r="K4" s="1">
        <f t="shared" si="1"/>
        <v>50</v>
      </c>
      <c r="L4" s="1">
        <f>LN(K4)</f>
        <v>3.912023005428146</v>
      </c>
      <c r="M4" s="3">
        <f t="shared" ref="M4:N9" si="18">1/G4/0.000001</f>
        <v>149.25373134328359</v>
      </c>
      <c r="N4" s="3">
        <f t="shared" si="18"/>
        <v>0.01</v>
      </c>
      <c r="O4" s="3">
        <f t="shared" ref="O4:P9" si="19">M4*60/$AB$16</f>
        <v>4477.6119402985078</v>
      </c>
      <c r="P4" s="3">
        <f t="shared" si="19"/>
        <v>0.3</v>
      </c>
      <c r="Q4" s="3">
        <f t="shared" ref="Q4:R10" si="20">O4/$AB$24*100</f>
        <v>19.278606965174134</v>
      </c>
      <c r="R4" s="3">
        <f t="shared" si="20"/>
        <v>1.2916666666666669E-3</v>
      </c>
      <c r="S4" s="3">
        <f t="shared" ref="S4:S10" si="21">P4*$AE$35+$AE$36</f>
        <v>4221.1267517358783</v>
      </c>
      <c r="T4" s="3">
        <f t="shared" ref="T4:T10" si="22">K4</f>
        <v>50</v>
      </c>
      <c r="U4" s="3">
        <f t="shared" ref="U4:U9" si="23">S4/$AB$24*100</f>
        <v>18.174295736640588</v>
      </c>
      <c r="V4" s="3">
        <f t="shared" ref="V4:V9" si="24">MAX($AB$38*LN(C4)+$AB$39,0)</f>
        <v>7405.3255760457178</v>
      </c>
      <c r="W4" s="3">
        <f t="shared" ref="W4:W10" si="25">D4*D4*$AB$35+D4*$AB$36+$AB$37</f>
        <v>22.949927272213092</v>
      </c>
      <c r="X4" s="3">
        <f t="shared" ref="X4:X10" si="26">W4/$AB$24*100</f>
        <v>9.8812186866473042E-2</v>
      </c>
      <c r="Y4" s="4">
        <f t="shared" ref="Y4:Y10" si="27">J4</f>
        <v>5.9340000000000002</v>
      </c>
      <c r="Z4">
        <f>Y4*0.001341022</f>
        <v>7.9576245480000012E-3</v>
      </c>
      <c r="AA4">
        <f>Z4/O4*5252</f>
        <v>9.3338691881614411E-3</v>
      </c>
      <c r="AB4">
        <f>-AA4/2/O4</f>
        <v>-1.0422820593446941E-6</v>
      </c>
      <c r="AC4" s="4"/>
      <c r="AD4" s="4"/>
      <c r="AE4" s="4"/>
      <c r="AF4" s="4"/>
      <c r="AG4" s="97"/>
      <c r="AH4" s="95">
        <f t="shared" si="12"/>
        <v>1.3888888888888888</v>
      </c>
      <c r="AI4" s="95">
        <f t="shared" si="13"/>
        <v>50</v>
      </c>
      <c r="AJ4" s="96">
        <f t="shared" si="14"/>
        <v>31.884040674641287</v>
      </c>
      <c r="AK4" s="96">
        <f t="shared" si="15"/>
        <v>13.293853099380838</v>
      </c>
      <c r="AL4" s="96">
        <f t="shared" si="16"/>
        <v>31.93745289517512</v>
      </c>
      <c r="AM4">
        <f t="shared" si="17"/>
        <v>13.293853099380838</v>
      </c>
    </row>
    <row r="5" spans="1:39" ht="15" customHeight="1" x14ac:dyDescent="0.3">
      <c r="B5" s="98">
        <f t="shared" ref="B5:B10" si="28">C5/180+1</f>
        <v>1.2944444444444445</v>
      </c>
      <c r="C5" s="73">
        <v>53</v>
      </c>
      <c r="D5" s="99">
        <v>3.0000000000000001E-3</v>
      </c>
      <c r="E5" s="73">
        <v>13.8</v>
      </c>
      <c r="F5" s="107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53</v>
      </c>
      <c r="L5" s="1">
        <f t="shared" ref="L5:L10" si="29">LN(K5)</f>
        <v>3.970291913552122</v>
      </c>
      <c r="M5" s="3">
        <f t="shared" si="18"/>
        <v>216.45021645021646</v>
      </c>
      <c r="N5" s="3">
        <f t="shared" si="18"/>
        <v>0.01</v>
      </c>
      <c r="O5" s="3">
        <f t="shared" si="19"/>
        <v>6493.5064935064938</v>
      </c>
      <c r="P5" s="3">
        <f t="shared" si="19"/>
        <v>0.3</v>
      </c>
      <c r="Q5" s="3">
        <f t="shared" si="20"/>
        <v>27.958152958152958</v>
      </c>
      <c r="R5" s="3">
        <f t="shared" si="20"/>
        <v>1.2916666666666669E-3</v>
      </c>
      <c r="S5" s="3">
        <f t="shared" si="21"/>
        <v>4221.1267517358783</v>
      </c>
      <c r="T5" s="3">
        <f t="shared" si="22"/>
        <v>53</v>
      </c>
      <c r="U5" s="3">
        <f t="shared" si="23"/>
        <v>18.174295736640588</v>
      </c>
      <c r="V5" s="3">
        <f t="shared" si="24"/>
        <v>8322.9960747101359</v>
      </c>
      <c r="W5" s="3">
        <f t="shared" si="25"/>
        <v>22.949927272213092</v>
      </c>
      <c r="X5" s="3">
        <f t="shared" si="26"/>
        <v>9.8812186866473042E-2</v>
      </c>
      <c r="Y5" s="4">
        <f t="shared" si="27"/>
        <v>7.3968000000000007</v>
      </c>
      <c r="Z5">
        <f>Y5*0.001341022</f>
        <v>9.9192715296000013E-3</v>
      </c>
      <c r="AA5">
        <f>Z5/O5*5252</f>
        <v>8.022786167312718E-3</v>
      </c>
      <c r="AB5">
        <f>-AA5/2/O5</f>
        <v>-6.1775453488307925E-7</v>
      </c>
      <c r="AG5" s="97"/>
      <c r="AH5" s="95">
        <f t="shared" si="12"/>
        <v>1.4722222222222223</v>
      </c>
      <c r="AI5" s="95">
        <f t="shared" si="13"/>
        <v>53</v>
      </c>
      <c r="AJ5" s="96">
        <f t="shared" si="14"/>
        <v>35.83512198833531</v>
      </c>
      <c r="AK5" s="96">
        <f t="shared" si="15"/>
        <v>17.105389786825761</v>
      </c>
      <c r="AL5" s="96">
        <f t="shared" si="16"/>
        <v>35.883929178949813</v>
      </c>
      <c r="AM5">
        <f t="shared" si="17"/>
        <v>17.105389786825761</v>
      </c>
    </row>
    <row r="6" spans="1:39" ht="13.95" customHeight="1" x14ac:dyDescent="0.3">
      <c r="B6" s="98">
        <f t="shared" si="28"/>
        <v>1.3555555555555556</v>
      </c>
      <c r="C6" s="73">
        <v>64</v>
      </c>
      <c r="D6" s="73">
        <v>0.98599999999999999</v>
      </c>
      <c r="E6" s="73">
        <v>13.69</v>
      </c>
      <c r="F6" s="73">
        <v>2.19</v>
      </c>
      <c r="G6" s="73">
        <v>2680</v>
      </c>
      <c r="H6" s="73">
        <v>4532</v>
      </c>
      <c r="I6" s="78">
        <v>6.04</v>
      </c>
      <c r="J6" s="2">
        <f t="shared" ref="J6:J9" si="30">E6*F6</f>
        <v>29.981099999999998</v>
      </c>
      <c r="K6" s="1">
        <f t="shared" si="1"/>
        <v>64</v>
      </c>
      <c r="L6" s="1">
        <f t="shared" si="29"/>
        <v>4.1588830833596715</v>
      </c>
      <c r="M6" s="3">
        <f t="shared" si="18"/>
        <v>373.13432835820896</v>
      </c>
      <c r="N6" s="3">
        <f t="shared" si="18"/>
        <v>220.65313327449252</v>
      </c>
      <c r="O6" s="3">
        <f t="shared" si="19"/>
        <v>11194.029850746268</v>
      </c>
      <c r="P6" s="3">
        <f t="shared" si="19"/>
        <v>6619.5939982347754</v>
      </c>
      <c r="Q6" s="3">
        <f t="shared" si="20"/>
        <v>48.196517412935322</v>
      </c>
      <c r="R6" s="3">
        <f t="shared" si="20"/>
        <v>28.50102971462195</v>
      </c>
      <c r="S6" s="3">
        <f t="shared" si="21"/>
        <v>11074.763203777286</v>
      </c>
      <c r="T6" s="3">
        <f t="shared" si="22"/>
        <v>64</v>
      </c>
      <c r="U6" s="3">
        <f t="shared" si="23"/>
        <v>47.683008238485534</v>
      </c>
      <c r="V6" s="3">
        <f t="shared" si="24"/>
        <v>11293.097255819957</v>
      </c>
      <c r="W6" s="3">
        <f t="shared" si="25"/>
        <v>7115.8960653612357</v>
      </c>
      <c r="X6" s="3">
        <f t="shared" si="26"/>
        <v>30.637885836971989</v>
      </c>
      <c r="Y6" s="4">
        <f t="shared" si="27"/>
        <v>29.981099999999998</v>
      </c>
      <c r="Z6">
        <f t="shared" ref="Z6:Z9" si="31">Y6*0.001341022</f>
        <v>4.0205314684200001E-2</v>
      </c>
      <c r="AA6">
        <f t="shared" ref="AA6:AA9" si="32">Z6/O6*5252</f>
        <v>1.8863475936446713E-2</v>
      </c>
      <c r="AB6">
        <f t="shared" ref="AB6:AB9" si="33">-AA6/2/O6</f>
        <v>-8.4256859182795319E-7</v>
      </c>
      <c r="AC6">
        <v>0.18</v>
      </c>
      <c r="AD6">
        <f t="shared" ref="AD6:AD8" si="34">-AC6*AB6</f>
        <v>1.5166234652903156E-7</v>
      </c>
      <c r="AE6">
        <f t="shared" ref="AE6:AE8" si="35">AD6/6.66*2048.5</f>
        <v>4.6648696225934108E-5</v>
      </c>
      <c r="AF6">
        <f t="shared" ref="AF6:AF8" si="36">AE6*144</f>
        <v>6.7174122565345114E-3</v>
      </c>
      <c r="AG6" s="97"/>
      <c r="AH6" s="95">
        <f t="shared" si="12"/>
        <v>1.7777777777777779</v>
      </c>
      <c r="AI6" s="95">
        <f t="shared" si="13"/>
        <v>64</v>
      </c>
      <c r="AJ6" s="96">
        <f t="shared" si="14"/>
        <v>48.623057629224817</v>
      </c>
      <c r="AK6" s="96">
        <f t="shared" si="15"/>
        <v>29.441680027930484</v>
      </c>
      <c r="AL6" s="96">
        <f t="shared" si="16"/>
        <v>48.65696033634292</v>
      </c>
      <c r="AM6">
        <f t="shared" si="17"/>
        <v>29.441680027930484</v>
      </c>
    </row>
    <row r="7" spans="1:39" ht="13.95" customHeight="1" x14ac:dyDescent="0.3">
      <c r="B7" s="98">
        <f t="shared" si="28"/>
        <v>1.5</v>
      </c>
      <c r="C7" s="73">
        <v>90</v>
      </c>
      <c r="D7" s="73">
        <v>1.81</v>
      </c>
      <c r="E7" s="73">
        <v>13.45</v>
      </c>
      <c r="F7" s="73">
        <v>6.61</v>
      </c>
      <c r="G7" s="73">
        <v>1770</v>
      </c>
      <c r="H7" s="73">
        <v>2400</v>
      </c>
      <c r="I7" s="78">
        <v>10.8</v>
      </c>
      <c r="J7" s="2">
        <f t="shared" si="30"/>
        <v>88.904499999999999</v>
      </c>
      <c r="K7" s="1">
        <f t="shared" si="1"/>
        <v>90</v>
      </c>
      <c r="L7" s="1">
        <f t="shared" si="29"/>
        <v>4.499809670330265</v>
      </c>
      <c r="M7" s="3">
        <f t="shared" si="18"/>
        <v>564.9717514124294</v>
      </c>
      <c r="N7" s="3">
        <f t="shared" si="18"/>
        <v>416.66666666666669</v>
      </c>
      <c r="O7" s="3">
        <f t="shared" si="19"/>
        <v>16949.152542372882</v>
      </c>
      <c r="P7" s="3">
        <f t="shared" si="19"/>
        <v>12500</v>
      </c>
      <c r="Q7" s="3">
        <f t="shared" si="20"/>
        <v>72.975517890772139</v>
      </c>
      <c r="R7" s="3">
        <f t="shared" si="20"/>
        <v>53.81944444444445</v>
      </c>
      <c r="S7" s="3">
        <f t="shared" si="21"/>
        <v>17163.352853556997</v>
      </c>
      <c r="T7" s="3">
        <f t="shared" si="22"/>
        <v>90</v>
      </c>
      <c r="U7" s="3">
        <f t="shared" si="23"/>
        <v>73.89776923059263</v>
      </c>
      <c r="V7" s="3">
        <f t="shared" si="24"/>
        <v>16662.311836048742</v>
      </c>
      <c r="W7" s="3">
        <f t="shared" si="25"/>
        <v>12405.622415013229</v>
      </c>
      <c r="X7" s="3">
        <f t="shared" si="26"/>
        <v>53.413096509084745</v>
      </c>
      <c r="Y7" s="4">
        <f t="shared" si="27"/>
        <v>88.904499999999999</v>
      </c>
      <c r="Z7">
        <f t="shared" si="31"/>
        <v>0.11922289039900001</v>
      </c>
      <c r="AA7">
        <f t="shared" si="32"/>
        <v>3.6943358602157333E-2</v>
      </c>
      <c r="AB7">
        <f t="shared" si="33"/>
        <v>-1.0898290787636412E-6</v>
      </c>
      <c r="AC7">
        <v>0.18</v>
      </c>
      <c r="AD7">
        <f t="shared" si="34"/>
        <v>1.961692341774554E-7</v>
      </c>
      <c r="AE7">
        <f t="shared" si="35"/>
        <v>6.0338239671549158E-5</v>
      </c>
      <c r="AF7">
        <f t="shared" si="36"/>
        <v>8.6887065127030788E-3</v>
      </c>
      <c r="AG7" s="97"/>
      <c r="AH7" s="95">
        <f t="shared" si="12"/>
        <v>2.5</v>
      </c>
      <c r="AI7" s="95">
        <f t="shared" si="13"/>
        <v>90</v>
      </c>
      <c r="AJ7" s="96">
        <f t="shared" si="14"/>
        <v>71.740509294098757</v>
      </c>
      <c r="AK7" s="96">
        <f t="shared" si="15"/>
        <v>51.742667566585126</v>
      </c>
      <c r="AL7" s="96">
        <f t="shared" si="16"/>
        <v>71.747468350068345</v>
      </c>
      <c r="AM7">
        <f t="shared" si="17"/>
        <v>51.742667566585126</v>
      </c>
    </row>
    <row r="8" spans="1:39" ht="13.95" customHeight="1" x14ac:dyDescent="0.3">
      <c r="B8" s="98">
        <f t="shared" si="28"/>
        <v>1.6666666666666665</v>
      </c>
      <c r="C8" s="73">
        <v>120</v>
      </c>
      <c r="D8" s="73">
        <v>2.35</v>
      </c>
      <c r="E8" s="73">
        <v>13.12</v>
      </c>
      <c r="F8" s="73">
        <v>12.89</v>
      </c>
      <c r="G8" s="73">
        <v>1440</v>
      </c>
      <c r="H8" s="73">
        <v>1861</v>
      </c>
      <c r="I8" s="78">
        <v>14.4</v>
      </c>
      <c r="J8" s="2">
        <f t="shared" si="30"/>
        <v>169.11679999999998</v>
      </c>
      <c r="K8" s="1">
        <f t="shared" si="1"/>
        <v>120</v>
      </c>
      <c r="L8" s="1">
        <f t="shared" si="29"/>
        <v>4.7874917427820458</v>
      </c>
      <c r="M8" s="3">
        <f t="shared" si="18"/>
        <v>694.44444444444446</v>
      </c>
      <c r="N8" s="3">
        <f t="shared" si="18"/>
        <v>537.34551316496515</v>
      </c>
      <c r="O8" s="3">
        <f t="shared" si="19"/>
        <v>20833.333333333332</v>
      </c>
      <c r="P8" s="3">
        <f t="shared" si="19"/>
        <v>16120.365394948954</v>
      </c>
      <c r="Q8" s="3">
        <f t="shared" si="20"/>
        <v>89.699074074074076</v>
      </c>
      <c r="R8" s="3">
        <f t="shared" si="20"/>
        <v>69.407128783808005</v>
      </c>
      <c r="S8" s="3">
        <f t="shared" si="21"/>
        <v>20911.889819455238</v>
      </c>
      <c r="T8" s="3">
        <f t="shared" si="22"/>
        <v>120</v>
      </c>
      <c r="U8" s="3">
        <f t="shared" si="23"/>
        <v>90.037303389321181</v>
      </c>
      <c r="V8" s="3">
        <f t="shared" si="24"/>
        <v>21192.984528970075</v>
      </c>
      <c r="W8" s="3">
        <f t="shared" si="25"/>
        <v>15547.712649536703</v>
      </c>
      <c r="X8" s="3">
        <f t="shared" si="26"/>
        <v>66.941540574394139</v>
      </c>
      <c r="Y8" s="4">
        <f t="shared" si="27"/>
        <v>169.11679999999998</v>
      </c>
      <c r="Z8">
        <f t="shared" si="31"/>
        <v>0.22678934936959999</v>
      </c>
      <c r="AA8">
        <f t="shared" si="32"/>
        <v>5.717268781867868E-2</v>
      </c>
      <c r="AB8">
        <f t="shared" si="33"/>
        <v>-1.3721445076482885E-6</v>
      </c>
      <c r="AC8">
        <v>0.14000000000000001</v>
      </c>
      <c r="AD8">
        <f t="shared" si="34"/>
        <v>1.9210023107076041E-7</v>
      </c>
      <c r="AE8">
        <f t="shared" si="35"/>
        <v>5.9086685187455361E-5</v>
      </c>
      <c r="AF8">
        <f t="shared" si="36"/>
        <v>8.5084826669935727E-3</v>
      </c>
      <c r="AG8" s="97"/>
      <c r="AH8" s="95">
        <f t="shared" si="12"/>
        <v>3.333333333333333</v>
      </c>
      <c r="AI8" s="95">
        <f t="shared" si="13"/>
        <v>120</v>
      </c>
      <c r="AJ8" s="96">
        <f t="shared" si="14"/>
        <v>91.247572277510045</v>
      </c>
      <c r="AK8" s="96">
        <f t="shared" si="15"/>
        <v>70.560778438633051</v>
      </c>
      <c r="AL8" s="96">
        <f t="shared" si="16"/>
        <v>91.231795631137672</v>
      </c>
      <c r="AM8">
        <f t="shared" si="17"/>
        <v>70.560778438633051</v>
      </c>
    </row>
    <row r="9" spans="1:39" ht="13.95" customHeight="1" thickBot="1" x14ac:dyDescent="0.35">
      <c r="B9" s="98">
        <f t="shared" si="28"/>
        <v>1.75</v>
      </c>
      <c r="C9" s="80">
        <v>135</v>
      </c>
      <c r="D9" s="80">
        <v>2.91</v>
      </c>
      <c r="E9" s="80">
        <v>12.75</v>
      </c>
      <c r="F9" s="80">
        <v>18.95</v>
      </c>
      <c r="G9" s="80">
        <v>1292</v>
      </c>
      <c r="H9" s="80">
        <v>1650</v>
      </c>
      <c r="I9" s="81">
        <v>15.8</v>
      </c>
      <c r="J9" s="2">
        <f t="shared" si="30"/>
        <v>241.61249999999998</v>
      </c>
      <c r="K9" s="1">
        <f t="shared" si="1"/>
        <v>135</v>
      </c>
      <c r="L9" s="1">
        <f t="shared" si="29"/>
        <v>4.9052747784384296</v>
      </c>
      <c r="M9" s="3">
        <f t="shared" si="18"/>
        <v>773.99380804953569</v>
      </c>
      <c r="N9" s="3">
        <f t="shared" si="18"/>
        <v>606.06060606060612</v>
      </c>
      <c r="O9" s="3">
        <f t="shared" si="19"/>
        <v>23219.81424148607</v>
      </c>
      <c r="P9" s="3">
        <f t="shared" si="19"/>
        <v>18181.818181818184</v>
      </c>
      <c r="Q9" s="3">
        <f t="shared" si="20"/>
        <v>99.974200206398365</v>
      </c>
      <c r="R9" s="3">
        <f t="shared" si="20"/>
        <v>78.282828282828305</v>
      </c>
      <c r="S9" s="3">
        <f t="shared" si="21"/>
        <v>23046.324091149028</v>
      </c>
      <c r="T9" s="3">
        <f t="shared" si="22"/>
        <v>135</v>
      </c>
      <c r="U9" s="3">
        <f t="shared" si="23"/>
        <v>99.227228725780549</v>
      </c>
      <c r="V9" s="3">
        <f t="shared" si="24"/>
        <v>23047.936347099792</v>
      </c>
      <c r="W9" s="3">
        <f t="shared" si="25"/>
        <v>18534.809089845043</v>
      </c>
      <c r="X9" s="3">
        <f t="shared" si="26"/>
        <v>79.802650247943944</v>
      </c>
      <c r="Y9" s="4">
        <f t="shared" si="27"/>
        <v>241.61249999999998</v>
      </c>
      <c r="Z9">
        <f t="shared" si="31"/>
        <v>0.32400767797500002</v>
      </c>
      <c r="AA9">
        <f t="shared" si="32"/>
        <v>7.3286043851477078E-2</v>
      </c>
      <c r="AB9">
        <f t="shared" si="33"/>
        <v>-1.5780928109351396E-6</v>
      </c>
      <c r="AG9" s="97"/>
      <c r="AH9" s="95">
        <f t="shared" si="12"/>
        <v>3.75</v>
      </c>
      <c r="AI9" s="95">
        <f t="shared" si="13"/>
        <v>135</v>
      </c>
      <c r="AJ9" s="96">
        <f t="shared" si="14"/>
        <v>99.234170383346324</v>
      </c>
      <c r="AK9" s="96">
        <f t="shared" si="15"/>
        <v>78.265305192554095</v>
      </c>
      <c r="AL9" s="96">
        <f t="shared" si="16"/>
        <v>99.209085266631007</v>
      </c>
      <c r="AM9">
        <f t="shared" si="17"/>
        <v>78.265305192554095</v>
      </c>
    </row>
    <row r="10" spans="1:39" ht="13.95" customHeight="1" x14ac:dyDescent="0.3">
      <c r="B10" s="110">
        <f t="shared" si="28"/>
        <v>2</v>
      </c>
      <c r="C10" s="1">
        <v>180</v>
      </c>
      <c r="K10" s="1">
        <f t="shared" si="1"/>
        <v>180</v>
      </c>
      <c r="L10" s="1">
        <f t="shared" si="29"/>
        <v>5.1929568508902104</v>
      </c>
      <c r="O10" s="3">
        <f>AJ10*$AI$20</f>
        <v>27578.609040021125</v>
      </c>
      <c r="P10" s="3">
        <f>N10*60/$AB$16</f>
        <v>0</v>
      </c>
      <c r="Q10" s="3">
        <f t="shared" si="20"/>
        <v>118.74123336675764</v>
      </c>
      <c r="R10" s="3">
        <f t="shared" si="20"/>
        <v>0</v>
      </c>
      <c r="S10" s="3">
        <f t="shared" si="21"/>
        <v>4220.8161308545332</v>
      </c>
      <c r="T10" s="1">
        <f t="shared" si="22"/>
        <v>180</v>
      </c>
      <c r="V10" s="1">
        <f>$AB$38*LN(C10)+$AB$39</f>
        <v>27578.609040021125</v>
      </c>
      <c r="W10" s="3">
        <f t="shared" si="25"/>
        <v>0</v>
      </c>
      <c r="X10" s="3">
        <f t="shared" si="26"/>
        <v>0</v>
      </c>
      <c r="Y10" s="4">
        <f t="shared" si="27"/>
        <v>0</v>
      </c>
      <c r="Z10">
        <f t="shared" ref="Z10" si="37">Y10*0.001341022</f>
        <v>0</v>
      </c>
      <c r="AG10" s="97"/>
      <c r="AH10" s="95">
        <f t="shared" si="12"/>
        <v>5</v>
      </c>
      <c r="AI10" s="95">
        <f t="shared" si="13"/>
        <v>180</v>
      </c>
      <c r="AJ10" s="96">
        <f t="shared" si="14"/>
        <v>118.74123336675763</v>
      </c>
      <c r="AK10" s="96">
        <f t="shared" si="15"/>
        <v>97.083416064602019</v>
      </c>
      <c r="AL10" s="96">
        <f t="shared" si="16"/>
        <v>118.69341254770035</v>
      </c>
      <c r="AM10">
        <f t="shared" si="17"/>
        <v>97.083416064602019</v>
      </c>
    </row>
    <row r="11" spans="1:39" ht="13.95" customHeight="1" x14ac:dyDescent="0.3">
      <c r="W11" s="3"/>
      <c r="X11" s="3"/>
    </row>
    <row r="12" spans="1:39" ht="13.95" customHeight="1" x14ac:dyDescent="0.3">
      <c r="AC12" t="s">
        <v>65</v>
      </c>
      <c r="AD12">
        <f>AVERAGE(AD6:AD8)</f>
        <v>1.7997727059241579E-7</v>
      </c>
      <c r="AE12">
        <f>AVERAGE(AE6:AE8)</f>
        <v>5.5357873694979535E-5</v>
      </c>
      <c r="AF12">
        <f>AVERAGE(AF6:AF8)</f>
        <v>7.9715338120770543E-3</v>
      </c>
      <c r="AG12" s="97"/>
      <c r="AH12" s="97"/>
      <c r="AI12" s="97"/>
      <c r="AJ12" s="97"/>
    </row>
    <row r="13" spans="1:39" ht="13.95" customHeight="1" x14ac:dyDescent="0.3"/>
    <row r="14" spans="1:39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39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AA15" t="s">
        <v>44</v>
      </c>
      <c r="AD15" t="s">
        <v>45</v>
      </c>
      <c r="AG15" s="30"/>
      <c r="AH15" s="5" t="s">
        <v>74</v>
      </c>
      <c r="AI15" s="5"/>
      <c r="AJ15" s="5"/>
      <c r="AK15" s="5"/>
    </row>
    <row r="16" spans="1:39" ht="13.95" customHeight="1" x14ac:dyDescent="0.3">
      <c r="A16" s="3" t="s">
        <v>40</v>
      </c>
      <c r="B16" s="11" t="s">
        <v>41</v>
      </c>
      <c r="C16" s="12"/>
      <c r="D16" s="12"/>
      <c r="E16" s="6"/>
      <c r="F16" s="6"/>
      <c r="G16" s="6"/>
      <c r="H16" s="6"/>
      <c r="I16" s="6"/>
      <c r="J16" s="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AA16" s="17" t="s">
        <v>3</v>
      </c>
      <c r="AB16" s="18">
        <v>2</v>
      </c>
      <c r="AD16" s="17"/>
      <c r="AE16" s="23" t="s">
        <v>32</v>
      </c>
      <c r="AF16" s="7"/>
      <c r="AG16" s="30"/>
      <c r="AH16" s="62" t="s">
        <v>24</v>
      </c>
      <c r="AI16" s="63">
        <f>AB29</f>
        <v>5</v>
      </c>
      <c r="AJ16" s="64"/>
      <c r="AK16" s="29"/>
    </row>
    <row r="17" spans="1:37" x14ac:dyDescent="0.3">
      <c r="A17" s="3"/>
      <c r="B17" s="13" t="s">
        <v>42</v>
      </c>
      <c r="C17" s="14"/>
      <c r="D17" s="14"/>
      <c r="E17" s="6"/>
      <c r="F17" s="6"/>
      <c r="G17" s="6"/>
      <c r="H17" s="6"/>
      <c r="I17" s="6"/>
      <c r="J17" s="2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AA17" s="19" t="s">
        <v>4</v>
      </c>
      <c r="AB17" s="20">
        <v>4800</v>
      </c>
      <c r="AD17" s="24" t="s">
        <v>25</v>
      </c>
      <c r="AE17" s="25">
        <v>0</v>
      </c>
      <c r="AG17" s="30"/>
      <c r="AH17" s="65" t="s">
        <v>23</v>
      </c>
      <c r="AI17" s="66">
        <f>AB28</f>
        <v>0</v>
      </c>
      <c r="AJ17" s="45"/>
      <c r="AK17" s="31"/>
    </row>
    <row r="18" spans="1:37" ht="13.95" customHeight="1" thickBot="1" x14ac:dyDescent="0.35">
      <c r="A18" s="3"/>
      <c r="B18" s="15" t="s">
        <v>43</v>
      </c>
      <c r="C18" s="16"/>
      <c r="D18" s="16"/>
      <c r="E18" s="6"/>
      <c r="F18" s="6"/>
      <c r="G18" s="6"/>
      <c r="H18" s="6"/>
      <c r="I18" s="6"/>
      <c r="J18" s="2"/>
      <c r="M18" s="3"/>
      <c r="N18" s="3"/>
      <c r="O18" s="3"/>
      <c r="P18" s="2"/>
      <c r="Q18" s="3"/>
      <c r="R18" s="3"/>
      <c r="S18" s="3"/>
      <c r="T18" s="3"/>
      <c r="Y18" s="3"/>
      <c r="AA18" s="21" t="s">
        <v>5</v>
      </c>
      <c r="AB18" s="22">
        <v>12</v>
      </c>
      <c r="AD18" s="26" t="s">
        <v>26</v>
      </c>
      <c r="AE18" s="27">
        <v>5</v>
      </c>
      <c r="AG18" s="30"/>
      <c r="AH18" s="65" t="s">
        <v>26</v>
      </c>
      <c r="AI18" s="66">
        <f>AE18</f>
        <v>5</v>
      </c>
      <c r="AJ18" s="30"/>
      <c r="AK18" s="31"/>
    </row>
    <row r="19" spans="1:37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M19" s="3"/>
      <c r="N19" s="3"/>
      <c r="O19" s="3"/>
      <c r="P19" s="3"/>
      <c r="Q19" s="3"/>
      <c r="R19" s="3"/>
      <c r="S19" s="3"/>
      <c r="T19" s="3"/>
      <c r="Y19" s="3"/>
      <c r="AG19" s="30"/>
      <c r="AH19" s="65" t="s">
        <v>25</v>
      </c>
      <c r="AI19" s="66">
        <f>AE17</f>
        <v>0</v>
      </c>
      <c r="AJ19" s="30"/>
      <c r="AK19" s="31"/>
    </row>
    <row r="20" spans="1:37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M20" s="3"/>
      <c r="N20" s="3"/>
      <c r="O20" s="3"/>
      <c r="P20" s="3"/>
      <c r="Q20" s="3"/>
      <c r="R20" s="3"/>
      <c r="S20" s="3"/>
      <c r="T20" s="3"/>
      <c r="Y20" s="3"/>
      <c r="AA20" t="s">
        <v>47</v>
      </c>
      <c r="AG20" s="94" t="s">
        <v>71</v>
      </c>
      <c r="AH20" s="65" t="s">
        <v>39</v>
      </c>
      <c r="AI20" s="66">
        <f>AB24/100</f>
        <v>232.25806451612902</v>
      </c>
      <c r="AJ20" s="30"/>
      <c r="AK20" s="31"/>
    </row>
    <row r="21" spans="1:37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M21" s="3"/>
      <c r="N21" s="3"/>
      <c r="O21" s="3"/>
      <c r="P21" s="3"/>
      <c r="Q21" s="3"/>
      <c r="R21" s="3"/>
      <c r="S21" s="3"/>
      <c r="T21" s="3"/>
      <c r="U21" s="3"/>
      <c r="W21" s="3"/>
      <c r="X21" s="3"/>
      <c r="Y21" s="3"/>
      <c r="AA21" s="34">
        <v>240</v>
      </c>
      <c r="AB21" s="35" t="s">
        <v>46</v>
      </c>
      <c r="AC21" s="36"/>
      <c r="AD21" s="35"/>
      <c r="AE21" s="35"/>
      <c r="AF21" s="37"/>
      <c r="AH21" s="65" t="s">
        <v>27</v>
      </c>
      <c r="AI21" s="66">
        <f>AD29</f>
        <v>180</v>
      </c>
      <c r="AJ21" s="30"/>
      <c r="AK21" s="31"/>
    </row>
    <row r="22" spans="1:37" x14ac:dyDescent="0.3">
      <c r="B22" s="5"/>
      <c r="C22" s="6"/>
      <c r="D22" s="6"/>
      <c r="E22" s="6"/>
      <c r="F22" s="6"/>
      <c r="G22" s="6"/>
      <c r="H22" s="6"/>
      <c r="I22" s="6"/>
      <c r="J22" s="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AA22" s="8"/>
      <c r="AC22" s="8"/>
      <c r="AD22" s="8"/>
      <c r="AH22" s="65" t="s">
        <v>22</v>
      </c>
      <c r="AI22" s="66">
        <f>AD28</f>
        <v>0</v>
      </c>
      <c r="AJ22" s="30"/>
      <c r="AK22" s="31"/>
    </row>
    <row r="23" spans="1:37" ht="15" thickBot="1" x14ac:dyDescent="0.35">
      <c r="C23" s="6"/>
      <c r="D23" s="6"/>
      <c r="E23" s="6"/>
      <c r="F23" s="6"/>
      <c r="G23" s="6"/>
      <c r="H23" s="6"/>
      <c r="I23" s="6"/>
      <c r="J23" s="2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AA23" t="s">
        <v>48</v>
      </c>
      <c r="AH23" s="65" t="s">
        <v>18</v>
      </c>
      <c r="AI23" s="66">
        <f>AB37</f>
        <v>0</v>
      </c>
      <c r="AJ23" s="67">
        <f>AB36</f>
        <v>7651.2973524040635</v>
      </c>
      <c r="AK23" s="68">
        <f>AB35</f>
        <v>-440.53166656638234</v>
      </c>
    </row>
    <row r="24" spans="1:37" ht="15" thickBot="1" x14ac:dyDescent="0.35">
      <c r="AA24" s="38" t="s">
        <v>6</v>
      </c>
      <c r="AB24" s="39">
        <f>AB17*AB18/AC24</f>
        <v>23225.806451612902</v>
      </c>
      <c r="AC24" s="40">
        <v>2.48</v>
      </c>
      <c r="AD24" s="35" t="s">
        <v>14</v>
      </c>
      <c r="AE24" s="41"/>
      <c r="AH24" s="65" t="s">
        <v>30</v>
      </c>
      <c r="AI24" s="66">
        <f>AB39</f>
        <v>-54204.685968014324</v>
      </c>
      <c r="AJ24" s="67">
        <f>AB38</f>
        <v>15748.887841041011</v>
      </c>
      <c r="AK24" s="31"/>
    </row>
    <row r="25" spans="1:37" x14ac:dyDescent="0.3">
      <c r="AH25" s="65" t="s">
        <v>20</v>
      </c>
      <c r="AI25" s="66">
        <f>AE38</f>
        <v>-4056.179066005725</v>
      </c>
      <c r="AJ25" s="69">
        <f>AE37</f>
        <v>0.96468191485569854</v>
      </c>
      <c r="AK25" s="31"/>
    </row>
    <row r="26" spans="1:37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6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AA26" t="s">
        <v>49</v>
      </c>
      <c r="AH26" s="70" t="s">
        <v>21</v>
      </c>
      <c r="AI26" s="71">
        <f>AE36</f>
        <v>4220.8161308545332</v>
      </c>
      <c r="AJ26" s="72">
        <f>AE35</f>
        <v>1.0354029378161971</v>
      </c>
      <c r="AK26" s="33"/>
    </row>
    <row r="27" spans="1:37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6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AA27" s="17"/>
      <c r="AB27" s="42" t="s">
        <v>28</v>
      </c>
      <c r="AC27" s="28"/>
      <c r="AD27" s="42" t="s">
        <v>29</v>
      </c>
      <c r="AE27" s="29" t="s">
        <v>50</v>
      </c>
    </row>
    <row r="28" spans="1:37" x14ac:dyDescent="0.3">
      <c r="C28" s="6"/>
      <c r="D28" s="6"/>
      <c r="E28" s="6"/>
      <c r="F28" s="6"/>
      <c r="G28" s="6"/>
      <c r="H28" s="6"/>
      <c r="I28" s="6"/>
      <c r="J28" s="9"/>
      <c r="K28" s="6"/>
      <c r="L28" s="6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AA28" s="57" t="s">
        <v>23</v>
      </c>
      <c r="AB28" s="58">
        <v>0</v>
      </c>
      <c r="AC28" s="45" t="s">
        <v>22</v>
      </c>
      <c r="AD28" s="59">
        <v>0</v>
      </c>
      <c r="AE28" s="89">
        <f>AE38/AB24*100</f>
        <v>-17.464104311969095</v>
      </c>
      <c r="AF28" t="s">
        <v>70</v>
      </c>
    </row>
    <row r="29" spans="1:37" x14ac:dyDescent="0.3">
      <c r="B29" t="s">
        <v>72</v>
      </c>
      <c r="C29" s="6"/>
      <c r="D29" s="6"/>
      <c r="E29" s="6"/>
      <c r="F29" s="6"/>
      <c r="G29" s="6"/>
      <c r="H29" s="6"/>
      <c r="I29" s="6"/>
      <c r="J29" s="9"/>
      <c r="K29" s="6"/>
      <c r="L29" s="6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AA29" s="57" t="s">
        <v>24</v>
      </c>
      <c r="AB29" s="58">
        <v>5</v>
      </c>
      <c r="AC29" s="45" t="s">
        <v>27</v>
      </c>
      <c r="AD29" s="59">
        <v>180</v>
      </c>
      <c r="AE29" s="60">
        <v>77</v>
      </c>
    </row>
    <row r="30" spans="1:37" x14ac:dyDescent="0.3">
      <c r="B30" t="s">
        <v>67</v>
      </c>
      <c r="C30" s="6" t="s">
        <v>68</v>
      </c>
      <c r="D30" s="6" t="s">
        <v>69</v>
      </c>
      <c r="E30" s="6"/>
      <c r="F30" s="6"/>
      <c r="G30" s="6"/>
      <c r="H30" s="6"/>
      <c r="I30" s="6"/>
      <c r="J30" s="9"/>
      <c r="K30" s="6"/>
      <c r="L30" s="6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AA30" s="19"/>
      <c r="AB30" s="30" t="s">
        <v>53</v>
      </c>
      <c r="AC30" s="30"/>
      <c r="AD30" s="61"/>
      <c r="AE30" s="89">
        <f>(AE29-AE28)/(AB29-AB28)</f>
        <v>18.892820862393819</v>
      </c>
    </row>
    <row r="31" spans="1:37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6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AA31" s="19"/>
      <c r="AB31" s="30"/>
      <c r="AC31" s="30"/>
      <c r="AD31" s="61"/>
      <c r="AE31" s="89">
        <f>AE29-AE30*(AB29-AB28)</f>
        <v>-17.464104311969095</v>
      </c>
    </row>
    <row r="32" spans="1:37" ht="15" thickBot="1" x14ac:dyDescent="0.35">
      <c r="B32" s="73">
        <v>90</v>
      </c>
      <c r="C32" s="6">
        <f t="shared" ref="C32:C37" si="38">B32/180*(2.4-0.53)+0.53</f>
        <v>1.4649999999999999</v>
      </c>
      <c r="D32" s="88">
        <f t="shared" ref="D32:D37" si="39">(C32-1)*180</f>
        <v>83.699999999999974</v>
      </c>
      <c r="E32" s="6"/>
      <c r="F32" s="6"/>
      <c r="G32" s="6"/>
      <c r="H32" s="6"/>
      <c r="I32" s="6"/>
      <c r="J32" s="9"/>
      <c r="K32" s="6"/>
      <c r="L32" s="6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AA32" s="21"/>
      <c r="AB32" s="32"/>
      <c r="AC32" s="32"/>
      <c r="AD32" s="47"/>
      <c r="AE32" s="48" t="s">
        <v>19</v>
      </c>
    </row>
    <row r="33" spans="2:45" x14ac:dyDescent="0.3">
      <c r="B33" s="73">
        <v>100</v>
      </c>
      <c r="C33" s="6">
        <f t="shared" si="38"/>
        <v>1.568888888888889</v>
      </c>
      <c r="D33" s="88">
        <f t="shared" si="39"/>
        <v>102.40000000000002</v>
      </c>
      <c r="E33" s="6"/>
      <c r="F33" s="6"/>
      <c r="G33" s="6"/>
      <c r="H33" s="6"/>
      <c r="I33" s="6"/>
      <c r="J33" s="9"/>
      <c r="K33" s="6"/>
      <c r="L33" s="6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45" ht="15" thickBot="1" x14ac:dyDescent="0.35">
      <c r="B34" s="73">
        <v>110</v>
      </c>
      <c r="C34" s="6">
        <f t="shared" si="38"/>
        <v>1.6727777777777779</v>
      </c>
      <c r="D34" s="88">
        <f t="shared" si="39"/>
        <v>121.10000000000002</v>
      </c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AA34" t="s">
        <v>51</v>
      </c>
    </row>
    <row r="35" spans="2:45" x14ac:dyDescent="0.3">
      <c r="B35" s="73">
        <v>114</v>
      </c>
      <c r="C35" s="6">
        <f t="shared" si="38"/>
        <v>1.7143333333333333</v>
      </c>
      <c r="D35" s="88">
        <f t="shared" si="39"/>
        <v>128.57999999999998</v>
      </c>
      <c r="AA35" s="49" t="s">
        <v>18</v>
      </c>
      <c r="AB35" s="50">
        <f>INDEX(LINEST($P$6:$P$9,$D$6:$D$9^{1,2},FALSE,FALSE),1)</f>
        <v>-440.53166656638234</v>
      </c>
      <c r="AC35" s="28"/>
      <c r="AD35" s="51" t="s">
        <v>21</v>
      </c>
      <c r="AE35" s="52">
        <f>INDEX(LINEST($O$6:$O$9,$P$6:$P$9),1)</f>
        <v>1.0354029378161971</v>
      </c>
      <c r="AK35" s="104"/>
      <c r="AL35" s="104"/>
      <c r="AR35" s="3"/>
      <c r="AS35" s="3"/>
    </row>
    <row r="36" spans="2:45" x14ac:dyDescent="0.3">
      <c r="B36" s="73">
        <v>127.5</v>
      </c>
      <c r="C36" s="6">
        <f t="shared" si="38"/>
        <v>1.8545833333333333</v>
      </c>
      <c r="D36" s="88">
        <f t="shared" si="39"/>
        <v>153.82499999999999</v>
      </c>
      <c r="AA36" s="43"/>
      <c r="AB36" s="54">
        <f>INDEX(LINEST($P$6:$P$9,$D$6:$D$9^{1,2},FALSE,FALSE),2)</f>
        <v>7651.2973524040635</v>
      </c>
      <c r="AC36" s="30"/>
      <c r="AD36" s="44"/>
      <c r="AE36" s="46">
        <f>INDEX(LINEST($O$6:$O$9,$P$6:$P$9),2)</f>
        <v>4220.8161308545332</v>
      </c>
    </row>
    <row r="37" spans="2:45" ht="15" thickBot="1" x14ac:dyDescent="0.35">
      <c r="B37" s="80">
        <v>136.4</v>
      </c>
      <c r="C37" s="6">
        <f t="shared" si="38"/>
        <v>1.9470444444444444</v>
      </c>
      <c r="D37" s="88">
        <f t="shared" si="39"/>
        <v>170.46799999999999</v>
      </c>
      <c r="AA37" s="43"/>
      <c r="AB37" s="54">
        <f>INDEX(LINEST($P$6:$P$9,$D$6:$D$9^{1,2},FALSE,FALSE),3)</f>
        <v>0</v>
      </c>
      <c r="AC37" s="30"/>
      <c r="AD37" s="44" t="s">
        <v>20</v>
      </c>
      <c r="AE37" s="46">
        <f>INDEX(LINEST($P$6:$P$9,$O$6:$O$9),1)</f>
        <v>0.96468191485569854</v>
      </c>
    </row>
    <row r="38" spans="2:45" x14ac:dyDescent="0.3">
      <c r="AA38" s="43" t="s">
        <v>30</v>
      </c>
      <c r="AB38" s="54">
        <f>INDEX(LINEST($O$6:$O$9,$L$6:$L$9),1)</f>
        <v>15748.887841041011</v>
      </c>
      <c r="AC38" s="30"/>
      <c r="AD38" s="44"/>
      <c r="AE38" s="46">
        <f>INDEX(LINEST($P$6:$P$9,$O$6:$O$9),2)</f>
        <v>-4056.179066005725</v>
      </c>
      <c r="AF38" t="s">
        <v>78</v>
      </c>
    </row>
    <row r="39" spans="2:45" x14ac:dyDescent="0.3">
      <c r="AA39" s="43"/>
      <c r="AB39" s="54">
        <f>INDEX(LINEST($O$6:$O$9,$L$6:$L$9),2)</f>
        <v>-54204.685968014324</v>
      </c>
      <c r="AC39" s="30"/>
      <c r="AD39" s="30"/>
      <c r="AE39" s="31"/>
    </row>
    <row r="40" spans="2:45" x14ac:dyDescent="0.3">
      <c r="AA40" s="19"/>
      <c r="AB40" s="30"/>
      <c r="AC40" s="30"/>
      <c r="AD40" s="30"/>
      <c r="AE40" s="31"/>
    </row>
    <row r="41" spans="2:45" ht="15" thickBot="1" x14ac:dyDescent="0.35">
      <c r="AA41" s="112" t="s">
        <v>80</v>
      </c>
      <c r="AB41" s="113">
        <f>EXP((0-$AI$24)/$AJ$24)</f>
        <v>31.243470193050076</v>
      </c>
      <c r="AC41" s="32"/>
      <c r="AD41" s="32"/>
      <c r="AE41" s="33"/>
      <c r="AF41" t="s">
        <v>86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M6" sqref="M6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7773437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73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 t="shared" ref="X1:X9" si="0">J1</f>
        <v>Charger Pwr, W</v>
      </c>
      <c r="Y1" s="4" t="s">
        <v>58</v>
      </c>
      <c r="Z1" s="4" t="s">
        <v>59</v>
      </c>
      <c r="AA1" s="4" t="s">
        <v>60</v>
      </c>
      <c r="AB1" s="4" t="s">
        <v>61</v>
      </c>
      <c r="AC1" s="4" t="s">
        <v>62</v>
      </c>
      <c r="AD1" s="4" t="s">
        <v>63</v>
      </c>
      <c r="AE1" s="4" t="s">
        <v>64</v>
      </c>
      <c r="AF1" s="4" t="s">
        <v>76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 t="shared" ref="K2" si="1">C2</f>
        <v>47</v>
      </c>
      <c r="L2" s="3">
        <f t="shared" ref="L2:M9" si="2">1/G2/0.000001</f>
        <v>200.80321285140565</v>
      </c>
      <c r="M2" s="3">
        <f t="shared" si="2"/>
        <v>1E-10</v>
      </c>
      <c r="N2" s="3">
        <f t="shared" ref="N2:O9" si="3">L2*60/$AA$16</f>
        <v>6024.0963855421696</v>
      </c>
      <c r="O2" s="3">
        <f t="shared" si="3"/>
        <v>3E-9</v>
      </c>
      <c r="P2" s="3">
        <f t="shared" ref="P2:Q9" si="4">N2/$AA$24*100</f>
        <v>27.192101740294518</v>
      </c>
      <c r="Q2" s="3">
        <f t="shared" si="4"/>
        <v>1.3541666666666668E-11</v>
      </c>
      <c r="R2" s="3">
        <f t="shared" ref="R2:R9" si="5">O2*$AD$35+$AD$36</f>
        <v>4180.4182204543986</v>
      </c>
      <c r="S2" s="3">
        <f t="shared" ref="S2:S9" si="6">K2</f>
        <v>47</v>
      </c>
      <c r="T2" s="3">
        <f t="shared" ref="T2:T9" si="7">R2/$AA$24*100</f>
        <v>18.869943356217771</v>
      </c>
      <c r="U2" s="3">
        <f t="shared" ref="U2:U9" si="8">$AA$38*LN(C2)+$AA$39</f>
        <v>464.32038932937508</v>
      </c>
      <c r="V2" s="3">
        <f t="shared" ref="V2:V9" si="9">D2*D2*$AA$35+D2*$AA$36+$AA$37</f>
        <v>0</v>
      </c>
      <c r="W2" s="3">
        <f t="shared" ref="W2:W9" si="10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1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2">C3</f>
        <v>78.089999999999989</v>
      </c>
      <c r="L3" s="3">
        <f t="shared" si="2"/>
        <v>260.41666666666669</v>
      </c>
      <c r="M3" s="3">
        <f t="shared" si="2"/>
        <v>109.2896174863388</v>
      </c>
      <c r="N3" s="3">
        <f t="shared" si="3"/>
        <v>7812.5000000000009</v>
      </c>
      <c r="O3" s="3">
        <f t="shared" si="3"/>
        <v>3278.688524590164</v>
      </c>
      <c r="P3" s="3">
        <f t="shared" si="4"/>
        <v>35.26475694444445</v>
      </c>
      <c r="Q3" s="3">
        <f t="shared" si="4"/>
        <v>14.799635701275045</v>
      </c>
      <c r="R3" s="3">
        <f t="shared" si="5"/>
        <v>7656.5024245703744</v>
      </c>
      <c r="S3" s="3">
        <f t="shared" si="6"/>
        <v>78.089999999999989</v>
      </c>
      <c r="T3" s="3">
        <f t="shared" si="7"/>
        <v>34.560601222019052</v>
      </c>
      <c r="U3" s="3">
        <f t="shared" si="8"/>
        <v>525.54976935129287</v>
      </c>
      <c r="V3" s="3">
        <f t="shared" si="9"/>
        <v>3494.6201834301496</v>
      </c>
      <c r="W3" s="3">
        <f t="shared" si="10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1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3">E4*F4</f>
        <v>18.12</v>
      </c>
      <c r="K4" s="1">
        <f t="shared" si="12"/>
        <v>83.699999999999974</v>
      </c>
      <c r="L4" s="3">
        <f t="shared" si="2"/>
        <v>314.46540880503147</v>
      </c>
      <c r="M4" s="3">
        <f t="shared" si="2"/>
        <v>165.01650165016503</v>
      </c>
      <c r="N4" s="3">
        <f t="shared" si="3"/>
        <v>9433.962264150945</v>
      </c>
      <c r="O4" s="3">
        <f t="shared" si="3"/>
        <v>4950.4950495049507</v>
      </c>
      <c r="P4" s="3">
        <f t="shared" si="4"/>
        <v>42.58385744234802</v>
      </c>
      <c r="Q4" s="3">
        <f t="shared" si="4"/>
        <v>22.345984598459847</v>
      </c>
      <c r="R4" s="3">
        <f t="shared" si="5"/>
        <v>9428.9612019182605</v>
      </c>
      <c r="S4" s="3">
        <f t="shared" si="6"/>
        <v>83.699999999999974</v>
      </c>
      <c r="T4" s="3">
        <f t="shared" si="7"/>
        <v>42.561283203103258</v>
      </c>
      <c r="U4" s="3">
        <f t="shared" si="8"/>
        <v>533.91649836277281</v>
      </c>
      <c r="V4" s="3">
        <f t="shared" si="9"/>
        <v>5100.5484588755035</v>
      </c>
      <c r="W4" s="3">
        <f t="shared" si="10"/>
        <v>23.02330901575748</v>
      </c>
      <c r="X4" s="4">
        <f t="shared" si="0"/>
        <v>18.12</v>
      </c>
      <c r="Y4">
        <f t="shared" ref="Y4:Y9" si="14">X4*0.001341022</f>
        <v>2.4299318640000005E-2</v>
      </c>
      <c r="Z4">
        <f t="shared" ref="Z4:Z9" si="15">Y4/N4*5252</f>
        <v>1.3527722278711681E-2</v>
      </c>
      <c r="AA4">
        <f t="shared" ref="AA4:AA9" si="16">-Z4/2/N4</f>
        <v>-7.1696928077171894E-7</v>
      </c>
      <c r="AB4">
        <v>0.18</v>
      </c>
      <c r="AC4">
        <f t="shared" ref="AC4:AC7" si="17">-AB4*AA4</f>
        <v>1.2905447053890941E-7</v>
      </c>
      <c r="AD4">
        <f t="shared" ref="AD4:AD7" si="18">AC4/6.66*2048.5</f>
        <v>3.9694907342185574E-5</v>
      </c>
      <c r="AE4">
        <f t="shared" ref="AE4:AE7" si="19">AD4*144</f>
        <v>5.716066657274723E-3</v>
      </c>
      <c r="AF4" s="97">
        <f t="shared" si="11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3"/>
        <v>36</v>
      </c>
      <c r="K5" s="1">
        <f t="shared" si="12"/>
        <v>102.40000000000002</v>
      </c>
      <c r="L5" s="3">
        <f t="shared" si="2"/>
        <v>408.16326530612247</v>
      </c>
      <c r="M5" s="3">
        <f t="shared" si="2"/>
        <v>260.41666666666669</v>
      </c>
      <c r="N5" s="3">
        <f t="shared" si="3"/>
        <v>12244.897959183674</v>
      </c>
      <c r="O5" s="3">
        <f t="shared" si="3"/>
        <v>7812.5000000000009</v>
      </c>
      <c r="P5" s="3">
        <f t="shared" si="4"/>
        <v>55.272108843537424</v>
      </c>
      <c r="Q5" s="3">
        <f t="shared" si="4"/>
        <v>35.26475694444445</v>
      </c>
      <c r="R5" s="3">
        <f t="shared" si="5"/>
        <v>12463.275113078895</v>
      </c>
      <c r="S5" s="3">
        <f t="shared" si="6"/>
        <v>102.40000000000002</v>
      </c>
      <c r="T5" s="3">
        <f t="shared" si="7"/>
        <v>56.257839052092237</v>
      </c>
      <c r="U5" s="3">
        <f t="shared" si="8"/>
        <v>558.23482705024071</v>
      </c>
      <c r="V5" s="3">
        <f t="shared" si="9"/>
        <v>7804.2947828053293</v>
      </c>
      <c r="W5" s="3">
        <f t="shared" si="10"/>
        <v>35.227719505718504</v>
      </c>
      <c r="X5" s="4">
        <f t="shared" si="0"/>
        <v>36</v>
      </c>
      <c r="Y5">
        <f t="shared" si="14"/>
        <v>4.8276792000000006E-2</v>
      </c>
      <c r="Z5">
        <f t="shared" si="15"/>
        <v>2.070655977936E-2</v>
      </c>
      <c r="AA5">
        <f t="shared" si="16"/>
        <v>-8.4551785765719992E-7</v>
      </c>
      <c r="AB5">
        <v>0.18</v>
      </c>
      <c r="AC5">
        <f t="shared" si="17"/>
        <v>1.5219321437829598E-7</v>
      </c>
      <c r="AD5">
        <f t="shared" si="18"/>
        <v>4.6811981930020919E-5</v>
      </c>
      <c r="AE5">
        <f t="shared" si="19"/>
        <v>6.7409253979230123E-3</v>
      </c>
      <c r="AF5" s="97">
        <f t="shared" si="11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3"/>
        <v>55.199999999999996</v>
      </c>
      <c r="K6" s="1">
        <f t="shared" si="12"/>
        <v>121.10000000000002</v>
      </c>
      <c r="L6" s="3">
        <f t="shared" si="2"/>
        <v>500.00000000000006</v>
      </c>
      <c r="M6" s="3">
        <f t="shared" si="2"/>
        <v>335.57046979865771</v>
      </c>
      <c r="N6" s="3">
        <f t="shared" si="3"/>
        <v>15000.000000000002</v>
      </c>
      <c r="O6" s="3">
        <f t="shared" si="3"/>
        <v>10067.114093959732</v>
      </c>
      <c r="P6" s="3">
        <f t="shared" si="4"/>
        <v>67.708333333333343</v>
      </c>
      <c r="Q6" s="3">
        <f t="shared" si="4"/>
        <v>45.44183445190157</v>
      </c>
      <c r="R6" s="3">
        <f t="shared" si="5"/>
        <v>14853.629786790238</v>
      </c>
      <c r="S6" s="3">
        <f t="shared" si="6"/>
        <v>121.10000000000002</v>
      </c>
      <c r="T6" s="3">
        <f t="shared" si="7"/>
        <v>67.047634454261498</v>
      </c>
      <c r="U6" s="3">
        <f t="shared" si="8"/>
        <v>578.46273469155688</v>
      </c>
      <c r="V6" s="3">
        <f t="shared" si="9"/>
        <v>9885.6944218814369</v>
      </c>
      <c r="W6" s="3">
        <f t="shared" si="10"/>
        <v>44.622926209881491</v>
      </c>
      <c r="X6" s="4">
        <f t="shared" si="0"/>
        <v>55.199999999999996</v>
      </c>
      <c r="Y6">
        <f t="shared" si="14"/>
        <v>7.4024414400000002E-2</v>
      </c>
      <c r="Z6">
        <f t="shared" si="15"/>
        <v>2.5918414961919996E-2</v>
      </c>
      <c r="AA6">
        <f t="shared" si="16"/>
        <v>-8.6394716539733309E-7</v>
      </c>
      <c r="AB6">
        <v>0.14000000000000001</v>
      </c>
      <c r="AC6">
        <f t="shared" si="17"/>
        <v>1.2095260315562663E-7</v>
      </c>
      <c r="AD6">
        <f t="shared" si="18"/>
        <v>3.7202914048693865E-5</v>
      </c>
      <c r="AE6">
        <f t="shared" si="19"/>
        <v>5.3572196230119162E-3</v>
      </c>
      <c r="AF6" s="97">
        <f t="shared" si="11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3"/>
        <v>64.800000000000011</v>
      </c>
      <c r="K7" s="1">
        <f t="shared" si="12"/>
        <v>128.57999999999998</v>
      </c>
      <c r="L7" s="3">
        <f t="shared" si="2"/>
        <v>518.13471502590676</v>
      </c>
      <c r="M7" s="3">
        <f t="shared" si="2"/>
        <v>362.31884057971018</v>
      </c>
      <c r="N7" s="3">
        <f t="shared" si="3"/>
        <v>15544.041450777202</v>
      </c>
      <c r="O7" s="3">
        <f t="shared" si="3"/>
        <v>10869.565217391306</v>
      </c>
      <c r="P7" s="3">
        <f t="shared" si="4"/>
        <v>70.164075993091544</v>
      </c>
      <c r="Q7" s="3">
        <f t="shared" si="4"/>
        <v>49.064009661835762</v>
      </c>
      <c r="R7" s="3">
        <f t="shared" si="5"/>
        <v>15704.393027585378</v>
      </c>
      <c r="S7" s="3">
        <f t="shared" si="6"/>
        <v>128.57999999999998</v>
      </c>
      <c r="T7" s="3">
        <f t="shared" si="7"/>
        <v>70.887885193961779</v>
      </c>
      <c r="U7" s="3">
        <f t="shared" si="8"/>
        <v>585.69073547434391</v>
      </c>
      <c r="V7" s="3">
        <f t="shared" si="9"/>
        <v>10910.72055031222</v>
      </c>
      <c r="W7" s="3">
        <f t="shared" si="10"/>
        <v>49.249780261825997</v>
      </c>
      <c r="X7" s="4">
        <f t="shared" si="0"/>
        <v>64.800000000000011</v>
      </c>
      <c r="Y7">
        <f t="shared" si="14"/>
        <v>8.6898225600000017E-2</v>
      </c>
      <c r="Z7">
        <f t="shared" si="15"/>
        <v>2.9361056601427207E-2</v>
      </c>
      <c r="AA7">
        <f t="shared" si="16"/>
        <v>-9.4444732067924179E-7</v>
      </c>
      <c r="AB7">
        <v>0.12</v>
      </c>
      <c r="AC7">
        <f t="shared" si="17"/>
        <v>1.1333367848150901E-7</v>
      </c>
      <c r="AD7">
        <f t="shared" si="18"/>
        <v>3.4859465520926602E-5</v>
      </c>
      <c r="AE7">
        <f t="shared" si="19"/>
        <v>5.0197630350134305E-3</v>
      </c>
      <c r="AF7" s="97">
        <f t="shared" si="11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3"/>
        <v>104.39999999999999</v>
      </c>
      <c r="K8" s="1">
        <f t="shared" si="12"/>
        <v>153.82499999999999</v>
      </c>
      <c r="L8" s="3">
        <f t="shared" si="2"/>
        <v>621.11801242236027</v>
      </c>
      <c r="M8" s="3">
        <f t="shared" si="2"/>
        <v>458.71559633027528</v>
      </c>
      <c r="N8" s="3">
        <f t="shared" si="3"/>
        <v>18633.540372670806</v>
      </c>
      <c r="O8" s="3">
        <f t="shared" si="3"/>
        <v>13761.467889908257</v>
      </c>
      <c r="P8" s="3">
        <f t="shared" si="4"/>
        <v>84.10973084886129</v>
      </c>
      <c r="Q8" s="3">
        <f t="shared" si="4"/>
        <v>62.117737003058117</v>
      </c>
      <c r="R8" s="3">
        <f t="shared" si="5"/>
        <v>18770.404673520155</v>
      </c>
      <c r="S8" s="3">
        <f t="shared" si="6"/>
        <v>153.82499999999999</v>
      </c>
      <c r="T8" s="3">
        <f t="shared" si="7"/>
        <v>84.727521095750703</v>
      </c>
      <c r="U8" s="3">
        <f t="shared" si="8"/>
        <v>607.30966665297819</v>
      </c>
      <c r="V8" s="3">
        <f t="shared" si="9"/>
        <v>13596.184005950465</v>
      </c>
      <c r="W8" s="3">
        <f t="shared" si="10"/>
        <v>61.371663915748634</v>
      </c>
      <c r="X8" s="4">
        <f t="shared" si="0"/>
        <v>104.39999999999999</v>
      </c>
      <c r="Y8">
        <f t="shared" si="14"/>
        <v>0.14000269679999999</v>
      </c>
      <c r="Z8">
        <f t="shared" si="15"/>
        <v>3.9460786779523201E-2</v>
      </c>
      <c r="AA8">
        <f t="shared" si="16"/>
        <v>-1.0588644452505392E-6</v>
      </c>
      <c r="AF8" s="97">
        <f t="shared" si="11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3"/>
        <v>156</v>
      </c>
      <c r="K9" s="1">
        <f t="shared" si="12"/>
        <v>170.46799999999999</v>
      </c>
      <c r="L9" s="3">
        <f t="shared" si="2"/>
        <v>710.22727272727275</v>
      </c>
      <c r="M9" s="3">
        <f t="shared" si="2"/>
        <v>531.91489361702133</v>
      </c>
      <c r="N9" s="3">
        <f t="shared" si="3"/>
        <v>21306.818181818184</v>
      </c>
      <c r="O9" s="3">
        <f t="shared" si="3"/>
        <v>15957.44680851064</v>
      </c>
      <c r="P9" s="3">
        <f t="shared" si="4"/>
        <v>96.176609848484858</v>
      </c>
      <c r="Q9" s="3">
        <f t="shared" si="4"/>
        <v>72.030141843971634</v>
      </c>
      <c r="R9" s="3">
        <f t="shared" si="5"/>
        <v>21098.594001137539</v>
      </c>
      <c r="S9" s="3">
        <f t="shared" si="6"/>
        <v>170.46799999999999</v>
      </c>
      <c r="T9" s="3">
        <f t="shared" si="7"/>
        <v>95.236709032912501</v>
      </c>
      <c r="U9" s="3">
        <f t="shared" si="8"/>
        <v>619.69894848212812</v>
      </c>
      <c r="V9" s="3">
        <f t="shared" si="9"/>
        <v>16090.182242180526</v>
      </c>
      <c r="W9" s="3">
        <f t="shared" si="10"/>
        <v>72.629294843175998</v>
      </c>
      <c r="X9" s="4">
        <f t="shared" si="0"/>
        <v>156</v>
      </c>
      <c r="Y9">
        <f t="shared" si="14"/>
        <v>0.20919943200000002</v>
      </c>
      <c r="Z9">
        <f t="shared" si="15"/>
        <v>5.1566376898150398E-2</v>
      </c>
      <c r="AA9">
        <f t="shared" si="16"/>
        <v>-1.2100909778765959E-6</v>
      </c>
      <c r="AF9" s="97">
        <f t="shared" si="11"/>
        <v>176.67627097160877</v>
      </c>
    </row>
    <row r="10" spans="1:32" ht="13.95" customHeight="1" x14ac:dyDescent="0.3">
      <c r="N10" s="1">
        <v>9.34</v>
      </c>
      <c r="AB10" t="s">
        <v>65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44</v>
      </c>
      <c r="AC15" t="s">
        <v>45</v>
      </c>
      <c r="AF15" s="30"/>
    </row>
    <row r="16" spans="1:32" ht="13.95" customHeight="1" x14ac:dyDescent="0.3">
      <c r="A16" s="3" t="s">
        <v>40</v>
      </c>
      <c r="B16" s="11" t="s">
        <v>41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32</v>
      </c>
      <c r="AE16" s="7"/>
      <c r="AF16" s="30"/>
    </row>
    <row r="17" spans="1:36" x14ac:dyDescent="0.3">
      <c r="A17" s="3"/>
      <c r="B17" s="13" t="s">
        <v>42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25</v>
      </c>
      <c r="AD17" s="25">
        <v>0</v>
      </c>
      <c r="AF17" s="30"/>
    </row>
    <row r="18" spans="1:36" ht="13.95" customHeight="1" thickBot="1" x14ac:dyDescent="0.35">
      <c r="A18" s="3"/>
      <c r="B18" s="15" t="s">
        <v>43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26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47</v>
      </c>
      <c r="AF20" s="94" t="s">
        <v>71</v>
      </c>
      <c r="AG20" s="5" t="s">
        <v>74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46</v>
      </c>
      <c r="AB21" s="36"/>
      <c r="AC21" s="35"/>
      <c r="AD21" s="35"/>
      <c r="AE21" s="37"/>
      <c r="AG21" s="62" t="s">
        <v>24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23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48</v>
      </c>
      <c r="AG23" s="65" t="s">
        <v>26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14</v>
      </c>
      <c r="AD24" s="41"/>
      <c r="AG24" s="65" t="s">
        <v>25</v>
      </c>
      <c r="AH24" s="66">
        <f>AD17</f>
        <v>0</v>
      </c>
      <c r="AI24" s="30"/>
      <c r="AJ24" s="31"/>
    </row>
    <row r="25" spans="1:36" x14ac:dyDescent="0.3">
      <c r="AG25" s="65" t="s">
        <v>39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49</v>
      </c>
      <c r="AG26" s="65" t="s">
        <v>27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28</v>
      </c>
      <c r="AB27" s="28"/>
      <c r="AC27" s="42" t="s">
        <v>29</v>
      </c>
      <c r="AD27" s="29" t="s">
        <v>50</v>
      </c>
      <c r="AG27" s="65" t="s">
        <v>22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23</v>
      </c>
      <c r="AA28" s="58">
        <v>0</v>
      </c>
      <c r="AB28" s="45" t="s">
        <v>22</v>
      </c>
      <c r="AC28" s="59">
        <v>0</v>
      </c>
      <c r="AD28" s="89">
        <f>AD38/AA24*100</f>
        <v>-17.719588605194325</v>
      </c>
      <c r="AE28" t="s">
        <v>70</v>
      </c>
      <c r="AG28" s="65" t="s">
        <v>18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72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24</v>
      </c>
      <c r="AA29" s="58">
        <v>5</v>
      </c>
      <c r="AB29" s="45" t="s">
        <v>27</v>
      </c>
      <c r="AC29" s="59">
        <v>180</v>
      </c>
      <c r="AD29" s="60">
        <v>77</v>
      </c>
      <c r="AG29" s="65" t="s">
        <v>77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67</v>
      </c>
      <c r="C30" s="6" t="s">
        <v>68</v>
      </c>
      <c r="D30" s="6" t="s">
        <v>69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53</v>
      </c>
      <c r="AB30" s="30"/>
      <c r="AC30" s="61"/>
      <c r="AD30" s="89">
        <f>(AD29-AD28)/(AA29-AA28)</f>
        <v>18.943917721038865</v>
      </c>
      <c r="AG30" s="65" t="s">
        <v>19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20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20">B32/180*(2.4-0.53)+0.53</f>
        <v>1.4649999999999999</v>
      </c>
      <c r="D32" s="88">
        <f t="shared" ref="D32:D37" si="21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19</v>
      </c>
      <c r="AG32" s="70" t="s">
        <v>21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20"/>
        <v>1.568888888888889</v>
      </c>
      <c r="D33" s="88">
        <f t="shared" si="21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20"/>
        <v>1.6727777777777779</v>
      </c>
      <c r="D34" s="88">
        <f t="shared" si="21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51</v>
      </c>
    </row>
    <row r="35" spans="2:40" x14ac:dyDescent="0.3">
      <c r="B35" s="73">
        <v>114</v>
      </c>
      <c r="C35" s="6">
        <f t="shared" si="20"/>
        <v>1.7143333333333333</v>
      </c>
      <c r="D35" s="88">
        <f t="shared" si="21"/>
        <v>128.57999999999998</v>
      </c>
      <c r="Z35" s="49" t="s">
        <v>18</v>
      </c>
      <c r="AA35" s="50">
        <f>INDEX(LINEST($O$3:$O$9,$D$3:$D$9^{1,2},FALSE,FALSE),1)</f>
        <v>-475.97454575994487</v>
      </c>
      <c r="AB35" s="28"/>
      <c r="AC35" s="51" t="s">
        <v>21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20"/>
        <v>1.8545833333333333</v>
      </c>
      <c r="D36" s="88">
        <f t="shared" si="21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20"/>
        <v>1.9470444444444444</v>
      </c>
      <c r="D37" s="88">
        <f t="shared" si="21"/>
        <v>170.46799999999999</v>
      </c>
      <c r="Z37" s="43"/>
      <c r="AA37" s="44">
        <f>INDEX(LINEST($O$3:$O$9,$D$3:$D$9^{1,2},FALSE,FALSE),3)</f>
        <v>0</v>
      </c>
      <c r="AB37" s="30"/>
      <c r="AC37" s="44" t="s">
        <v>20</v>
      </c>
      <c r="AD37" s="46">
        <f>INDEX(LINEST($O$3:$O$9,$N$3:$N$9),1)</f>
        <v>0.94199104022164515</v>
      </c>
    </row>
    <row r="38" spans="2:40" x14ac:dyDescent="0.3">
      <c r="Z38" s="43" t="s">
        <v>77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78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16" sqref="U16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52</v>
      </c>
      <c r="B1" s="82" t="s">
        <v>68</v>
      </c>
      <c r="C1" s="83" t="s">
        <v>0</v>
      </c>
      <c r="D1" s="83" t="s">
        <v>1</v>
      </c>
      <c r="E1" s="83" t="s">
        <v>15</v>
      </c>
      <c r="F1" s="83" t="s">
        <v>16</v>
      </c>
      <c r="G1" s="83" t="s">
        <v>34</v>
      </c>
      <c r="H1" s="83" t="s">
        <v>33</v>
      </c>
      <c r="I1" s="84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8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>E2*F2</f>
        <v>0</v>
      </c>
      <c r="K2" s="1">
        <f t="shared" ref="K2:K9" si="1">C2</f>
        <v>0</v>
      </c>
      <c r="L2" s="3" t="e">
        <f t="shared" ref="L2:M9" si="2">1/G2/0.000001</f>
        <v>#DIV/0!</v>
      </c>
      <c r="M2" s="3">
        <f t="shared" si="2"/>
        <v>0.01</v>
      </c>
      <c r="N2" s="3" t="e">
        <f t="shared" ref="N2:O9" si="3">L2*60/$AA$13</f>
        <v>#DIV/0!</v>
      </c>
      <c r="O2" s="3">
        <f t="shared" si="3"/>
        <v>0.3</v>
      </c>
      <c r="P2" s="3" t="e">
        <f t="shared" ref="P2:Q9" si="4">N2/$AA$21*100</f>
        <v>#DIV/0!</v>
      </c>
      <c r="Q2" s="3">
        <f t="shared" si="4"/>
        <v>1.3541666666666667E-3</v>
      </c>
      <c r="R2" s="3">
        <f t="shared" ref="R2:R9" si="5">O2*$AD$32+$AD$33</f>
        <v>4180.7362821558954</v>
      </c>
      <c r="S2" s="3">
        <f t="shared" ref="S2:S9" si="6">K2</f>
        <v>0</v>
      </c>
      <c r="T2" s="3">
        <f t="shared" ref="T2:T9" si="7">R2/$AA$21*100</f>
        <v>18.87137905139814</v>
      </c>
      <c r="U2" s="3" t="e">
        <f t="shared" ref="U2:U9" si="8">$AA$35*LN(C2)+$AA$36</f>
        <v>#REF!</v>
      </c>
      <c r="V2" s="3">
        <f t="shared" ref="V2:V9" si="9">D2*D2*$AA$32+D2*$AA$33+$AA$34</f>
        <v>0</v>
      </c>
      <c r="W2" s="3">
        <f t="shared" ref="W2:W9" si="10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>E3*F3</f>
        <v>18.954000000000001</v>
      </c>
      <c r="K3" s="1">
        <f t="shared" ref="K3" si="11">C3</f>
        <v>29.47000000000002</v>
      </c>
      <c r="L3" s="3">
        <f t="shared" si="2"/>
        <v>262.41235611095965</v>
      </c>
      <c r="M3" s="3">
        <f t="shared" si="2"/>
        <v>116.07661056297157</v>
      </c>
      <c r="N3" s="3">
        <f t="shared" ref="N3" si="12">L3*60/$AA$13</f>
        <v>7872.3706833287897</v>
      </c>
      <c r="O3" s="3">
        <f t="shared" ref="O3" si="13">M3*60/$AA$13</f>
        <v>3482.2983168891469</v>
      </c>
      <c r="P3" s="3">
        <f t="shared" ref="P3" si="14">N3/$AA$21*100</f>
        <v>35.535006556692458</v>
      </c>
      <c r="Q3" s="3">
        <f t="shared" ref="Q3" si="15">O3/$AA$21*100</f>
        <v>15.7187076804024</v>
      </c>
      <c r="R3" s="3">
        <f t="shared" ref="R3" si="16">O3*$AD$32+$AD$33</f>
        <v>7872.3706833287897</v>
      </c>
      <c r="S3" s="3">
        <f t="shared" si="6"/>
        <v>29.47000000000002</v>
      </c>
      <c r="T3" s="3">
        <f t="shared" ref="T3" si="17">R3/$AA$21*100</f>
        <v>35.535006556692458</v>
      </c>
      <c r="U3" s="3" t="e">
        <f t="shared" si="8"/>
        <v>#REF!</v>
      </c>
      <c r="V3" s="3">
        <f t="shared" si="9"/>
        <v>3895.0045670565864</v>
      </c>
      <c r="W3" s="3">
        <f t="shared" si="10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ref="J4:J8" si="18">E4*F4</f>
        <v>23.065999999999999</v>
      </c>
      <c r="K4" s="1">
        <f t="shared" si="1"/>
        <v>36.950000000000017</v>
      </c>
      <c r="L4" s="3">
        <f t="shared" si="2"/>
        <v>307.90143653592179</v>
      </c>
      <c r="M4" s="3">
        <f t="shared" si="2"/>
        <v>158.98251192368841</v>
      </c>
      <c r="N4" s="3">
        <f t="shared" si="3"/>
        <v>9237.0430960776539</v>
      </c>
      <c r="O4" s="3">
        <f t="shared" si="3"/>
        <v>4769.4753577106521</v>
      </c>
      <c r="P4" s="3">
        <f t="shared" si="4"/>
        <v>41.694986197572746</v>
      </c>
      <c r="Q4" s="3">
        <f t="shared" si="4"/>
        <v>21.528881822999473</v>
      </c>
      <c r="R4" s="3">
        <f t="shared" si="5"/>
        <v>9237.0430960776539</v>
      </c>
      <c r="S4" s="3">
        <f t="shared" si="6"/>
        <v>36.950000000000017</v>
      </c>
      <c r="T4" s="3">
        <f t="shared" si="7"/>
        <v>41.694986197572746</v>
      </c>
      <c r="U4" s="3" t="e">
        <f t="shared" si="8"/>
        <v>#REF!</v>
      </c>
      <c r="V4" s="3">
        <f t="shared" si="9"/>
        <v>4863.4075129077601</v>
      </c>
      <c r="W4" s="3">
        <f t="shared" si="10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8"/>
        <v>44.176200000000001</v>
      </c>
      <c r="K5" s="1">
        <f t="shared" si="1"/>
        <v>59.389999999999986</v>
      </c>
      <c r="L5" s="3">
        <f t="shared" si="2"/>
        <v>431.97925918101981</v>
      </c>
      <c r="M5" s="3">
        <f t="shared" si="2"/>
        <v>276.01435274634281</v>
      </c>
      <c r="N5" s="3">
        <f t="shared" si="3"/>
        <v>12959.377775430594</v>
      </c>
      <c r="O5" s="3">
        <f t="shared" si="3"/>
        <v>8280.4305823902851</v>
      </c>
      <c r="P5" s="3">
        <f t="shared" si="4"/>
        <v>58.497191347429769</v>
      </c>
      <c r="Q5" s="3">
        <f t="shared" si="4"/>
        <v>37.376943601067261</v>
      </c>
      <c r="R5" s="3">
        <f t="shared" si="5"/>
        <v>12959.377775430594</v>
      </c>
      <c r="S5" s="3">
        <f t="shared" si="6"/>
        <v>59.389999999999986</v>
      </c>
      <c r="T5" s="3">
        <f t="shared" si="7"/>
        <v>58.497191347429769</v>
      </c>
      <c r="U5" s="3" t="e">
        <f t="shared" si="8"/>
        <v>#REF!</v>
      </c>
      <c r="V5" s="3">
        <f t="shared" si="9"/>
        <v>8182.7859228288407</v>
      </c>
      <c r="W5" s="3">
        <f t="shared" si="10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8"/>
        <v>77.8596</v>
      </c>
      <c r="K6" s="1">
        <f t="shared" si="1"/>
        <v>79.960000000000008</v>
      </c>
      <c r="L6" s="3">
        <f t="shared" si="2"/>
        <v>528.98552548741941</v>
      </c>
      <c r="M6" s="3">
        <f t="shared" si="2"/>
        <v>367.51194413818456</v>
      </c>
      <c r="N6" s="3">
        <f t="shared" si="3"/>
        <v>15869.565764622583</v>
      </c>
      <c r="O6" s="3">
        <f t="shared" si="3"/>
        <v>11025.358324145536</v>
      </c>
      <c r="P6" s="3">
        <f t="shared" si="4"/>
        <v>71.633456576421381</v>
      </c>
      <c r="Q6" s="3">
        <f t="shared" si="4"/>
        <v>49.76724243537916</v>
      </c>
      <c r="R6" s="3">
        <f t="shared" si="5"/>
        <v>15869.565764622583</v>
      </c>
      <c r="S6" s="3">
        <f t="shared" si="6"/>
        <v>79.960000000000008</v>
      </c>
      <c r="T6" s="3">
        <f t="shared" si="7"/>
        <v>71.633456576421381</v>
      </c>
      <c r="U6" s="3" t="e">
        <f t="shared" si="8"/>
        <v>#REF!</v>
      </c>
      <c r="V6" s="3">
        <f t="shared" si="9"/>
        <v>10620.908743264474</v>
      </c>
      <c r="W6" s="3">
        <f t="shared" si="10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8"/>
        <v>100.6914</v>
      </c>
      <c r="K7" s="1">
        <f t="shared" si="1"/>
        <v>93.05</v>
      </c>
      <c r="L7" s="3">
        <f t="shared" si="2"/>
        <v>576.18521478815251</v>
      </c>
      <c r="M7" s="3">
        <f t="shared" si="2"/>
        <v>412.03131437989288</v>
      </c>
      <c r="N7" s="3">
        <f t="shared" si="3"/>
        <v>17285.556443644575</v>
      </c>
      <c r="O7" s="3">
        <f t="shared" si="3"/>
        <v>12360.939431396786</v>
      </c>
      <c r="P7" s="3">
        <f t="shared" si="4"/>
        <v>78.025081169228997</v>
      </c>
      <c r="Q7" s="3">
        <f t="shared" si="4"/>
        <v>55.795907155610493</v>
      </c>
      <c r="R7" s="3">
        <f t="shared" si="5"/>
        <v>17285.556443644575</v>
      </c>
      <c r="S7" s="3">
        <f t="shared" si="6"/>
        <v>93.05</v>
      </c>
      <c r="T7" s="3">
        <f t="shared" si="7"/>
        <v>78.025081169228997</v>
      </c>
      <c r="U7" s="3" t="e">
        <f t="shared" si="8"/>
        <v>#REF!</v>
      </c>
      <c r="V7" s="3">
        <f t="shared" si="9"/>
        <v>12464.506405406451</v>
      </c>
      <c r="W7" s="3">
        <f t="shared" si="10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8"/>
        <v>155.69400000000002</v>
      </c>
      <c r="K8" s="1">
        <f t="shared" si="1"/>
        <v>111.75</v>
      </c>
      <c r="L8" s="3">
        <f t="shared" si="2"/>
        <v>647.59544384070819</v>
      </c>
      <c r="M8" s="3">
        <f t="shared" si="2"/>
        <v>479.38638542665387</v>
      </c>
      <c r="N8" s="3">
        <f t="shared" si="3"/>
        <v>19427.863315221246</v>
      </c>
      <c r="O8" s="3">
        <f t="shared" si="3"/>
        <v>14381.591562799616</v>
      </c>
      <c r="P8" s="3">
        <f t="shared" si="4"/>
        <v>87.695216353429245</v>
      </c>
      <c r="Q8" s="3">
        <f t="shared" si="4"/>
        <v>64.916906359859382</v>
      </c>
      <c r="R8" s="3">
        <f t="shared" si="5"/>
        <v>19427.863315221246</v>
      </c>
      <c r="S8" s="3">
        <f t="shared" si="6"/>
        <v>111.75</v>
      </c>
      <c r="T8" s="3">
        <f t="shared" si="7"/>
        <v>87.695216353429245</v>
      </c>
      <c r="U8" s="3" t="e">
        <f t="shared" si="8"/>
        <v>#REF!</v>
      </c>
      <c r="V8" s="3">
        <f t="shared" si="9"/>
        <v>14500.533861250387</v>
      </c>
      <c r="W8" s="3">
        <f t="shared" si="10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1"/>
        <v>139.79999999999998</v>
      </c>
      <c r="L9" s="3">
        <f t="shared" si="2"/>
        <v>734.29995766057527</v>
      </c>
      <c r="M9" s="3">
        <f t="shared" si="2"/>
        <v>561.16722783389457</v>
      </c>
      <c r="N9" s="3">
        <f t="shared" si="3"/>
        <v>22028.998729817256</v>
      </c>
      <c r="O9" s="3">
        <f t="shared" si="3"/>
        <v>16835.016835016839</v>
      </c>
      <c r="P9" s="3">
        <f t="shared" si="4"/>
        <v>99.436452599869568</v>
      </c>
      <c r="Q9" s="3">
        <f t="shared" si="4"/>
        <v>75.991395435839905</v>
      </c>
      <c r="R9" s="3">
        <f t="shared" si="5"/>
        <v>22028.99872981726</v>
      </c>
      <c r="S9" s="3">
        <f t="shared" si="6"/>
        <v>139.79999999999998</v>
      </c>
      <c r="T9" s="3">
        <f t="shared" si="7"/>
        <v>99.436452599869583</v>
      </c>
      <c r="U9" s="3" t="e">
        <f t="shared" si="8"/>
        <v>#REF!</v>
      </c>
      <c r="V9" s="3">
        <f t="shared" si="9"/>
        <v>16835.887969335286</v>
      </c>
      <c r="W9" s="3">
        <f t="shared" si="10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54</v>
      </c>
      <c r="O12" s="3" t="s">
        <v>55</v>
      </c>
      <c r="P12" s="3" t="s">
        <v>56</v>
      </c>
      <c r="Q12" s="3"/>
      <c r="R12" s="3"/>
      <c r="S12" s="3"/>
      <c r="T12" s="3"/>
      <c r="U12" s="3"/>
      <c r="V12" s="3"/>
      <c r="W12" s="3"/>
      <c r="X12" s="3"/>
      <c r="Z12" t="s">
        <v>44</v>
      </c>
      <c r="AC12" t="s">
        <v>45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40</v>
      </c>
      <c r="B13" s="11" t="s">
        <v>41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9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32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42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9"/>
        <v>307.90143653592179</v>
      </c>
      <c r="Q14" s="3">
        <f t="shared" ref="Q14:Q19" si="20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25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43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9"/>
        <v>431.97925918101981</v>
      </c>
      <c r="Q15" s="3">
        <f t="shared" si="20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26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9"/>
        <v>528.98552548741941</v>
      </c>
      <c r="Q16" s="3">
        <f t="shared" si="20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9"/>
        <v>576.18521478815251</v>
      </c>
      <c r="Q17" s="3">
        <f t="shared" si="20"/>
        <v>1735.553038041201</v>
      </c>
      <c r="R17" s="3"/>
      <c r="S17" s="3"/>
      <c r="X17" s="3"/>
      <c r="Z17" t="s">
        <v>47</v>
      </c>
      <c r="AF17" s="94" t="s">
        <v>71</v>
      </c>
      <c r="AG17" s="5" t="s">
        <v>75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9"/>
        <v>647.59544384070819</v>
      </c>
      <c r="Q18" s="3">
        <f t="shared" si="20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46</v>
      </c>
      <c r="AB18" s="36"/>
      <c r="AC18" s="35"/>
      <c r="AD18" s="35"/>
      <c r="AE18" s="37"/>
      <c r="AG18" s="62" t="s">
        <v>24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9"/>
        <v>734.29995766057539</v>
      </c>
      <c r="Q19" s="3">
        <f t="shared" si="20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23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48</v>
      </c>
      <c r="AG20" s="65" t="s">
        <v>26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14</v>
      </c>
      <c r="AD21" s="41"/>
      <c r="AE21" s="8"/>
      <c r="AG21" s="65" t="s">
        <v>25</v>
      </c>
      <c r="AH21" s="66">
        <f>AD14</f>
        <v>0</v>
      </c>
      <c r="AI21" s="30"/>
      <c r="AJ21" s="31"/>
    </row>
    <row r="22" spans="2:40" x14ac:dyDescent="0.3">
      <c r="AE22" s="8"/>
      <c r="AG22" s="65" t="s">
        <v>39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49</v>
      </c>
      <c r="AG23" s="65" t="s">
        <v>27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28</v>
      </c>
      <c r="AB24" s="28"/>
      <c r="AC24" s="42" t="s">
        <v>29</v>
      </c>
      <c r="AD24" s="29" t="s">
        <v>50</v>
      </c>
      <c r="AG24" s="65" t="s">
        <v>22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23</v>
      </c>
      <c r="AA25" s="58">
        <v>0</v>
      </c>
      <c r="AB25" s="45" t="s">
        <v>22</v>
      </c>
      <c r="AC25" s="59">
        <v>0</v>
      </c>
      <c r="AD25" s="89">
        <f>AD35/AA21*100</f>
        <v>-17.719588605194325</v>
      </c>
      <c r="AE25" t="s">
        <v>70</v>
      </c>
      <c r="AG25" s="65" t="s">
        <v>18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72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24</v>
      </c>
      <c r="AA26" s="58">
        <v>3.3</v>
      </c>
      <c r="AB26" s="45" t="s">
        <v>27</v>
      </c>
      <c r="AC26" s="59">
        <v>180</v>
      </c>
      <c r="AD26" s="60">
        <v>77</v>
      </c>
      <c r="AG26" s="65" t="s">
        <v>30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67</v>
      </c>
      <c r="C27" s="6" t="s">
        <v>68</v>
      </c>
      <c r="D27" s="6" t="s">
        <v>69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53</v>
      </c>
      <c r="AB27" s="30"/>
      <c r="AC27" s="61"/>
      <c r="AD27" s="89">
        <f>(AD26-AD25)/(AA26-AA25)</f>
        <v>28.702905637937679</v>
      </c>
      <c r="AG27" s="65" t="s">
        <v>19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20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21">B29/180*(2.4-0.53)+0.53</f>
        <v>1.2052777777777779</v>
      </c>
      <c r="D29" s="88">
        <f t="shared" ref="D29:D34" si="22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19</v>
      </c>
      <c r="AG29" s="70" t="s">
        <v>21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21"/>
        <v>1.3299444444444444</v>
      </c>
      <c r="D30" s="88">
        <f t="shared" si="22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21"/>
        <v>1.4442222222222223</v>
      </c>
      <c r="D31" s="88">
        <f t="shared" si="22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51</v>
      </c>
      <c r="AB31" t="s">
        <v>57</v>
      </c>
    </row>
    <row r="32" spans="2:40" x14ac:dyDescent="0.3">
      <c r="B32" s="73">
        <v>95</v>
      </c>
      <c r="C32" s="6">
        <f t="shared" si="21"/>
        <v>1.5169444444444444</v>
      </c>
      <c r="D32" s="88">
        <f t="shared" si="22"/>
        <v>93.05</v>
      </c>
      <c r="Z32" s="49" t="s">
        <v>18</v>
      </c>
      <c r="AA32" s="50">
        <f>INDEX(LINEST($O$2:$O$9,$D$2:$D$9^{1,2},FALSE,FALSE),1)</f>
        <v>-435.01106108560197</v>
      </c>
      <c r="AB32" s="28"/>
      <c r="AC32" s="51" t="s">
        <v>21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21"/>
        <v>1.6208333333333333</v>
      </c>
      <c r="D33" s="88">
        <f t="shared" si="22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21"/>
        <v>1.7766666666666666</v>
      </c>
      <c r="D34" s="88">
        <f t="shared" si="22"/>
        <v>139.79999999999998</v>
      </c>
      <c r="Z34" s="43"/>
      <c r="AA34" s="44">
        <f>INDEX(LINEST($O$2:$O$9,$D$2:$D$9^{1,2},FALSE,FALSE),3)</f>
        <v>0</v>
      </c>
      <c r="AB34" s="30"/>
      <c r="AC34" s="44" t="s">
        <v>20</v>
      </c>
      <c r="AD34" s="46">
        <f>CalArduinoHiTec!AD37</f>
        <v>0.94199104022164515</v>
      </c>
      <c r="AK34" s="3"/>
    </row>
    <row r="35" spans="2:39" x14ac:dyDescent="0.3">
      <c r="Z35" s="43" t="s">
        <v>30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CalArduinoTurnigy</vt:lpstr>
      <vt:lpstr>CalArduinoHiTec</vt:lpstr>
      <vt:lpstr>CalPhotonHiTec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2016-10-15T22:06:54Z</dcterms:modified>
</cp:coreProperties>
</file>