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9656" windowHeight="8388" activeTab="1"/>
  </bookViews>
  <sheets>
    <sheet name="CalPhotonTurnigy" sheetId="4" r:id="rId1"/>
    <sheet name="TauPhotonTurnigy" sheetId="5" r:id="rId2"/>
    <sheet name="CalArduinoTurnigy" sheetId="3" r:id="rId3"/>
    <sheet name="CalArduinoHiTec" sheetId="1" r:id="rId4"/>
    <sheet name="CalPhotonHiTec" sheetId="2" r:id="rId5"/>
  </sheets>
  <calcPr calcId="152511"/>
</workbook>
</file>

<file path=xl/calcChain.xml><?xml version="1.0" encoding="utf-8"?>
<calcChain xmlns="http://schemas.openxmlformats.org/spreadsheetml/2006/main">
  <c r="AT8" i="4" l="1"/>
  <c r="H2" i="5" l="1"/>
  <c r="J2" i="5"/>
  <c r="AF13" i="4"/>
  <c r="AE8" i="4" l="1"/>
  <c r="AE9" i="4"/>
  <c r="AE10" i="4"/>
  <c r="AE11" i="4"/>
  <c r="AE12" i="4"/>
  <c r="AE13" i="4"/>
  <c r="AE14" i="4"/>
  <c r="AE15" i="4"/>
  <c r="AE40" i="4" l="1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39" i="4"/>
  <c r="AS29" i="4"/>
  <c r="AE41" i="4"/>
  <c r="I5" i="5" l="1"/>
  <c r="K5" i="5"/>
  <c r="I3" i="5"/>
  <c r="I2" i="5" s="1"/>
  <c r="I7" i="5"/>
  <c r="I6" i="5"/>
  <c r="I10" i="5"/>
  <c r="AT12" i="4"/>
  <c r="AT13" i="4"/>
  <c r="AT9" i="4"/>
  <c r="AT10" i="4"/>
  <c r="AT14" i="4"/>
  <c r="AT15" i="4"/>
  <c r="AT11" i="4"/>
  <c r="I8" i="5"/>
  <c r="I9" i="5"/>
  <c r="K3" i="5"/>
  <c r="I4" i="5"/>
  <c r="AE43" i="4" l="1"/>
  <c r="AE38" i="4" l="1"/>
  <c r="T44" i="4"/>
  <c r="AD3" i="4" l="1"/>
  <c r="X43" i="4" l="1"/>
  <c r="AE37" i="4" s="1"/>
  <c r="X41" i="4"/>
  <c r="Z41" i="4" s="1"/>
  <c r="Y15" i="4" s="1"/>
  <c r="AE36" i="4" s="1"/>
  <c r="AB15" i="4" l="1"/>
  <c r="AC15" i="4" s="1"/>
  <c r="Z15" i="4"/>
  <c r="AJ27" i="4"/>
  <c r="AJ26" i="4"/>
  <c r="AJ28" i="4" s="1"/>
  <c r="AJ29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J25" i="4"/>
  <c r="U7" i="4" l="1"/>
  <c r="AJ30" i="4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D30" i="2"/>
  <c r="C30" i="2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N9" i="2"/>
  <c r="P9" i="2" s="1"/>
  <c r="M9" i="2"/>
  <c r="O9" i="2" s="1"/>
  <c r="L9" i="2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O7" i="2"/>
  <c r="M7" i="2"/>
  <c r="L7" i="2"/>
  <c r="N7" i="2" s="1"/>
  <c r="P7" i="2" s="1"/>
  <c r="K7" i="2"/>
  <c r="S7" i="2" s="1"/>
  <c r="J7" i="2"/>
  <c r="X7" i="2" s="1"/>
  <c r="U6" i="2"/>
  <c r="N6" i="2"/>
  <c r="P6" i="2" s="1"/>
  <c r="M6" i="2"/>
  <c r="O6" i="2" s="1"/>
  <c r="Q6" i="2" s="1"/>
  <c r="L6" i="2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O3" i="2"/>
  <c r="N3" i="2"/>
  <c r="P3" i="2" s="1"/>
  <c r="M3" i="2"/>
  <c r="L3" i="2"/>
  <c r="K3" i="2"/>
  <c r="S3" i="2" s="1"/>
  <c r="J3" i="2"/>
  <c r="X3" i="2" s="1"/>
  <c r="U2" i="2"/>
  <c r="N2" i="2"/>
  <c r="P2" i="2" s="1"/>
  <c r="M2" i="2"/>
  <c r="O2" i="2" s="1"/>
  <c r="L2" i="2"/>
  <c r="K2" i="2"/>
  <c r="S2" i="2" s="1"/>
  <c r="J2" i="2"/>
  <c r="X2" i="2" s="1"/>
  <c r="B2" i="2"/>
  <c r="X1" i="2"/>
  <c r="D37" i="1"/>
  <c r="C37" i="1"/>
  <c r="D36" i="1"/>
  <c r="C36" i="1"/>
  <c r="D35" i="1"/>
  <c r="C35" i="1"/>
  <c r="C34" i="1"/>
  <c r="D34" i="1" s="1"/>
  <c r="D33" i="1"/>
  <c r="C33" i="1"/>
  <c r="D32" i="1"/>
  <c r="C32" i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P9" i="1" s="1"/>
  <c r="K9" i="1"/>
  <c r="S9" i="1" s="1"/>
  <c r="J9" i="1"/>
  <c r="X8" i="1"/>
  <c r="Y8" i="1" s="1"/>
  <c r="Z8" i="1" s="1"/>
  <c r="AA8" i="1" s="1"/>
  <c r="O8" i="1"/>
  <c r="M8" i="1"/>
  <c r="L8" i="1"/>
  <c r="N8" i="1" s="1"/>
  <c r="K8" i="1"/>
  <c r="S8" i="1" s="1"/>
  <c r="J8" i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O6" i="1"/>
  <c r="M6" i="1"/>
  <c r="L6" i="1"/>
  <c r="N6" i="1" s="1"/>
  <c r="K6" i="1"/>
  <c r="J6" i="1"/>
  <c r="Y5" i="1"/>
  <c r="Z5" i="1" s="1"/>
  <c r="AA5" i="1" s="1"/>
  <c r="AC5" i="1" s="1"/>
  <c r="AD5" i="1" s="1"/>
  <c r="AE5" i="1" s="1"/>
  <c r="N5" i="1"/>
  <c r="P5" i="1" s="1"/>
  <c r="M5" i="1"/>
  <c r="O5" i="1" s="1"/>
  <c r="L5" i="1"/>
  <c r="K5" i="1"/>
  <c r="S5" i="1" s="1"/>
  <c r="J5" i="1"/>
  <c r="X5" i="1" s="1"/>
  <c r="X4" i="1"/>
  <c r="Y4" i="1" s="1"/>
  <c r="O4" i="1"/>
  <c r="M4" i="1"/>
  <c r="L4" i="1"/>
  <c r="N4" i="1" s="1"/>
  <c r="P4" i="1" s="1"/>
  <c r="K4" i="1"/>
  <c r="S4" i="1" s="1"/>
  <c r="J4" i="1"/>
  <c r="Z3" i="1"/>
  <c r="AA3" i="1" s="1"/>
  <c r="O3" i="1"/>
  <c r="Q3" i="1" s="1"/>
  <c r="N3" i="1"/>
  <c r="M3" i="1"/>
  <c r="L3" i="1"/>
  <c r="K3" i="1"/>
  <c r="J3" i="1"/>
  <c r="X3" i="1" s="1"/>
  <c r="Y3" i="1" s="1"/>
  <c r="N2" i="1"/>
  <c r="M2" i="1"/>
  <c r="O2" i="1" s="1"/>
  <c r="L2" i="1"/>
  <c r="K2" i="1"/>
  <c r="S2" i="1" s="1"/>
  <c r="J2" i="1"/>
  <c r="X2" i="1" s="1"/>
  <c r="Y2" i="1" s="1"/>
  <c r="Z2" i="1" s="1"/>
  <c r="AA2" i="1" s="1"/>
  <c r="B2" i="1"/>
  <c r="X1" i="1"/>
  <c r="C48" i="3"/>
  <c r="D48" i="3" s="1"/>
  <c r="D47" i="3"/>
  <c r="C47" i="3"/>
  <c r="D46" i="3"/>
  <c r="C46" i="3"/>
  <c r="C45" i="3"/>
  <c r="D45" i="3" s="1"/>
  <c r="D44" i="3"/>
  <c r="C44" i="3"/>
  <c r="D43" i="3"/>
  <c r="C43" i="3"/>
  <c r="C42" i="3"/>
  <c r="D42" i="3" s="1"/>
  <c r="AA40" i="3"/>
  <c r="W40" i="3"/>
  <c r="Q23" i="3" s="1"/>
  <c r="AD33" i="3"/>
  <c r="AD32" i="3"/>
  <c r="W32" i="3"/>
  <c r="W33" i="3" s="1"/>
  <c r="AD30" i="3"/>
  <c r="AD29" i="3"/>
  <c r="AD28" i="3"/>
  <c r="AD27" i="3"/>
  <c r="AF5" i="3" s="1"/>
  <c r="AG5" i="3" s="1"/>
  <c r="T24" i="3"/>
  <c r="U24" i="3" s="1"/>
  <c r="V24" i="3" s="1"/>
  <c r="W24" i="3" s="1"/>
  <c r="Y24" i="3" s="1"/>
  <c r="Z24" i="3" s="1"/>
  <c r="AA24" i="3" s="1"/>
  <c r="S24" i="3"/>
  <c r="M24" i="3"/>
  <c r="O24" i="3" s="1"/>
  <c r="L24" i="3"/>
  <c r="K24" i="3"/>
  <c r="J24" i="3"/>
  <c r="B24" i="3"/>
  <c r="AA23" i="3"/>
  <c r="T23" i="3"/>
  <c r="U23" i="3" s="1"/>
  <c r="V23" i="3" s="1"/>
  <c r="W23" i="3" s="1"/>
  <c r="Y23" i="3" s="1"/>
  <c r="Z23" i="3" s="1"/>
  <c r="S23" i="3"/>
  <c r="O23" i="3"/>
  <c r="M23" i="3"/>
  <c r="L23" i="3"/>
  <c r="K23" i="3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L21" i="3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V19" i="3"/>
  <c r="W19" i="3" s="1"/>
  <c r="Y19" i="3" s="1"/>
  <c r="Z19" i="3" s="1"/>
  <c r="AA19" i="3" s="1"/>
  <c r="M19" i="3"/>
  <c r="O19" i="3" s="1"/>
  <c r="K19" i="3"/>
  <c r="J19" i="3"/>
  <c r="T19" i="3" s="1"/>
  <c r="U19" i="3" s="1"/>
  <c r="B19" i="3"/>
  <c r="U18" i="3"/>
  <c r="V18" i="3" s="1"/>
  <c r="W18" i="3" s="1"/>
  <c r="Y18" i="3" s="1"/>
  <c r="Z18" i="3" s="1"/>
  <c r="AA18" i="3" s="1"/>
  <c r="O18" i="3"/>
  <c r="M18" i="3"/>
  <c r="K18" i="3"/>
  <c r="S18" i="3" s="1"/>
  <c r="J18" i="3"/>
  <c r="T18" i="3" s="1"/>
  <c r="B18" i="3"/>
  <c r="T17" i="3"/>
  <c r="U17" i="3" s="1"/>
  <c r="V17" i="3" s="1"/>
  <c r="W17" i="3" s="1"/>
  <c r="Y17" i="3" s="1"/>
  <c r="Z17" i="3" s="1"/>
  <c r="AA17" i="3" s="1"/>
  <c r="S17" i="3"/>
  <c r="O17" i="3"/>
  <c r="M17" i="3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L16" i="3"/>
  <c r="K16" i="3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U12" i="3"/>
  <c r="V12" i="3" s="1"/>
  <c r="W12" i="3" s="1"/>
  <c r="Y12" i="3" s="1"/>
  <c r="Z12" i="3" s="1"/>
  <c r="AA12" i="3" s="1"/>
  <c r="T12" i="3"/>
  <c r="P12" i="3"/>
  <c r="R12" i="3" s="1"/>
  <c r="N12" i="3"/>
  <c r="M12" i="3"/>
  <c r="O12" i="3" s="1"/>
  <c r="L12" i="3"/>
  <c r="K12" i="3"/>
  <c r="S12" i="3" s="1"/>
  <c r="J12" i="3"/>
  <c r="B12" i="3"/>
  <c r="AV11" i="3"/>
  <c r="T11" i="3"/>
  <c r="U11" i="3" s="1"/>
  <c r="P11" i="3"/>
  <c r="O11" i="3"/>
  <c r="Q11" i="3" s="1"/>
  <c r="N11" i="3"/>
  <c r="M11" i="3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T9" i="3"/>
  <c r="U9" i="3" s="1"/>
  <c r="V9" i="3" s="1"/>
  <c r="W9" i="3" s="1"/>
  <c r="Y9" i="3" s="1"/>
  <c r="Z9" i="3" s="1"/>
  <c r="AA9" i="3" s="1"/>
  <c r="S9" i="3"/>
  <c r="P9" i="3"/>
  <c r="O9" i="3"/>
  <c r="Q9" i="3" s="1"/>
  <c r="N9" i="3"/>
  <c r="M9" i="3"/>
  <c r="L9" i="3"/>
  <c r="K9" i="3"/>
  <c r="J9" i="3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U7" i="3"/>
  <c r="T7" i="3"/>
  <c r="P7" i="3"/>
  <c r="N7" i="3"/>
  <c r="M7" i="3"/>
  <c r="O7" i="3" s="1"/>
  <c r="Q7" i="3" s="1"/>
  <c r="L7" i="3"/>
  <c r="K7" i="3"/>
  <c r="S7" i="3" s="1"/>
  <c r="J7" i="3"/>
  <c r="B7" i="3"/>
  <c r="AV6" i="3"/>
  <c r="V6" i="3"/>
  <c r="W6" i="3" s="1"/>
  <c r="T6" i="3"/>
  <c r="U6" i="3" s="1"/>
  <c r="S6" i="3"/>
  <c r="P6" i="3"/>
  <c r="R6" i="3" s="1"/>
  <c r="O6" i="3"/>
  <c r="N6" i="3"/>
  <c r="M6" i="3"/>
  <c r="K6" i="3"/>
  <c r="L6" i="3" s="1"/>
  <c r="J6" i="3"/>
  <c r="B6" i="3"/>
  <c r="AV5" i="3"/>
  <c r="S5" i="3"/>
  <c r="P5" i="3"/>
  <c r="R5" i="3" s="1"/>
  <c r="O5" i="3"/>
  <c r="Q5" i="3" s="1"/>
  <c r="N5" i="3"/>
  <c r="M5" i="3"/>
  <c r="K5" i="3"/>
  <c r="L5" i="3" s="1"/>
  <c r="J5" i="3"/>
  <c r="T5" i="3" s="1"/>
  <c r="U5" i="3" s="1"/>
  <c r="V5" i="3" s="1"/>
  <c r="W5" i="3" s="1"/>
  <c r="B5" i="3"/>
  <c r="AV4" i="3"/>
  <c r="AF4" i="3"/>
  <c r="AG4" i="3" s="1"/>
  <c r="U4" i="3"/>
  <c r="T4" i="3"/>
  <c r="P4" i="3"/>
  <c r="N4" i="3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U2" i="3"/>
  <c r="T2" i="3"/>
  <c r="S2" i="3"/>
  <c r="R2" i="3"/>
  <c r="L2" i="3"/>
  <c r="K2" i="3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J31" i="4"/>
  <c r="AJ32" i="4" s="1"/>
  <c r="X36" i="4" s="1"/>
  <c r="AE42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Y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Y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U11" i="4" l="1"/>
  <c r="V11" i="4"/>
  <c r="V15" i="4"/>
  <c r="U15" i="4"/>
  <c r="AA15" i="4" s="1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Y8" i="4"/>
  <c r="Z8" i="4" s="1"/>
  <c r="AA8" i="4" s="1"/>
  <c r="Y12" i="4"/>
  <c r="Z12" i="4" s="1"/>
  <c r="AA12" i="4" s="1"/>
  <c r="Y11" i="4"/>
  <c r="Z11" i="4" s="1"/>
  <c r="Y10" i="4"/>
  <c r="Z10" i="4" s="1"/>
  <c r="AA10" i="4" s="1"/>
  <c r="Z9" i="4"/>
  <c r="AB9" i="4"/>
  <c r="AC9" i="4" s="1"/>
  <c r="Z13" i="4"/>
  <c r="AA13" i="4" s="1"/>
  <c r="AB13" i="4"/>
  <c r="AC13" i="4" s="1"/>
  <c r="AB12" i="4"/>
  <c r="AC12" i="4" s="1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Y4" i="4"/>
  <c r="Y5" i="4"/>
  <c r="Y6" i="4"/>
  <c r="Y7" i="4"/>
  <c r="Y3" i="4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Y14" i="4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X54" i="4"/>
  <c r="AF29" i="4" s="1"/>
  <c r="AA53" i="4"/>
  <c r="AF32" i="4" s="1"/>
  <c r="X53" i="4"/>
  <c r="AG29" i="4" s="1"/>
  <c r="X55" i="4"/>
  <c r="AE29" i="4" s="1"/>
  <c r="AA54" i="4"/>
  <c r="AE32" i="4" s="1"/>
  <c r="R8" i="4"/>
  <c r="AA56" i="4"/>
  <c r="AA55" i="4"/>
  <c r="AF31" i="4" s="1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AB10" i="4" l="1"/>
  <c r="AC10" i="4" s="1"/>
  <c r="AA11" i="4"/>
  <c r="AA9" i="4"/>
  <c r="AU15" i="4"/>
  <c r="AU12" i="4"/>
  <c r="AU9" i="4"/>
  <c r="AU13" i="4"/>
  <c r="X13" i="4"/>
  <c r="X15" i="4"/>
  <c r="X11" i="4"/>
  <c r="X9" i="4"/>
  <c r="X7" i="4"/>
  <c r="AB8" i="4"/>
  <c r="AB11" i="4"/>
  <c r="AU11" i="4" s="1"/>
  <c r="X19" i="4"/>
  <c r="X100" i="4"/>
  <c r="Y100" i="4" s="1"/>
  <c r="X98" i="4"/>
  <c r="Y98" i="4" s="1"/>
  <c r="X26" i="4"/>
  <c r="X6" i="4"/>
  <c r="X90" i="4"/>
  <c r="Y90" i="4" s="1"/>
  <c r="Z14" i="4"/>
  <c r="AA14" i="4" s="1"/>
  <c r="AB14" i="4"/>
  <c r="Z5" i="4"/>
  <c r="AA5" i="4" s="1"/>
  <c r="AB5" i="4"/>
  <c r="Z4" i="4"/>
  <c r="AA4" i="4" s="1"/>
  <c r="AB4" i="4"/>
  <c r="Z3" i="4"/>
  <c r="AB3" i="4"/>
  <c r="Z7" i="4"/>
  <c r="AA7" i="4" s="1"/>
  <c r="AB7" i="4"/>
  <c r="Z6" i="4"/>
  <c r="AA6" i="4" s="1"/>
  <c r="AB6" i="4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X61" i="4" s="1"/>
  <c r="W74" i="4"/>
  <c r="X74" i="4" s="1"/>
  <c r="Y74" i="4" s="1"/>
  <c r="Y78" i="4"/>
  <c r="W78" i="4"/>
  <c r="X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Y84" i="4"/>
  <c r="W84" i="4"/>
  <c r="X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AU8" i="4" l="1"/>
  <c r="AU10" i="4"/>
  <c r="AU14" i="4"/>
  <c r="AC11" i="4"/>
  <c r="AC8" i="4"/>
  <c r="AE6" i="4"/>
  <c r="AC6" i="4"/>
  <c r="AC4" i="4"/>
  <c r="AE4" i="4"/>
  <c r="AC5" i="4"/>
  <c r="AE5" i="4"/>
  <c r="AE7" i="4"/>
  <c r="AC7" i="4"/>
  <c r="AC14" i="4"/>
  <c r="AC3" i="4"/>
  <c r="AE3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N13" i="4"/>
  <c r="AM13" i="4" s="1"/>
  <c r="AF4" i="1" l="1"/>
  <c r="AF8" i="1"/>
  <c r="AF6" i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J3" i="4" l="1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G33" i="4" l="1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/>
  <c r="AN8" i="3"/>
  <c r="AO8" i="3"/>
  <c r="AP8" i="3"/>
  <c r="AW8" i="3"/>
  <c r="AQ8" i="3"/>
  <c r="AN6" i="3"/>
  <c r="AO6" i="3"/>
  <c r="AP6" i="3"/>
  <c r="AW6" i="3"/>
  <c r="AQ6" i="3"/>
  <c r="AN5" i="3"/>
  <c r="AO5" i="3"/>
  <c r="AP5" i="3"/>
  <c r="AW5" i="3"/>
  <c r="AN9" i="3"/>
  <c r="AO9" i="3"/>
  <c r="AP9" i="3"/>
  <c r="AW9" i="3"/>
  <c r="AQ9" i="3"/>
  <c r="AN4" i="3"/>
  <c r="AO4" i="3"/>
  <c r="AP4" i="3"/>
  <c r="AW4" i="3"/>
  <c r="AN7" i="3"/>
  <c r="AO7" i="3"/>
  <c r="AP7" i="3"/>
  <c r="AW7" i="3"/>
  <c r="AQ7" i="3"/>
  <c r="AN13" i="3"/>
  <c r="AO13" i="3"/>
  <c r="AP13" i="3"/>
  <c r="AW13" i="3"/>
  <c r="AQ13" i="3"/>
  <c r="AN14" i="3"/>
  <c r="AO14" i="3"/>
  <c r="AP14" i="3"/>
  <c r="AW14" i="3"/>
  <c r="AN12" i="3"/>
  <c r="AO12" i="3"/>
  <c r="AP12" i="3"/>
  <c r="AW12" i="3"/>
  <c r="AQ12" i="3"/>
  <c r="AN10" i="3"/>
  <c r="AO10" i="3"/>
  <c r="AP10" i="3"/>
  <c r="AW10" i="3"/>
  <c r="AQ10" i="3"/>
  <c r="AN2" i="3"/>
  <c r="AN11" i="3"/>
  <c r="AO11" i="3"/>
  <c r="AP11" i="3"/>
  <c r="AW11" i="3"/>
  <c r="AQ11" i="3"/>
  <c r="AR14" i="3"/>
  <c r="AS14" i="3"/>
  <c r="AT14" i="3"/>
  <c r="AR10" i="3"/>
  <c r="AS10" i="3"/>
  <c r="AT10" i="3"/>
  <c r="AU10" i="3"/>
  <c r="AR8" i="3"/>
  <c r="AS8" i="3"/>
  <c r="AT8" i="3"/>
  <c r="AU8" i="3"/>
  <c r="AR6" i="3"/>
  <c r="AS6" i="3"/>
  <c r="AT6" i="3"/>
  <c r="AR2" i="3"/>
  <c r="AS2" i="3"/>
  <c r="AR11" i="3"/>
  <c r="AS11" i="3"/>
  <c r="AT11" i="3"/>
  <c r="AU11" i="3"/>
  <c r="AR13" i="3"/>
  <c r="AS13" i="3"/>
  <c r="AT13" i="3"/>
  <c r="AU13" i="3"/>
  <c r="AR12" i="3"/>
  <c r="AS12" i="3"/>
  <c r="AT12" i="3"/>
  <c r="AU12" i="3"/>
  <c r="AR5" i="3"/>
  <c r="AS5" i="3"/>
  <c r="AR9" i="3"/>
  <c r="AS9" i="3"/>
  <c r="AT9" i="3"/>
  <c r="AU9" i="3"/>
  <c r="AR4" i="3"/>
  <c r="AS4" i="3"/>
  <c r="AR7" i="3"/>
  <c r="AS7" i="3"/>
  <c r="AT7" i="3"/>
  <c r="AR3" i="3"/>
  <c r="AS3" i="3"/>
  <c r="AN3" i="3"/>
</calcChain>
</file>

<file path=xl/sharedStrings.xml><?xml version="1.0" encoding="utf-8"?>
<sst xmlns="http://schemas.openxmlformats.org/spreadsheetml/2006/main" count="508" uniqueCount="219">
  <si>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</si>
  <si>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</si>
  <si>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</si>
  <si>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</si>
  <si>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</si>
  <si>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</si>
  <si>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</si>
  <si>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</si>
  <si>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</si>
  <si>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</si>
  <si>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</si>
  <si>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</si>
  <si>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</si>
  <si>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</si>
  <si>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</si>
  <si>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</si>
  <si>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</si>
  <si>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</si>
  <si>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</si>
  <si>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</si>
  <si>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</si>
  <si>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</si>
  <si>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</si>
  <si>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</si>
  <si>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</si>
  <si>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</si>
  <si>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</si>
  <si>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</si>
  <si>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</si>
  <si>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</si>
  <si>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</si>
  <si>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</si>
  <si>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</si>
  <si>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</si>
  <si>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</si>
  <si>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</si>
  <si>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</si>
  <si>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</si>
  <si>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</si>
  <si>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</si>
  <si>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</si>
  <si>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</si>
  <si>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</si>
  <si>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</si>
  <si>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</si>
  <si>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</si>
  <si>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</si>
  <si>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</si>
  <si>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</si>
  <si>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</si>
  <si>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</si>
  <si>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</si>
  <si>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</si>
  <si>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</si>
  <si>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</si>
  <si>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</si>
  <si>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</si>
  <si>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</si>
  <si>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</si>
  <si>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</si>
  <si>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</si>
  <si>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</si>
  <si>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</si>
  <si>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</si>
  <si>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</si>
  <si>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</si>
  <si>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</si>
  <si>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</si>
  <si>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</si>
  <si>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</si>
  <si>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</si>
  <si>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</si>
  <si>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</si>
  <si>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</si>
  <si>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</si>
  <si>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</si>
  <si>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</si>
  <si>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</si>
  <si>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</si>
  <si>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</si>
  <si>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</si>
  <si>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</si>
  <si>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</si>
  <si>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</si>
  <si>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</si>
  <si>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</si>
  <si>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</si>
  <si>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</si>
  <si>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</si>
  <si>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</si>
  <si>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</si>
  <si>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</si>
  <si>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</si>
  <si>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</si>
  <si>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</si>
  <si>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</si>
  <si>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</si>
  <si>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</si>
  <si>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</si>
  <si>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</si>
  <si>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</si>
  <si>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</si>
  <si>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</si>
  <si>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</si>
  <si>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</si>
  <si>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</si>
  <si>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</si>
  <si>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</si>
  <si>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</si>
  <si>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</si>
  <si>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</si>
  <si>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</si>
  <si>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</si>
  <si>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</si>
  <si>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</si>
  <si>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</si>
  <si>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</si>
  <si>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</si>
  <si>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</si>
  <si>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</si>
  <si>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</si>
  <si>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</si>
  <si>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</si>
  <si>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</si>
  <si>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</si>
  <si>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</si>
  <si>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</si>
  <si>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</si>
  <si>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</si>
  <si>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</si>
  <si>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</si>
  <si>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</si>
  <si>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</si>
  <si>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</si>
  <si>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</si>
  <si>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</si>
  <si>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</si>
  <si>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</si>
  <si>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</si>
  <si>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</si>
  <si>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</si>
  <si>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</si>
  <si>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</si>
  <si>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</si>
  <si>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</si>
  <si>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</si>
  <si>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</si>
  <si>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</si>
  <si>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</si>
  <si>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</si>
  <si>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</si>
  <si>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</si>
  <si>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</si>
  <si>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</si>
  <si>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</si>
  <si>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</si>
  <si>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</si>
  <si>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</si>
  <si>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</si>
  <si>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</si>
  <si>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</si>
  <si>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</si>
  <si>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</si>
  <si>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</si>
  <si>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</si>
  <si>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</si>
  <si>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</si>
  <si>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</si>
  <si>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</si>
  <si>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</si>
  <si>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</si>
  <si>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</si>
  <si>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</si>
  <si>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</si>
  <si>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</si>
  <si>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</si>
  <si>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</si>
  <si>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</si>
  <si>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</si>
  <si>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</si>
  <si>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</si>
  <si>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</si>
  <si>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</si>
  <si>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</si>
  <si>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</si>
  <si>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</si>
  <si>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</si>
  <si>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</si>
  <si>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</si>
  <si>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</si>
  <si>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</si>
  <si>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</si>
  <si>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</si>
  <si>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</si>
  <si>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</si>
  <si>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</si>
  <si>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</si>
  <si>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</si>
  <si>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</si>
  <si>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</si>
  <si>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</si>
  <si>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</si>
  <si>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</si>
  <si>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</si>
  <si>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</si>
  <si>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</si>
  <si>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</si>
  <si>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</si>
  <si>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</si>
  <si>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</si>
  <si>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</si>
  <si>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</si>
  <si>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</si>
  <si>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From fr_OL_P_T_461_var_06_1ms.xlsx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</si>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</sst>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0" fontId="0" fillId="5" borderId="8" xfId="0" applyFill="1" applyBorder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0" fontId="0" fillId="5" borderId="5" xfId="0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1264"/>
        <c:axId val="189730480"/>
      </c:scatterChart>
      <c:valAx>
        <c:axId val="1897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0480"/>
        <c:crosses val="autoZero"/>
        <c:crossBetween val="midCat"/>
      </c:valAx>
      <c:valAx>
        <c:axId val="1897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2.422234512037992</c:v>
                </c:pt>
                <c:pt idx="1">
                  <c:v>2.6851093320346444</c:v>
                </c:pt>
                <c:pt idx="2">
                  <c:v>2.7496679652965481</c:v>
                </c:pt>
                <c:pt idx="3">
                  <c:v>2.7745646039961329</c:v>
                </c:pt>
                <c:pt idx="4">
                  <c:v>2.7214373564501444</c:v>
                </c:pt>
                <c:pt idx="5" formatCode="0.000">
                  <c:v>2.5988730787182082</c:v>
                </c:pt>
                <c:pt idx="6">
                  <c:v>2.5393466511471257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6352"/>
        <c:axId val="190173216"/>
      </c:scatterChart>
      <c:valAx>
        <c:axId val="1901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3216"/>
        <c:crosses val="autoZero"/>
        <c:crossBetween val="midCat"/>
      </c:valAx>
      <c:valAx>
        <c:axId val="190173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9632"/>
        <c:axId val="517030024"/>
      </c:scatterChart>
      <c:valAx>
        <c:axId val="5170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0024"/>
        <c:crosses val="autoZero"/>
        <c:crossBetween val="midCat"/>
      </c:valAx>
      <c:valAx>
        <c:axId val="5170300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% For Correlating</a:t>
            </a:r>
            <a:r>
              <a:rPr lang="en-US" baseline="0"/>
              <a:t> to Linear Design Results to Produce Gain Schedule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63516163359527"/>
          <c:y val="7.1467032924155016E-2"/>
          <c:w val="0.80741808185597919"/>
          <c:h val="0.8371488103134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TauPhotonTurnigy!$F$1</c:f>
              <c:strCache>
                <c:ptCount val="1"/>
                <c:pt idx="0">
                  <c:v>Nt, %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TauPhotonTurnigy!$D$3:$D$10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xVal>
          <c:yVal>
            <c:numRef>
              <c:f>TauPhotonTurnigy!$F$3:$F$10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50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31984"/>
        <c:axId val="517032376"/>
      </c:scatterChart>
      <c:valAx>
        <c:axId val="51703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032376"/>
        <c:crosses val="autoZero"/>
        <c:crossBetween val="midCat"/>
      </c:valAx>
      <c:valAx>
        <c:axId val="517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03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7632"/>
        <c:axId val="192559592"/>
      </c:scatterChart>
      <c:valAx>
        <c:axId val="1925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592"/>
        <c:crosses val="autoZero"/>
        <c:crossBetween val="midCat"/>
      </c:valAx>
      <c:valAx>
        <c:axId val="1925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552"/>
        <c:axId val="19256037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8416"/>
        <c:axId val="192561160"/>
      </c:scatterChart>
      <c:valAx>
        <c:axId val="1925615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0376"/>
        <c:crossesAt val="-40"/>
        <c:crossBetween val="midCat"/>
        <c:majorUnit val="20"/>
      </c:valAx>
      <c:valAx>
        <c:axId val="192560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552"/>
        <c:crosses val="autoZero"/>
        <c:crossBetween val="midCat"/>
      </c:valAx>
      <c:valAx>
        <c:axId val="192561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8416"/>
        <c:crosses val="max"/>
        <c:crossBetween val="midCat"/>
        <c:majorUnit val="40"/>
      </c:valAx>
      <c:valAx>
        <c:axId val="19255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8024"/>
        <c:axId val="192555280"/>
      </c:scatterChart>
      <c:valAx>
        <c:axId val="1925580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2555280"/>
        <c:crosses val="autoZero"/>
        <c:crossBetween val="midCat"/>
      </c:valAx>
      <c:valAx>
        <c:axId val="19255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5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9984"/>
        <c:axId val="192556064"/>
      </c:scatterChart>
      <c:valAx>
        <c:axId val="1925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064"/>
        <c:crosses val="autoZero"/>
        <c:crossBetween val="midCat"/>
      </c:valAx>
      <c:valAx>
        <c:axId val="19255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944"/>
        <c:axId val="192559200"/>
      </c:scatterChart>
      <c:valAx>
        <c:axId val="1925619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2559200"/>
        <c:crosses val="autoZero"/>
        <c:crossBetween val="midCat"/>
      </c:valAx>
      <c:valAx>
        <c:axId val="19255920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2561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6456"/>
        <c:axId val="192555672"/>
      </c:scatterChart>
      <c:valAx>
        <c:axId val="192556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2555672"/>
        <c:crosses val="autoZero"/>
        <c:crossBetween val="midCat"/>
        <c:dispUnits>
          <c:builtInUnit val="thousands"/>
          <c:dispUnitsLbl/>
        </c:dispUnits>
      </c:valAx>
      <c:valAx>
        <c:axId val="1925556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2556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30096"/>
        <c:axId val="517331272"/>
      </c:scatterChart>
      <c:valAx>
        <c:axId val="51733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331272"/>
        <c:crosses val="autoZero"/>
        <c:crossBetween val="midCat"/>
      </c:valAx>
      <c:valAx>
        <c:axId val="51733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33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2440"/>
        <c:axId val="18972656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8912"/>
        <c:axId val="189726952"/>
      </c:scatterChart>
      <c:valAx>
        <c:axId val="1897324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560"/>
        <c:crossesAt val="-40"/>
        <c:crossBetween val="midCat"/>
        <c:majorUnit val="20"/>
      </c:valAx>
      <c:valAx>
        <c:axId val="1897265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2440"/>
        <c:crosses val="autoZero"/>
        <c:crossBetween val="midCat"/>
      </c:valAx>
      <c:valAx>
        <c:axId val="1897269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912"/>
        <c:crosses val="max"/>
        <c:crossBetween val="midCat"/>
        <c:majorUnit val="40"/>
      </c:valAx>
      <c:valAx>
        <c:axId val="18972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2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30488"/>
        <c:axId val="517330880"/>
      </c:scatterChart>
      <c:valAx>
        <c:axId val="517330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17330880"/>
        <c:crosses val="autoZero"/>
        <c:crossBetween val="midCat"/>
      </c:valAx>
      <c:valAx>
        <c:axId val="5173308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17330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31664"/>
        <c:axId val="517332056"/>
      </c:scatterChart>
      <c:valAx>
        <c:axId val="5173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2056"/>
        <c:crosses val="autoZero"/>
        <c:crossBetween val="midCat"/>
      </c:valAx>
      <c:valAx>
        <c:axId val="51733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30440"/>
        <c:axId val="518233968"/>
      </c:scatterChart>
      <c:valAx>
        <c:axId val="5182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3968"/>
        <c:crosses val="autoZero"/>
        <c:crossBetween val="midCat"/>
      </c:valAx>
      <c:valAx>
        <c:axId val="5182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32400"/>
        <c:axId val="5182312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32008"/>
        <c:axId val="518228480"/>
      </c:scatterChart>
      <c:valAx>
        <c:axId val="5182324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1224"/>
        <c:crosses val="autoZero"/>
        <c:crossBetween val="midCat"/>
      </c:valAx>
      <c:valAx>
        <c:axId val="5182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2400"/>
        <c:crosses val="autoZero"/>
        <c:crossBetween val="midCat"/>
      </c:valAx>
      <c:valAx>
        <c:axId val="51822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2008"/>
        <c:crosses val="max"/>
        <c:crossBetween val="midCat"/>
      </c:valAx>
      <c:valAx>
        <c:axId val="518232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2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29656"/>
        <c:axId val="518231616"/>
      </c:scatterChart>
      <c:valAx>
        <c:axId val="5182296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18231616"/>
        <c:crosses val="autoZero"/>
        <c:crossBetween val="midCat"/>
      </c:valAx>
      <c:valAx>
        <c:axId val="51823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2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27304"/>
        <c:axId val="518230832"/>
      </c:scatterChart>
      <c:valAx>
        <c:axId val="51822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18230832"/>
        <c:crosses val="autoZero"/>
        <c:crossBetween val="midCat"/>
      </c:valAx>
      <c:valAx>
        <c:axId val="51823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227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30048"/>
        <c:axId val="518227696"/>
      </c:scatterChart>
      <c:valAx>
        <c:axId val="51823004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7696"/>
        <c:crosses val="autoZero"/>
        <c:crossBetween val="midCat"/>
      </c:valAx>
      <c:valAx>
        <c:axId val="5182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004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33184"/>
        <c:axId val="518228872"/>
      </c:scatterChart>
      <c:valAx>
        <c:axId val="5182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8872"/>
        <c:crosses val="autoZero"/>
        <c:crossBetween val="midCat"/>
      </c:valAx>
      <c:valAx>
        <c:axId val="5182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37056"/>
        <c:axId val="518934704"/>
      </c:scatterChart>
      <c:valAx>
        <c:axId val="5189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4704"/>
        <c:crosses val="autoZero"/>
        <c:crossBetween val="midCat"/>
      </c:valAx>
      <c:valAx>
        <c:axId val="5189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35880"/>
        <c:axId val="518935488"/>
      </c:scatterChart>
      <c:valAx>
        <c:axId val="5189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5488"/>
        <c:crosses val="autoZero"/>
        <c:crossBetween val="midCat"/>
      </c:valAx>
      <c:valAx>
        <c:axId val="518935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9696"/>
        <c:axId val="189727344"/>
      </c:scatterChart>
      <c:valAx>
        <c:axId val="189729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727344"/>
        <c:crosses val="autoZero"/>
        <c:crossBetween val="midCat"/>
      </c:valAx>
      <c:valAx>
        <c:axId val="18972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72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8128"/>
        <c:axId val="189732048"/>
      </c:scatterChart>
      <c:valAx>
        <c:axId val="189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2048"/>
        <c:crosses val="autoZero"/>
        <c:crossBetween val="midCat"/>
      </c:valAx>
      <c:valAx>
        <c:axId val="18973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2824"/>
        <c:axId val="190174392"/>
      </c:scatterChart>
      <c:valAx>
        <c:axId val="190172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0174392"/>
        <c:crosses val="autoZero"/>
        <c:crossBetween val="midCat"/>
      </c:valAx>
      <c:valAx>
        <c:axId val="1901743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0172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0</c:formatCode>
                <c:ptCount val="8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CalPhotonTurnigy!$AU$8:$AU$15</c:f>
              <c:numCache>
                <c:formatCode>0.000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0.000</c:formatCode>
                <c:ptCount val="9"/>
                <c:pt idx="0">
                  <c:v>0.35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8704"/>
        <c:axId val="190171648"/>
      </c:scatterChart>
      <c:valAx>
        <c:axId val="19017870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0171648"/>
        <c:crosses val="autoZero"/>
        <c:crossBetween val="midCat"/>
      </c:valAx>
      <c:valAx>
        <c:axId val="19017164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017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0</c:formatCode>
                <c:ptCount val="9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5960"/>
        <c:axId val="190175176"/>
      </c:scatterChart>
      <c:valAx>
        <c:axId val="19017596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90175176"/>
        <c:crosses val="autoZero"/>
        <c:crossBetween val="midCat"/>
      </c:valAx>
      <c:valAx>
        <c:axId val="19017517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0175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7920"/>
        <c:axId val="190178312"/>
      </c:scatterChart>
      <c:valAx>
        <c:axId val="1901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8312"/>
        <c:crosses val="autoZero"/>
        <c:crossBetween val="midCat"/>
      </c:valAx>
      <c:valAx>
        <c:axId val="1901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4000"/>
        <c:axId val="190174784"/>
      </c:scatterChart>
      <c:valAx>
        <c:axId val="1901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784"/>
        <c:crosses val="autoZero"/>
        <c:crossBetween val="midCat"/>
      </c:valAx>
      <c:valAx>
        <c:axId val="190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732367</xdr:colOff>
      <xdr:row>18</xdr:row>
      <xdr:rowOff>4239</xdr:rowOff>
    </xdr:from>
    <xdr:to>
      <xdr:col>52</xdr:col>
      <xdr:colOff>74990</xdr:colOff>
      <xdr:row>34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101600</xdr:colOff>
      <xdr:row>31</xdr:row>
      <xdr:rowOff>169333</xdr:rowOff>
    </xdr:from>
    <xdr:to>
      <xdr:col>43</xdr:col>
      <xdr:colOff>33867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110064</xdr:colOff>
      <xdr:row>47</xdr:row>
      <xdr:rowOff>67732</xdr:rowOff>
    </xdr:from>
    <xdr:to>
      <xdr:col>50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539432</xdr:colOff>
      <xdr:row>15</xdr:row>
      <xdr:rowOff>80645</xdr:rowOff>
    </xdr:from>
    <xdr:to>
      <xdr:col>18</xdr:col>
      <xdr:colOff>182880</xdr:colOff>
      <xdr:row>32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="90" zoomScaleNormal="90" workbookViewId="0">
      <pane ySplit="1" topLeftCell="A2" activePane="bottomLeft" state="frozen"/>
      <selection pane="bottomLeft" activeCell="AV8" sqref="AV8:AV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5546875" bestFit="1" customWidth="1"/>
    <col min="26" max="26" width="9.6640625" customWidth="1"/>
    <col min="27" max="27" width="10.7773437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1.5546875" bestFit="1" customWidth="1"/>
    <col min="38" max="38" width="9.6640625" customWidth="1"/>
    <col min="43" max="43" width="9.88671875" bestFit="1" customWidth="1"/>
    <col min="45" max="45" width="13.109375" bestFit="1" customWidth="1"/>
    <col min="46" max="46" width="12" bestFit="1" customWidth="1"/>
    <col min="47" max="47" width="10.44140625" bestFit="1" customWidth="1"/>
    <col min="48" max="48" width="10.33203125" customWidth="1"/>
    <col min="49" max="49" width="9.33203125" bestFit="1" customWidth="1"/>
    <col min="50" max="50" width="10.33203125" bestFit="1" customWidth="1"/>
  </cols>
  <sheetData>
    <row r="1" spans="1:50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214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1:50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-18.379858705839208</v>
      </c>
      <c r="AL2" s="96">
        <f t="shared" ref="AL2:AL15" si="11">($AE$32+$AF$32*AK2*$AE$26)/$AE$26</f>
        <v>7.9564345991660124E-2</v>
      </c>
      <c r="AN2">
        <f t="shared" ref="AN2:AN15" si="12">MAX($AE$31+$AF$31*AI2, 0)</f>
        <v>0</v>
      </c>
      <c r="AO2" s="127"/>
      <c r="AP2" s="127"/>
      <c r="AS2" s="127"/>
      <c r="AT2" s="127"/>
    </row>
    <row r="3" spans="1:50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9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 t="shared" ref="Y3:Y14" si="16">$Y$15*(O3/$O$15)^3</f>
        <v>1.0085009471365632E-86</v>
      </c>
      <c r="Z3" s="127">
        <f t="shared" ref="Z3:Z13" si="17">SQRT(Y3^3/4/$X$42/$X$43)</f>
        <v>9.9336577480632889E-129</v>
      </c>
      <c r="AB3">
        <f t="shared" ref="AB3:AB15" si="18">SQRT(Y3/$X$43/$X$42)</f>
        <v>1.9699848128587132E-42</v>
      </c>
      <c r="AC3" s="4">
        <f t="shared" ref="AC3:AC14" si="19">AB3*1/1.6/1000*3600</f>
        <v>4.4324658289321046E-42</v>
      </c>
      <c r="AD3" s="4">
        <f t="shared" ref="AD3:AD15" si="20">P3/60*PI()*$AA$43/1000</f>
        <v>0</v>
      </c>
      <c r="AE3" s="159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21">MAX(($AE$30+$AF$30*LN(AH3))/$AE$26,0)</f>
        <v>0</v>
      </c>
      <c r="AK3" s="96">
        <f t="shared" si="10"/>
        <v>-18.379858705839208</v>
      </c>
      <c r="AL3" s="96">
        <f t="shared" si="11"/>
        <v>7.9564345991660124E-2</v>
      </c>
      <c r="AN3">
        <f t="shared" si="12"/>
        <v>0</v>
      </c>
      <c r="AO3" s="127"/>
      <c r="AP3" s="127"/>
      <c r="AQ3" s="127"/>
      <c r="AS3" s="127"/>
      <c r="AT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2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3">($T4-$T$3)</f>
        <v>3.2163599999999999</v>
      </c>
      <c r="V4">
        <f t="shared" ref="V4:V15" si="24">($T4-$T$3)*0.001341022</f>
        <v>4.3132095199200004E-3</v>
      </c>
      <c r="W4" s="151">
        <f>$V4/$O4*5252</f>
        <v>2.9750909003520725E-3</v>
      </c>
      <c r="X4" s="151">
        <f>W4-$W$4</f>
        <v>0</v>
      </c>
      <c r="Y4" s="147">
        <f t="shared" si="16"/>
        <v>2.0610933304377455E-2</v>
      </c>
      <c r="Z4" s="127">
        <f t="shared" si="17"/>
        <v>2.9022927311282597E-2</v>
      </c>
      <c r="AA4" s="97">
        <f>Z4/U4*100</f>
        <v>0.90235319775406353</v>
      </c>
      <c r="AB4">
        <f t="shared" si="18"/>
        <v>2.8162652202769061</v>
      </c>
      <c r="AC4" s="4">
        <f t="shared" si="19"/>
        <v>6.3365967456230381</v>
      </c>
      <c r="AD4" s="4">
        <f t="shared" si="20"/>
        <v>1.7278759594743859E-27</v>
      </c>
      <c r="AE4" s="159">
        <f t="shared" ref="AE4:AE15" si="25">AD4/AB4</f>
        <v>6.1353453042483493E-28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21"/>
        <v>6.1884426051581674</v>
      </c>
      <c r="AK4" s="96">
        <f t="shared" si="10"/>
        <v>-12.342682530228062</v>
      </c>
      <c r="AL4" s="96">
        <f t="shared" si="11"/>
        <v>6.2588081558872348</v>
      </c>
      <c r="AN4">
        <f t="shared" si="12"/>
        <v>0</v>
      </c>
      <c r="AO4" s="127">
        <f t="shared" ref="AO4:AO15" si="26">MAX($AE$33+$AI4*($AF$33+$AI4*$AG$33), 0)</f>
        <v>2.8885232311502262E-4</v>
      </c>
      <c r="AP4" s="127">
        <f>AI4*AO4/5252</f>
        <v>1.568357211313355E-4</v>
      </c>
      <c r="AQ4" s="146">
        <f t="shared" ref="AQ4:AQ15" si="27">MAX($AF$33+$AG$33*2*AI4,1E-32)</f>
        <v>1.0000000000000001E-32</v>
      </c>
      <c r="AR4" s="95"/>
      <c r="AS4" s="127"/>
      <c r="AU4" s="95"/>
      <c r="AW4" s="128">
        <f t="shared" ref="AW4:AW15" si="28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2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159">
        <f>J5</f>
        <v>8.3174399999999995</v>
      </c>
      <c r="U5" s="96">
        <f t="shared" si="23"/>
        <v>3.8673999999999991</v>
      </c>
      <c r="V5">
        <f t="shared" si="24"/>
        <v>5.1862684827999987E-3</v>
      </c>
      <c r="W5" s="151">
        <f>$V5/$O5*5252</f>
        <v>3.3049115580287588E-3</v>
      </c>
      <c r="X5" s="151">
        <f t="shared" ref="X5:X15" si="29">W5-$W$4</f>
        <v>3.2982065767668631E-4</v>
      </c>
      <c r="Y5" s="95">
        <f t="shared" si="16"/>
        <v>2.6138590953952594E-2</v>
      </c>
      <c r="Z5" s="147">
        <f t="shared" si="17"/>
        <v>4.1449374957952846E-2</v>
      </c>
      <c r="AA5" s="97">
        <f t="shared" ref="AA5:AA15" si="30">Z5/U5*100</f>
        <v>1.0717633282813481</v>
      </c>
      <c r="AB5">
        <f t="shared" si="18"/>
        <v>3.1715079845713725</v>
      </c>
      <c r="AC5" s="176">
        <f t="shared" si="19"/>
        <v>7.1358929652855876</v>
      </c>
      <c r="AD5" s="176">
        <f t="shared" si="20"/>
        <v>1.7278759594743859E-27</v>
      </c>
      <c r="AE5" s="159">
        <f t="shared" si="25"/>
        <v>5.4481211079400998E-28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21"/>
        <v>9.4329452526390227</v>
      </c>
      <c r="AK5" s="96">
        <f t="shared" si="10"/>
        <v>-9.1774864809422372</v>
      </c>
      <c r="AL5" s="96">
        <f t="shared" si="11"/>
        <v>9.4984880204019451</v>
      </c>
      <c r="AN5">
        <f t="shared" si="12"/>
        <v>0</v>
      </c>
      <c r="AO5" s="127">
        <f t="shared" si="26"/>
        <v>1.9093165395329351E-4</v>
      </c>
      <c r="AP5" s="127">
        <f t="shared" ref="AP5:AP15" si="31">AI5*AO5/5252</f>
        <v>1.5802034350535392E-4</v>
      </c>
      <c r="AQ5" s="146">
        <f t="shared" si="27"/>
        <v>1.0000000000000001E-32</v>
      </c>
      <c r="AR5" s="95"/>
      <c r="AS5" s="127"/>
      <c r="AU5" s="95"/>
      <c r="AW5" s="127">
        <f t="shared" si="28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2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159">
        <f>J6</f>
        <v>9.063600000000001</v>
      </c>
      <c r="U6" s="96">
        <f t="shared" si="23"/>
        <v>4.6135600000000005</v>
      </c>
      <c r="V6">
        <f t="shared" si="24"/>
        <v>6.1868854583200013E-3</v>
      </c>
      <c r="W6" s="151">
        <f t="shared" ref="W6:W15" si="32">$V6/$O6*5252</f>
        <v>3.5742874669806306E-3</v>
      </c>
      <c r="X6" s="151">
        <f t="shared" si="29"/>
        <v>5.9919656662855807E-4</v>
      </c>
      <c r="Y6" s="95">
        <f t="shared" si="16"/>
        <v>3.5078781866062975E-2</v>
      </c>
      <c r="Z6" s="147">
        <f t="shared" si="17"/>
        <v>6.4440883029282331E-2</v>
      </c>
      <c r="AA6" s="97">
        <f t="shared" si="30"/>
        <v>1.3967713225639706</v>
      </c>
      <c r="AB6">
        <f t="shared" si="18"/>
        <v>3.6740661791124376</v>
      </c>
      <c r="AC6" s="176">
        <f t="shared" si="19"/>
        <v>8.2666489030029844</v>
      </c>
      <c r="AD6" s="176">
        <f t="shared" si="20"/>
        <v>1.7278759594743859E-27</v>
      </c>
      <c r="AE6" s="159">
        <f t="shared" si="25"/>
        <v>4.7028983018803367E-28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21"/>
        <v>12.367954907596399</v>
      </c>
      <c r="AK6" s="96">
        <f t="shared" si="10"/>
        <v>-6.3142183705895407</v>
      </c>
      <c r="AL6" s="96">
        <f t="shared" si="11"/>
        <v>12.429134937489346</v>
      </c>
      <c r="AN6">
        <f t="shared" si="12"/>
        <v>0</v>
      </c>
      <c r="AO6" s="127">
        <f t="shared" si="26"/>
        <v>1.7100500229004468E-4</v>
      </c>
      <c r="AP6" s="127">
        <f t="shared" si="31"/>
        <v>1.8556431418170516E-4</v>
      </c>
      <c r="AQ6" s="146">
        <f t="shared" si="27"/>
        <v>9.3761701698468599E-9</v>
      </c>
      <c r="AR6" s="95">
        <f>$X$36/AQ6</f>
        <v>3.9916956312459519</v>
      </c>
      <c r="AS6" s="127"/>
      <c r="AU6" s="95"/>
      <c r="AW6" s="127">
        <f t="shared" si="28"/>
        <v>1.0526315789473683E-4</v>
      </c>
      <c r="AX6" s="96">
        <f t="shared" ref="AX6:AX15" si="33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2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159">
        <f>J7</f>
        <v>9.3844799999999999</v>
      </c>
      <c r="U7" s="96">
        <f t="shared" si="23"/>
        <v>4.9344399999999995</v>
      </c>
      <c r="V7">
        <f t="shared" si="24"/>
        <v>6.6171925976800001E-3</v>
      </c>
      <c r="W7" s="151">
        <f t="shared" si="32"/>
        <v>3.5911945373782541E-3</v>
      </c>
      <c r="X7" s="151">
        <f t="shared" si="29"/>
        <v>6.1610363702618159E-4</v>
      </c>
      <c r="Y7" s="95">
        <f t="shared" si="16"/>
        <v>4.2315671978809193E-2</v>
      </c>
      <c r="Z7" s="147">
        <f t="shared" si="17"/>
        <v>8.5378120501622648E-2</v>
      </c>
      <c r="AA7" s="97">
        <f t="shared" si="30"/>
        <v>1.7302494406988971</v>
      </c>
      <c r="AB7">
        <f t="shared" si="18"/>
        <v>4.0352955067984375</v>
      </c>
      <c r="AC7" s="176">
        <f t="shared" si="19"/>
        <v>9.0794148902964853</v>
      </c>
      <c r="AD7" s="176">
        <f t="shared" si="20"/>
        <v>1.7278759594743859E-27</v>
      </c>
      <c r="AE7" s="159">
        <f t="shared" si="25"/>
        <v>4.281906880334682E-28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21"/>
        <v>15.047408792585415</v>
      </c>
      <c r="AK7" s="96">
        <f t="shared" si="10"/>
        <v>-3.700259384426984</v>
      </c>
      <c r="AL7" s="96">
        <f t="shared" si="11"/>
        <v>15.104605954852985</v>
      </c>
      <c r="AN7">
        <f t="shared" si="12"/>
        <v>0</v>
      </c>
      <c r="AO7" s="127">
        <f t="shared" si="26"/>
        <v>2.0975801042066519E-4</v>
      </c>
      <c r="AP7" s="127">
        <f t="shared" si="31"/>
        <v>2.7692873868451255E-4</v>
      </c>
      <c r="AQ7" s="146">
        <f t="shared" si="27"/>
        <v>5.3397375198359203E-8</v>
      </c>
      <c r="AR7" s="95">
        <f>$X$36/AQ7</f>
        <v>0.70091118459969504</v>
      </c>
      <c r="AS7" s="127"/>
      <c r="AU7" s="95"/>
      <c r="AW7" s="127">
        <f t="shared" si="28"/>
        <v>1.0526315789473683E-4</v>
      </c>
      <c r="AX7" s="96">
        <f t="shared" si="33"/>
        <v>1361.7398354943984</v>
      </c>
    </row>
    <row r="8" spans="1:50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 t="shared" si="15"/>
        <v>18404.907975460123</v>
      </c>
      <c r="P8" s="3">
        <f t="shared" si="22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159">
        <f t="shared" si="0"/>
        <v>20.3796</v>
      </c>
      <c r="U8" s="96">
        <f t="shared" si="23"/>
        <v>15.929559999999999</v>
      </c>
      <c r="V8">
        <f t="shared" si="24"/>
        <v>2.1361890410319998E-2</v>
      </c>
      <c r="W8" s="151">
        <f t="shared" si="32"/>
        <v>6.0958005649683674E-3</v>
      </c>
      <c r="X8" s="151">
        <f t="shared" si="29"/>
        <v>3.1207096646162949E-3</v>
      </c>
      <c r="Y8" s="95">
        <f t="shared" si="16"/>
        <v>0.29108746918734907</v>
      </c>
      <c r="Z8" s="147">
        <f t="shared" si="17"/>
        <v>1.5403875241038882</v>
      </c>
      <c r="AA8" s="97">
        <f t="shared" si="30"/>
        <v>9.66999417500476</v>
      </c>
      <c r="AB8">
        <f t="shared" si="18"/>
        <v>10.583674580044994</v>
      </c>
      <c r="AC8" s="176">
        <f t="shared" si="19"/>
        <v>23.813267805101237</v>
      </c>
      <c r="AD8" s="176">
        <f t="shared" si="20"/>
        <v>25.636141831964185</v>
      </c>
      <c r="AE8" s="159">
        <f t="shared" si="25"/>
        <v>2.422234512037992</v>
      </c>
      <c r="AF8" s="152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21"/>
        <v>37.649471024806083</v>
      </c>
      <c r="AK8" s="96">
        <f t="shared" si="10"/>
        <v>18.349332141930159</v>
      </c>
      <c r="AL8" s="96">
        <f t="shared" si="11"/>
        <v>37.673071407358293</v>
      </c>
      <c r="AM8" s="97">
        <f t="shared" ref="AM8:AM15" si="37">AN8/$AE$26</f>
        <v>18.349332141930159</v>
      </c>
      <c r="AN8" s="175">
        <f t="shared" si="12"/>
        <v>8455.3722510014177</v>
      </c>
      <c r="AO8" s="127">
        <f t="shared" si="26"/>
        <v>2.6996162202028583E-3</v>
      </c>
      <c r="AP8" s="127">
        <f t="shared" si="31"/>
        <v>8.9176138084568844E-3</v>
      </c>
      <c r="AQ8" s="146">
        <f t="shared" si="27"/>
        <v>4.2473051183708176E-7</v>
      </c>
      <c r="AR8" s="95">
        <f>$X$36/AQ8</f>
        <v>8.8118975354312457E-2</v>
      </c>
      <c r="AS8" s="127"/>
      <c r="AT8" s="154">
        <f>$AE$39*$AE$38*$AE$43^2*$AE$37*PI()/240*($AB8-$AE$44)/$AE$40</f>
        <v>-1.4269462283436393E-7</v>
      </c>
      <c r="AU8" s="152">
        <f>-$AE$42/AT8</f>
        <v>0.2622861097452871</v>
      </c>
      <c r="AW8" s="127">
        <f t="shared" si="28"/>
        <v>1.0526315789473683E-4</v>
      </c>
      <c r="AX8" s="96">
        <f t="shared" si="33"/>
        <v>171.198750482842</v>
      </c>
    </row>
    <row r="9" spans="1:50" ht="13.95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38">E9*F9</f>
        <v>29.981099999999998</v>
      </c>
      <c r="K9" s="1">
        <f t="shared" si="2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 t="shared" si="15"/>
        <v>22388.059701492537</v>
      </c>
      <c r="P9" s="3">
        <f t="shared" si="22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159">
        <f t="shared" si="0"/>
        <v>29.981099999999998</v>
      </c>
      <c r="U9" s="96">
        <f t="shared" si="23"/>
        <v>25.531059999999997</v>
      </c>
      <c r="V9">
        <f t="shared" si="24"/>
        <v>3.4237713143319998E-2</v>
      </c>
      <c r="W9" s="151">
        <f t="shared" si="32"/>
        <v>8.0318023011493427E-3</v>
      </c>
      <c r="X9" s="151">
        <f t="shared" si="29"/>
        <v>5.0567114007972706E-3</v>
      </c>
      <c r="Y9" s="95">
        <f t="shared" si="16"/>
        <v>0.52392838543999121</v>
      </c>
      <c r="Z9" s="147">
        <f t="shared" si="17"/>
        <v>3.7196546488675759</v>
      </c>
      <c r="AA9" s="97">
        <f t="shared" si="30"/>
        <v>14.569135197941552</v>
      </c>
      <c r="AB9">
        <f t="shared" si="18"/>
        <v>14.19909572467175</v>
      </c>
      <c r="AC9" s="176">
        <f t="shared" si="19"/>
        <v>31.947965380511441</v>
      </c>
      <c r="AD9" s="176">
        <f t="shared" si="20"/>
        <v>38.126124436769338</v>
      </c>
      <c r="AE9" s="159">
        <f t="shared" si="25"/>
        <v>2.6851093320346444</v>
      </c>
      <c r="AF9" s="152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21"/>
        <v>48.010895849896535</v>
      </c>
      <c r="AK9" s="96">
        <f t="shared" si="10"/>
        <v>28.457488763966602</v>
      </c>
      <c r="AL9" s="96">
        <f t="shared" si="11"/>
        <v>48.019094518047247</v>
      </c>
      <c r="AM9" s="97">
        <f t="shared" si="37"/>
        <v>28.457488763966595</v>
      </c>
      <c r="AN9" s="175">
        <f t="shared" si="12"/>
        <v>13113.210822435807</v>
      </c>
      <c r="AO9" s="127">
        <f t="shared" si="26"/>
        <v>5.1338954187745353E-3</v>
      </c>
      <c r="AP9" s="127">
        <f t="shared" si="31"/>
        <v>2.1625919408211122E-2</v>
      </c>
      <c r="AQ9" s="146">
        <f t="shared" si="27"/>
        <v>5.9496012809140091E-7</v>
      </c>
      <c r="AR9" s="95">
        <f t="shared" ref="AR9:AR15" si="39">$X$36/AQ9</f>
        <v>6.2906429754981188E-2</v>
      </c>
      <c r="AS9" s="127"/>
      <c r="AT9" s="154">
        <f>$AE$39*$AE$38*$AE$43^2*$AE$37*PI()/240*($AB9-$AE$44)/$AE$40</f>
        <v>-2.4417656242289939E-7</v>
      </c>
      <c r="AU9" s="152">
        <f t="shared" ref="AU9:AU15" si="40">-$AE$42/AT9</f>
        <v>0.15327768207325029</v>
      </c>
      <c r="AW9" s="127">
        <f t="shared" si="28"/>
        <v>1.0526315789473683E-4</v>
      </c>
      <c r="AX9" s="96">
        <f t="shared" si="33"/>
        <v>122.21547207155994</v>
      </c>
    </row>
    <row r="10" spans="1:50" ht="13.95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38"/>
        <v>53.526600000000002</v>
      </c>
      <c r="K10" s="1">
        <f t="shared" si="2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 t="shared" si="15"/>
        <v>27906.976744186049</v>
      </c>
      <c r="P10" s="3">
        <f t="shared" si="22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159">
        <f t="shared" si="0"/>
        <v>53.526600000000002</v>
      </c>
      <c r="U10" s="96">
        <f t="shared" si="23"/>
        <v>49.076560000000001</v>
      </c>
      <c r="V10">
        <f t="shared" si="24"/>
        <v>6.5812746644320005E-2</v>
      </c>
      <c r="W10" s="151">
        <f t="shared" si="32"/>
        <v>1.2385739542638876E-2</v>
      </c>
      <c r="X10" s="151">
        <f t="shared" si="29"/>
        <v>9.4106486422868042E-3</v>
      </c>
      <c r="Y10" s="95">
        <f t="shared" si="16"/>
        <v>1.014754370947528</v>
      </c>
      <c r="Z10" s="147">
        <f t="shared" si="17"/>
        <v>10.026194451469864</v>
      </c>
      <c r="AA10" s="97">
        <f t="shared" si="30"/>
        <v>20.429700964105603</v>
      </c>
      <c r="AB10">
        <f t="shared" si="18"/>
        <v>19.760830282717372</v>
      </c>
      <c r="AC10" s="176">
        <f t="shared" si="19"/>
        <v>44.461868136114084</v>
      </c>
      <c r="AD10" s="176">
        <f t="shared" si="20"/>
        <v>54.335721996049891</v>
      </c>
      <c r="AE10" s="159">
        <f t="shared" si="25"/>
        <v>2.7496679652965481</v>
      </c>
      <c r="AF10" s="152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21"/>
        <v>61.364409667042004</v>
      </c>
      <c r="AK10" s="96">
        <f t="shared" si="10"/>
        <v>41.484597621753984</v>
      </c>
      <c r="AL10" s="96">
        <f t="shared" si="11"/>
        <v>61.352759037481228</v>
      </c>
      <c r="AM10" s="97">
        <f t="shared" si="37"/>
        <v>41.484597621753984</v>
      </c>
      <c r="AN10" s="175">
        <f t="shared" si="12"/>
        <v>19116.102584104236</v>
      </c>
      <c r="AO10" s="127">
        <f t="shared" si="26"/>
        <v>9.4698404838995734E-3</v>
      </c>
      <c r="AP10" s="127">
        <f t="shared" si="31"/>
        <v>5.0985534571040117E-2</v>
      </c>
      <c r="AQ10" s="146">
        <f t="shared" si="27"/>
        <v>8.1434728488810894E-7</v>
      </c>
      <c r="AR10" s="95">
        <f t="shared" si="39"/>
        <v>4.5959283219000058E-2</v>
      </c>
      <c r="AS10" s="127"/>
      <c r="AT10" s="154">
        <f>$AE$39*$AE$38*$AE$43^2*$AE$37*PI()/240*($AB10-$AE$44)/$AE$40</f>
        <v>-4.002899411549707E-7</v>
      </c>
      <c r="AU10" s="152">
        <f t="shared" si="40"/>
        <v>9.3499270545763416E-2</v>
      </c>
      <c r="AW10" s="127">
        <f t="shared" si="28"/>
        <v>1.0526315789473683E-4</v>
      </c>
      <c r="AX10" s="96">
        <f t="shared" si="33"/>
        <v>89.290324002783549</v>
      </c>
    </row>
    <row r="11" spans="1:50" ht="13.95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38"/>
        <v>62.419400000000003</v>
      </c>
      <c r="K11" s="1">
        <f t="shared" si="2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 t="shared" si="15"/>
        <v>29702.970297029704</v>
      </c>
      <c r="P11" s="3">
        <f t="shared" si="22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159">
        <f t="shared" si="0"/>
        <v>62.419400000000003</v>
      </c>
      <c r="U11" s="96">
        <f t="shared" si="23"/>
        <v>57.969360000000002</v>
      </c>
      <c r="V11">
        <f t="shared" si="24"/>
        <v>7.7738187085920007E-2</v>
      </c>
      <c r="W11" s="151">
        <f t="shared" si="32"/>
        <v>1.3745458938700147E-2</v>
      </c>
      <c r="X11" s="151">
        <f t="shared" si="29"/>
        <v>1.0770368038348075E-2</v>
      </c>
      <c r="Y11" s="95">
        <f t="shared" si="16"/>
        <v>1.2235513543330587</v>
      </c>
      <c r="Z11" s="147">
        <f t="shared" si="17"/>
        <v>13.274801334673292</v>
      </c>
      <c r="AA11" s="97">
        <f t="shared" si="30"/>
        <v>22.899685859345851</v>
      </c>
      <c r="AB11">
        <f t="shared" si="18"/>
        <v>21.698805346685603</v>
      </c>
      <c r="AC11" s="176">
        <f t="shared" si="19"/>
        <v>48.82231203004261</v>
      </c>
      <c r="AD11" s="176">
        <f t="shared" si="20"/>
        <v>60.204737263915909</v>
      </c>
      <c r="AE11" s="159">
        <f t="shared" si="25"/>
        <v>2.7745646039961329</v>
      </c>
      <c r="AF11" s="152"/>
      <c r="AG11" s="95"/>
      <c r="AH11" s="152">
        <v>70.201599999999999</v>
      </c>
      <c r="AI11" s="153">
        <f t="shared" si="9"/>
        <v>31999.995048805355</v>
      </c>
      <c r="AJ11" s="153">
        <f t="shared" si="21"/>
        <v>69.444433699664401</v>
      </c>
      <c r="AK11" s="153">
        <f t="shared" si="10"/>
        <v>49.367118588734293</v>
      </c>
      <c r="AL11" s="153">
        <f t="shared" si="11"/>
        <v>69.420772538288901</v>
      </c>
      <c r="AM11" s="174">
        <f t="shared" si="37"/>
        <v>49.367118588734272</v>
      </c>
      <c r="AN11" s="8">
        <f t="shared" si="12"/>
        <v>22748.368245688755</v>
      </c>
      <c r="AO11" s="151">
        <f t="shared" si="26"/>
        <v>1.2749008265139302E-2</v>
      </c>
      <c r="AP11" s="151">
        <f t="shared" si="31"/>
        <v>7.7678636969085335E-2</v>
      </c>
      <c r="AQ11" s="154">
        <f t="shared" si="27"/>
        <v>9.4709537828432563E-7</v>
      </c>
      <c r="AR11" s="152">
        <f t="shared" si="39"/>
        <v>3.9517474546856564E-2</v>
      </c>
      <c r="AS11" s="151"/>
      <c r="AT11" s="154">
        <f>$AE$39*$AE$38*$AE$43^2*$AE$37*PI()/240*($AB11-$AE$44)/$AE$40</f>
        <v>-4.5468732959144716E-7</v>
      </c>
      <c r="AU11" s="152">
        <f t="shared" si="40"/>
        <v>8.2313306461443872E-2</v>
      </c>
      <c r="AW11" s="151">
        <f t="shared" si="28"/>
        <v>1.0526315789473683E-4</v>
      </c>
      <c r="AX11" s="153">
        <f t="shared" si="33"/>
        <v>76.775090012758156</v>
      </c>
    </row>
    <row r="12" spans="1:50" ht="13.95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38"/>
        <v>88.904499999999999</v>
      </c>
      <c r="K12" s="1">
        <f t="shared" si="2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 t="shared" si="15"/>
        <v>33898.305084745763</v>
      </c>
      <c r="P12" s="3">
        <f t="shared" si="22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159">
        <f t="shared" si="0"/>
        <v>88.904499999999999</v>
      </c>
      <c r="U12" s="96">
        <f t="shared" si="23"/>
        <v>84.454459999999997</v>
      </c>
      <c r="V12">
        <f t="shared" si="24"/>
        <v>0.11325528885812</v>
      </c>
      <c r="W12" s="151">
        <f t="shared" si="32"/>
        <v>1.7547094923943962E-2</v>
      </c>
      <c r="X12" s="151">
        <f t="shared" si="29"/>
        <v>1.457200402359189E-2</v>
      </c>
      <c r="Y12" s="95">
        <f t="shared" si="16"/>
        <v>1.8186809231218306</v>
      </c>
      <c r="Z12" s="147">
        <f t="shared" si="17"/>
        <v>24.056336730546136</v>
      </c>
      <c r="AA12" s="97">
        <f t="shared" si="30"/>
        <v>28.484388782482462</v>
      </c>
      <c r="AB12">
        <f t="shared" si="18"/>
        <v>26.454708381998728</v>
      </c>
      <c r="AC12" s="176">
        <f t="shared" si="19"/>
        <v>59.523093859497131</v>
      </c>
      <c r="AD12" s="176">
        <f t="shared" si="20"/>
        <v>71.994831644766094</v>
      </c>
      <c r="AE12" s="159">
        <f t="shared" si="25"/>
        <v>2.7214373564501444</v>
      </c>
      <c r="AF12" s="152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21"/>
        <v>76.75084997835306</v>
      </c>
      <c r="AK12" s="96">
        <f t="shared" si="10"/>
        <v>56.494941386998597</v>
      </c>
      <c r="AL12" s="96">
        <f t="shared" si="11"/>
        <v>76.716328212502532</v>
      </c>
      <c r="AM12" s="97">
        <f t="shared" si="37"/>
        <v>56.494941386998597</v>
      </c>
      <c r="AN12" s="175">
        <f t="shared" si="12"/>
        <v>26032.868991128955</v>
      </c>
      <c r="AO12" s="127">
        <f t="shared" si="26"/>
        <v>1.6139758156510163E-2</v>
      </c>
      <c r="AP12" s="127">
        <f t="shared" si="31"/>
        <v>0.10868458955176756</v>
      </c>
      <c r="AQ12" s="146">
        <f t="shared" si="27"/>
        <v>1.0671337379029437E-6</v>
      </c>
      <c r="AR12" s="95">
        <f t="shared" si="39"/>
        <v>3.5072283984146989E-2</v>
      </c>
      <c r="AS12" s="127"/>
      <c r="AT12" s="154">
        <f>$AE$39*$AE$38*$AE$43^2*$AE$37*PI()/240*($AB12-$AE$44)/$AE$40</f>
        <v>-5.8818167097291436E-7</v>
      </c>
      <c r="AU12" s="152">
        <f t="shared" si="40"/>
        <v>6.3631390354086409E-2</v>
      </c>
      <c r="AW12" s="127">
        <f t="shared" si="28"/>
        <v>1.0526315789473683E-4</v>
      </c>
      <c r="AX12" s="96">
        <f t="shared" si="33"/>
        <v>68.138912992609036</v>
      </c>
    </row>
    <row r="13" spans="1:50" ht="13.95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38"/>
        <v>135.96</v>
      </c>
      <c r="K13" s="1">
        <f t="shared" si="2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 t="shared" si="15"/>
        <v>39473.68421052632</v>
      </c>
      <c r="P13" s="3">
        <f t="shared" si="22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159">
        <f t="shared" si="0"/>
        <v>135.96</v>
      </c>
      <c r="U13" s="96">
        <f t="shared" si="23"/>
        <v>131.50996000000001</v>
      </c>
      <c r="V13">
        <f t="shared" si="24"/>
        <v>0.17635774957912001</v>
      </c>
      <c r="W13" s="151">
        <f t="shared" si="32"/>
        <v>2.3464516153334967E-2</v>
      </c>
      <c r="X13" s="151">
        <f t="shared" si="29"/>
        <v>2.0489425252982894E-2</v>
      </c>
      <c r="Y13" s="95">
        <f t="shared" si="16"/>
        <v>2.8717428376966052</v>
      </c>
      <c r="Z13" s="147">
        <f t="shared" si="17"/>
        <v>47.7323753483956</v>
      </c>
      <c r="AA13" s="97">
        <f t="shared" si="30"/>
        <v>36.295635211504582</v>
      </c>
      <c r="AB13">
        <f t="shared" si="18"/>
        <v>33.242792301473095</v>
      </c>
      <c r="AC13" s="176">
        <f t="shared" si="19"/>
        <v>74.796282678314469</v>
      </c>
      <c r="AD13" s="176">
        <f t="shared" si="20"/>
        <v>86.39379797371933</v>
      </c>
      <c r="AE13" s="164">
        <f t="shared" si="25"/>
        <v>2.5988730787182082</v>
      </c>
      <c r="AF13" s="160">
        <f>$AS$29/($AE$38*$AE$43*$AE$37*$AB13^2/4/$AE13)/(PI()*$AE$43/60/($AB13-$AE$44))</f>
        <v>-0.70892513020582326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21"/>
        <v>87.210974546743557</v>
      </c>
      <c r="AK13" s="96">
        <f t="shared" si="10"/>
        <v>66.699385197396978</v>
      </c>
      <c r="AL13" s="96">
        <f t="shared" si="11"/>
        <v>87.16090435450127</v>
      </c>
      <c r="AM13" s="97">
        <f t="shared" si="37"/>
        <v>66.699385197396992</v>
      </c>
      <c r="AN13" s="175">
        <f t="shared" si="12"/>
        <v>30735.076698960533</v>
      </c>
      <c r="AO13" s="127">
        <f t="shared" si="26"/>
        <v>2.1697533384729531E-2</v>
      </c>
      <c r="AP13" s="127">
        <f t="shared" si="31"/>
        <v>0.16602338252609797</v>
      </c>
      <c r="AQ13" s="146">
        <f t="shared" si="27"/>
        <v>1.2389849090794855E-6</v>
      </c>
      <c r="AR13" s="95">
        <f t="shared" si="39"/>
        <v>3.0207645977385553E-2</v>
      </c>
      <c r="AS13" s="127"/>
      <c r="AT13" s="154">
        <f>$AE$39*$AE$38*$AE$43^2*$AE$37*PI()/240*($AB13-$AE$44)/$AE$40</f>
        <v>-7.7871768176706566E-7</v>
      </c>
      <c r="AU13" s="134">
        <f t="shared" si="40"/>
        <v>4.8062113370621579E-2</v>
      </c>
      <c r="AW13" s="127">
        <f t="shared" si="28"/>
        <v>1.0526315789473683E-4</v>
      </c>
      <c r="AX13" s="96">
        <f t="shared" si="33"/>
        <v>58.687827741557669</v>
      </c>
    </row>
    <row r="14" spans="1:50" ht="13.95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38"/>
        <v>192.75</v>
      </c>
      <c r="K14" s="1">
        <f t="shared" si="2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 t="shared" si="15"/>
        <v>43988.269794721404</v>
      </c>
      <c r="P14" s="3">
        <f t="shared" si="22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159">
        <f t="shared" si="0"/>
        <v>192.75</v>
      </c>
      <c r="U14" s="96">
        <f t="shared" si="23"/>
        <v>188.29996</v>
      </c>
      <c r="V14">
        <f t="shared" si="24"/>
        <v>0.25251438895912004</v>
      </c>
      <c r="W14" s="151">
        <f t="shared" si="32"/>
        <v>3.0149073309822319E-2</v>
      </c>
      <c r="X14" s="151">
        <f t="shared" si="29"/>
        <v>2.7173982409470245E-2</v>
      </c>
      <c r="Y14" s="95">
        <f t="shared" si="16"/>
        <v>3.9740488334719357</v>
      </c>
      <c r="Z14" s="147">
        <f>SQRT(Y14^3/4/$X$42/$X$43)</f>
        <v>77.704205877508215</v>
      </c>
      <c r="AA14" s="97">
        <f t="shared" si="30"/>
        <v>41.266182891121282</v>
      </c>
      <c r="AB14">
        <f t="shared" si="18"/>
        <v>39.105813307091033</v>
      </c>
      <c r="AC14" s="176">
        <f t="shared" si="19"/>
        <v>87.988079940954819</v>
      </c>
      <c r="AD14" s="176">
        <f t="shared" si="20"/>
        <v>99.303216061746326</v>
      </c>
      <c r="AE14" s="159">
        <f t="shared" si="25"/>
        <v>2.5393466511471257</v>
      </c>
      <c r="AF14" s="152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21"/>
        <v>93.835177516070971</v>
      </c>
      <c r="AK14" s="96">
        <f t="shared" si="10"/>
        <v>73.161670282743415</v>
      </c>
      <c r="AL14" s="96">
        <f t="shared" si="11"/>
        <v>93.775260793646453</v>
      </c>
      <c r="AM14" s="97">
        <f t="shared" si="37"/>
        <v>73.161670282743401</v>
      </c>
      <c r="AN14" s="175">
        <f t="shared" si="12"/>
        <v>33712.897666288161</v>
      </c>
      <c r="AO14" s="127">
        <f t="shared" si="26"/>
        <v>2.5645549843300849E-2</v>
      </c>
      <c r="AP14" s="127">
        <f t="shared" si="31"/>
        <v>0.21113753539938881</v>
      </c>
      <c r="AQ14" s="146">
        <f t="shared" si="27"/>
        <v>1.3478150698435463E-6</v>
      </c>
      <c r="AR14" s="95">
        <f t="shared" si="39"/>
        <v>2.7768510934620141E-2</v>
      </c>
      <c r="AS14" s="127"/>
      <c r="AT14" s="154">
        <f>$AE$39*$AE$38*$AE$43^2*$AE$37*PI()/240*($AB14-$AE$44)/$AE$40</f>
        <v>-9.4328792675296726E-7</v>
      </c>
      <c r="AU14" s="152">
        <f t="shared" si="40"/>
        <v>3.9676981378982325E-2</v>
      </c>
      <c r="AW14" s="127">
        <f t="shared" si="28"/>
        <v>1.0526315789473683E-4</v>
      </c>
      <c r="AX14" s="96">
        <f t="shared" si="33"/>
        <v>53.949042821495425</v>
      </c>
    </row>
    <row r="15" spans="1:50" ht="13.95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38"/>
        <v>209.1</v>
      </c>
      <c r="K15" s="1">
        <f t="shared" si="2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 t="shared" si="15"/>
        <v>45592.705167173255</v>
      </c>
      <c r="P15" s="3">
        <f t="shared" si="22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159">
        <f t="shared" si="0"/>
        <v>209.1</v>
      </c>
      <c r="U15" s="96">
        <f t="shared" si="23"/>
        <v>204.64995999999999</v>
      </c>
      <c r="V15">
        <f t="shared" si="24"/>
        <v>0.27444009865912</v>
      </c>
      <c r="W15" s="151">
        <f t="shared" si="32"/>
        <v>3.1613816132925514E-2</v>
      </c>
      <c r="X15" s="151">
        <f t="shared" si="29"/>
        <v>2.863872523257344E-2</v>
      </c>
      <c r="Y15" s="134">
        <f>$Z$41</f>
        <v>4.4249528005034611</v>
      </c>
      <c r="Z15" s="147">
        <f>SQRT(Y15^3/4/$X$42/$X$43)</f>
        <v>91.297248929319878</v>
      </c>
      <c r="AA15" s="97">
        <f t="shared" si="30"/>
        <v>44.611417920296624</v>
      </c>
      <c r="AB15">
        <f t="shared" si="18"/>
        <v>41.264733453849395</v>
      </c>
      <c r="AC15" s="176">
        <f>AB15*1/1.6/1000*3600</f>
        <v>92.845650271161119</v>
      </c>
      <c r="AD15" s="176">
        <f t="shared" si="20"/>
        <v>102.84975949252301</v>
      </c>
      <c r="AE15" s="166">
        <f t="shared" si="25"/>
        <v>2.4924372674683695</v>
      </c>
      <c r="AF15" s="152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21"/>
        <v>95.760447741647312</v>
      </c>
      <c r="AK15" s="96">
        <f t="shared" si="10"/>
        <v>75.03988040426492</v>
      </c>
      <c r="AL15" s="96">
        <f t="shared" si="11"/>
        <v>95.697669206039706</v>
      </c>
      <c r="AM15" s="97">
        <f t="shared" si="37"/>
        <v>75.03988040426492</v>
      </c>
      <c r="AN15" s="175">
        <f t="shared" si="12"/>
        <v>34578.376890285275</v>
      </c>
      <c r="AO15" s="127">
        <f t="shared" si="26"/>
        <v>2.6855314322647372E-2</v>
      </c>
      <c r="AP15" s="127">
        <f t="shared" si="31"/>
        <v>0.22563380169031633</v>
      </c>
      <c r="AQ15" s="146">
        <f t="shared" si="27"/>
        <v>1.3794456628573665E-6</v>
      </c>
      <c r="AR15" s="95">
        <f t="shared" si="39"/>
        <v>2.7131780912102679E-2</v>
      </c>
      <c r="AS15" s="127"/>
      <c r="AT15" s="154">
        <f>$AE$39*$AE$38*$AE$43^2*$AE$37*PI()/240*($AB15-$AE$44)/$AE$40</f>
        <v>-1.0038870644870091E-6</v>
      </c>
      <c r="AU15" s="152">
        <f t="shared" si="40"/>
        <v>3.7281900353922377E-2</v>
      </c>
      <c r="AW15" s="127">
        <f t="shared" si="28"/>
        <v>1.0526315789473683E-4</v>
      </c>
      <c r="AX15" s="96">
        <f t="shared" si="33"/>
        <v>52.711995025471928</v>
      </c>
    </row>
    <row r="16" spans="1:50" ht="13.95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5" customHeight="1" x14ac:dyDescent="0.3"/>
    <row r="18" spans="1:46" ht="13.95" customHeight="1" x14ac:dyDescent="0.3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1">E18*F18</f>
        <v>5.8512000000000004</v>
      </c>
      <c r="K18" s="1">
        <f t="shared" ref="K18:K26" si="42">C18</f>
        <v>9</v>
      </c>
      <c r="L18" s="1">
        <f t="shared" ref="L18:L26" si="43">LN(K18)</f>
        <v>2.1972245773362196</v>
      </c>
      <c r="M18" s="3">
        <f t="shared" ref="M18:M26" si="44">1/G18/0.000001</f>
        <v>162.33766233766235</v>
      </c>
      <c r="N18" s="3"/>
      <c r="O18" s="3">
        <f t="shared" ref="O18:O26" si="45">M18*60/$X$29</f>
        <v>9740.2597402597403</v>
      </c>
      <c r="P18" s="3"/>
      <c r="Q18" s="3">
        <f t="shared" ref="Q18:Q26" si="46">O18/$X$40*100</f>
        <v>21.137716450216452</v>
      </c>
      <c r="R18" s="3"/>
      <c r="S18" s="3">
        <f t="shared" ref="S18:S26" si="47">K18</f>
        <v>9</v>
      </c>
      <c r="T18" s="4">
        <f t="shared" ref="T18:T26" si="48">J18</f>
        <v>5.8512000000000004</v>
      </c>
      <c r="U18" s="4"/>
      <c r="V18">
        <f t="shared" ref="V18:V26" si="49">T18*0.001341022</f>
        <v>7.8465879264000005E-3</v>
      </c>
      <c r="W18" s="151">
        <f t="shared" ref="W18:W26" si="50">$V18/$O18*5252</f>
        <v>4.230922058383821E-3</v>
      </c>
      <c r="X18" s="151">
        <f t="shared" ref="X18:X26" si="51">W18-$W$4</f>
        <v>1.2558311580317485E-3</v>
      </c>
      <c r="AN18" s="158" t="s">
        <v>213</v>
      </c>
      <c r="AO18" s="158"/>
      <c r="AP18" s="158"/>
      <c r="AQ18" s="158"/>
    </row>
    <row r="19" spans="1:46" ht="13.95" customHeight="1" x14ac:dyDescent="0.3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1"/>
        <v>7.7969999999999997</v>
      </c>
      <c r="K19" s="1">
        <f t="shared" si="42"/>
        <v>13</v>
      </c>
      <c r="L19" s="1">
        <f t="shared" si="43"/>
        <v>2.5649493574615367</v>
      </c>
      <c r="M19" s="3">
        <f t="shared" si="44"/>
        <v>196.85039370078741</v>
      </c>
      <c r="N19" s="3"/>
      <c r="O19" s="3">
        <f t="shared" si="45"/>
        <v>11811.023622047245</v>
      </c>
      <c r="P19" s="3"/>
      <c r="Q19" s="3">
        <f t="shared" si="46"/>
        <v>25.631561679790028</v>
      </c>
      <c r="R19" s="3"/>
      <c r="S19" s="3">
        <f t="shared" si="47"/>
        <v>13</v>
      </c>
      <c r="T19" s="4">
        <f t="shared" si="48"/>
        <v>7.7969999999999997</v>
      </c>
      <c r="U19" s="4"/>
      <c r="V19">
        <f t="shared" si="49"/>
        <v>1.0455948534E-2</v>
      </c>
      <c r="W19" s="151">
        <f t="shared" si="50"/>
        <v>4.6494396639814237E-3</v>
      </c>
      <c r="X19" s="151">
        <f t="shared" si="51"/>
        <v>1.6743487636293511E-3</v>
      </c>
      <c r="AM19" s="5" t="s">
        <v>132</v>
      </c>
      <c r="AN19" s="158" t="s">
        <v>100</v>
      </c>
      <c r="AO19" s="158" t="s">
        <v>139</v>
      </c>
      <c r="AP19" s="158" t="s">
        <v>140</v>
      </c>
      <c r="AQ19" s="158" t="s">
        <v>131</v>
      </c>
      <c r="AR19" s="158" t="s">
        <v>164</v>
      </c>
      <c r="AS19" s="158" t="s">
        <v>173</v>
      </c>
    </row>
    <row r="20" spans="1:46" ht="13.95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1"/>
        <v>18.150000000000002</v>
      </c>
      <c r="K20" s="1">
        <f t="shared" si="42"/>
        <v>26</v>
      </c>
      <c r="L20" s="1">
        <f t="shared" si="43"/>
        <v>3.2580965380214821</v>
      </c>
      <c r="M20" s="3">
        <f t="shared" si="44"/>
        <v>314.46540880503147</v>
      </c>
      <c r="N20" s="3"/>
      <c r="O20" s="3">
        <f t="shared" si="45"/>
        <v>18867.92452830189</v>
      </c>
      <c r="P20" s="3"/>
      <c r="Q20" s="3">
        <f t="shared" si="46"/>
        <v>40.946016771488473</v>
      </c>
      <c r="R20" s="3"/>
      <c r="S20" s="3">
        <f t="shared" si="47"/>
        <v>26</v>
      </c>
      <c r="T20" s="4">
        <f t="shared" si="48"/>
        <v>18.150000000000002</v>
      </c>
      <c r="U20" s="4"/>
      <c r="V20">
        <f t="shared" si="49"/>
        <v>2.4339549300000006E-2</v>
      </c>
      <c r="W20" s="151">
        <f t="shared" si="50"/>
        <v>6.7750595849508004E-3</v>
      </c>
      <c r="X20" s="151">
        <f t="shared" si="51"/>
        <v>3.7999686845987279E-3</v>
      </c>
      <c r="AM20" s="5"/>
      <c r="AN20" s="158"/>
      <c r="AO20" s="158" t="s">
        <v>152</v>
      </c>
      <c r="AP20" s="158" t="s">
        <v>153</v>
      </c>
      <c r="AQ20" s="158"/>
      <c r="AR20" s="158"/>
      <c r="AS20" s="158"/>
    </row>
    <row r="21" spans="1:46" ht="13.95" customHeight="1" thickBot="1" x14ac:dyDescent="0.35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1"/>
        <v>28.516800000000003</v>
      </c>
      <c r="K21" s="1">
        <f t="shared" si="42"/>
        <v>36</v>
      </c>
      <c r="L21" s="1">
        <f t="shared" si="43"/>
        <v>3.5835189384561099</v>
      </c>
      <c r="M21" s="3">
        <f t="shared" si="44"/>
        <v>377.35849056603774</v>
      </c>
      <c r="N21" s="3"/>
      <c r="O21" s="3">
        <f t="shared" si="45"/>
        <v>22641.509433962266</v>
      </c>
      <c r="P21" s="3"/>
      <c r="Q21" s="3">
        <f t="shared" si="46"/>
        <v>49.135220125786169</v>
      </c>
      <c r="R21" s="3"/>
      <c r="S21" s="3">
        <f t="shared" si="47"/>
        <v>36</v>
      </c>
      <c r="T21" s="4">
        <f t="shared" si="48"/>
        <v>28.516800000000003</v>
      </c>
      <c r="U21" s="4"/>
      <c r="V21">
        <f t="shared" si="49"/>
        <v>3.8241656169600007E-2</v>
      </c>
      <c r="W21" s="151">
        <f t="shared" si="50"/>
        <v>8.8706620372876483E-3</v>
      </c>
      <c r="X21" s="151">
        <f t="shared" si="51"/>
        <v>5.8955711369355762E-3</v>
      </c>
      <c r="AD21" s="5" t="s">
        <v>56</v>
      </c>
      <c r="AE21" s="5"/>
      <c r="AF21" s="5"/>
      <c r="AG21" s="5"/>
      <c r="AM21" s="5">
        <f t="shared" ref="AM21:AM29" si="52">AN21*$AE$26</f>
        <v>7372.8</v>
      </c>
      <c r="AN21" s="158">
        <v>16</v>
      </c>
      <c r="AO21" s="158">
        <v>3.3218574470251366E-4</v>
      </c>
      <c r="AP21" s="158">
        <v>7.3801227827272476E-4</v>
      </c>
      <c r="AQ21" s="173">
        <v>0.35</v>
      </c>
      <c r="AR21" s="158">
        <v>6.9047658670256907E-8</v>
      </c>
      <c r="AS21" s="158" t="s">
        <v>201</v>
      </c>
    </row>
    <row r="22" spans="1:46" ht="13.95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1"/>
        <v>51.68</v>
      </c>
      <c r="K22" s="1">
        <f t="shared" si="42"/>
        <v>56</v>
      </c>
      <c r="L22" s="1">
        <f t="shared" si="43"/>
        <v>4.0253516907351496</v>
      </c>
      <c r="M22" s="3">
        <f t="shared" si="44"/>
        <v>483.09178743961354</v>
      </c>
      <c r="N22" s="3"/>
      <c r="O22" s="3">
        <f t="shared" si="45"/>
        <v>28985.507246376812</v>
      </c>
      <c r="P22" s="3"/>
      <c r="Q22" s="3">
        <f t="shared" si="46"/>
        <v>62.902576489533011</v>
      </c>
      <c r="R22" s="3"/>
      <c r="S22" s="3">
        <f t="shared" si="47"/>
        <v>56</v>
      </c>
      <c r="T22" s="4">
        <f t="shared" si="48"/>
        <v>51.68</v>
      </c>
      <c r="U22" s="4"/>
      <c r="V22">
        <f t="shared" si="49"/>
        <v>6.9304016960000006E-2</v>
      </c>
      <c r="W22" s="151">
        <f t="shared" si="50"/>
        <v>1.255747204905024E-2</v>
      </c>
      <c r="X22" s="151">
        <f t="shared" si="51"/>
        <v>9.5823811486981676E-3</v>
      </c>
      <c r="AD22" s="62" t="s">
        <v>15</v>
      </c>
      <c r="AE22" s="63">
        <f>X47</f>
        <v>5</v>
      </c>
      <c r="AF22" s="64"/>
      <c r="AG22" s="29"/>
      <c r="AI22" s="17" t="s">
        <v>134</v>
      </c>
      <c r="AJ22" s="28"/>
      <c r="AK22" s="28"/>
      <c r="AL22" s="29"/>
      <c r="AM22" s="5">
        <f t="shared" si="52"/>
        <v>9216</v>
      </c>
      <c r="AN22" s="158">
        <v>20</v>
      </c>
      <c r="AO22" s="158">
        <v>7.4483427705766901E-4</v>
      </c>
      <c r="AP22" s="158">
        <v>6.978697406499287E-4</v>
      </c>
      <c r="AQ22" s="173">
        <v>0.28000000000000003</v>
      </c>
      <c r="AR22" s="158">
        <v>1.3476434112578325E-7</v>
      </c>
      <c r="AS22" s="158" t="s">
        <v>201</v>
      </c>
    </row>
    <row r="23" spans="1:46" ht="13.95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1"/>
        <v>59.349000000000004</v>
      </c>
      <c r="K23" s="1">
        <f t="shared" si="42"/>
        <v>64</v>
      </c>
      <c r="L23" s="1">
        <f t="shared" si="43"/>
        <v>4.1588830833596715</v>
      </c>
      <c r="M23" s="3">
        <f t="shared" si="44"/>
        <v>500.00000000000006</v>
      </c>
      <c r="N23" s="3"/>
      <c r="O23" s="3">
        <f t="shared" si="45"/>
        <v>30000.000000000004</v>
      </c>
      <c r="P23" s="3"/>
      <c r="Q23" s="3">
        <f t="shared" si="46"/>
        <v>65.104166666666671</v>
      </c>
      <c r="R23" s="3"/>
      <c r="S23" s="3">
        <f t="shared" si="47"/>
        <v>64</v>
      </c>
      <c r="T23" s="4">
        <f t="shared" si="48"/>
        <v>59.349000000000004</v>
      </c>
      <c r="U23" s="4"/>
      <c r="V23">
        <f t="shared" si="49"/>
        <v>7.9588314678000011E-2</v>
      </c>
      <c r="W23" s="151">
        <f t="shared" si="50"/>
        <v>1.39332609562952E-2</v>
      </c>
      <c r="X23" s="151">
        <f t="shared" si="51"/>
        <v>1.0958170055943128E-2</v>
      </c>
      <c r="AD23" s="65" t="s">
        <v>14</v>
      </c>
      <c r="AE23" s="66">
        <f>X46</f>
        <v>0</v>
      </c>
      <c r="AF23" s="45"/>
      <c r="AG23" s="31"/>
      <c r="AI23" s="19" t="s">
        <v>128</v>
      </c>
      <c r="AJ23" s="30">
        <v>25</v>
      </c>
      <c r="AK23" s="30" t="s">
        <v>93</v>
      </c>
      <c r="AL23" s="31"/>
      <c r="AM23" s="5">
        <f t="shared" si="52"/>
        <v>11520</v>
      </c>
      <c r="AN23" s="158">
        <v>25</v>
      </c>
      <c r="AO23" s="158">
        <v>1.8196732395486779E-3</v>
      </c>
      <c r="AP23" s="158">
        <v>8.2156541787077825E-4</v>
      </c>
      <c r="AQ23" s="173">
        <v>0.19</v>
      </c>
      <c r="AR23" s="158">
        <v>2.1691019419519116E-7</v>
      </c>
      <c r="AS23" s="158" t="s">
        <v>201</v>
      </c>
    </row>
    <row r="24" spans="1:46" ht="13.95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1"/>
        <v>84.545999999999992</v>
      </c>
      <c r="K24" s="1">
        <f t="shared" si="42"/>
        <v>89</v>
      </c>
      <c r="L24" s="1">
        <f t="shared" si="43"/>
        <v>4.4886363697321396</v>
      </c>
      <c r="M24" s="3">
        <f t="shared" si="44"/>
        <v>568.18181818181813</v>
      </c>
      <c r="N24" s="3"/>
      <c r="O24" s="3">
        <f t="shared" si="45"/>
        <v>34090.909090909088</v>
      </c>
      <c r="P24" s="3"/>
      <c r="Q24" s="3">
        <f t="shared" si="46"/>
        <v>73.982007575757564</v>
      </c>
      <c r="R24" s="3"/>
      <c r="S24" s="3">
        <f t="shared" si="47"/>
        <v>89</v>
      </c>
      <c r="T24" s="4">
        <f t="shared" si="48"/>
        <v>84.545999999999992</v>
      </c>
      <c r="U24" s="4"/>
      <c r="V24">
        <f t="shared" si="49"/>
        <v>0.11337804601199999</v>
      </c>
      <c r="W24" s="151">
        <f t="shared" si="50"/>
        <v>1.7466870597880702E-2</v>
      </c>
      <c r="X24" s="151">
        <f t="shared" si="51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I24" s="19" t="s">
        <v>144</v>
      </c>
      <c r="AJ24" s="30">
        <v>2.1797</v>
      </c>
      <c r="AK24" s="30" t="s">
        <v>94</v>
      </c>
      <c r="AL24" s="31"/>
      <c r="AM24" s="5">
        <f t="shared" si="52"/>
        <v>16588.8</v>
      </c>
      <c r="AN24" s="158">
        <v>36</v>
      </c>
      <c r="AO24" s="158">
        <v>7.5397784789642732E-3</v>
      </c>
      <c r="AP24" s="158">
        <v>2.7131440751281396E-3</v>
      </c>
      <c r="AQ24" s="173">
        <v>0.14000000000000001</v>
      </c>
      <c r="AR24" s="158">
        <v>3.9763107094788859E-7</v>
      </c>
      <c r="AS24" s="158" t="s">
        <v>201</v>
      </c>
    </row>
    <row r="25" spans="1:46" ht="13.95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1"/>
        <v>153.26999999999998</v>
      </c>
      <c r="K25" s="1">
        <f t="shared" si="42"/>
        <v>143</v>
      </c>
      <c r="L25" s="1">
        <f t="shared" si="43"/>
        <v>4.962844630259907</v>
      </c>
      <c r="M25" s="3">
        <f t="shared" si="44"/>
        <v>699.30069930069931</v>
      </c>
      <c r="N25" s="3"/>
      <c r="O25" s="3">
        <f t="shared" si="45"/>
        <v>41958.041958041955</v>
      </c>
      <c r="P25" s="3"/>
      <c r="Q25" s="3">
        <f t="shared" si="46"/>
        <v>91.054778554778551</v>
      </c>
      <c r="R25" s="3"/>
      <c r="S25" s="3">
        <f t="shared" si="47"/>
        <v>143</v>
      </c>
      <c r="T25" s="4">
        <f t="shared" si="48"/>
        <v>153.26999999999998</v>
      </c>
      <c r="U25" s="4"/>
      <c r="V25">
        <f t="shared" si="49"/>
        <v>0.20553844193999998</v>
      </c>
      <c r="W25" s="151">
        <f t="shared" si="50"/>
        <v>2.5727794880141638E-2</v>
      </c>
      <c r="X25" s="151">
        <f t="shared" si="51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I25" s="19" t="s">
        <v>129</v>
      </c>
      <c r="AJ25" s="30">
        <f>($AJ$23/25.4)^2*$AJ$24/1000*2.2/3</f>
        <v>1.5484983053299442E-3</v>
      </c>
      <c r="AK25" s="30" t="s">
        <v>96</v>
      </c>
      <c r="AL25" s="178" t="s">
        <v>146</v>
      </c>
      <c r="AM25" s="5">
        <f t="shared" si="52"/>
        <v>20736</v>
      </c>
      <c r="AN25" s="158">
        <v>45</v>
      </c>
      <c r="AO25" s="158">
        <v>1.7146093021340732E-2</v>
      </c>
      <c r="AP25" s="158">
        <v>7.1180011608729891E-3</v>
      </c>
      <c r="AQ25" s="173">
        <v>0.11</v>
      </c>
      <c r="AR25" s="158">
        <v>5.4549360647282279E-7</v>
      </c>
      <c r="AS25" s="158" t="s">
        <v>201</v>
      </c>
    </row>
    <row r="26" spans="1:46" ht="13.95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1"/>
        <v>214.45920000000001</v>
      </c>
      <c r="K26" s="1">
        <f t="shared" si="42"/>
        <v>165</v>
      </c>
      <c r="L26" s="1">
        <f t="shared" si="43"/>
        <v>5.1059454739005803</v>
      </c>
      <c r="M26" s="3">
        <f t="shared" si="44"/>
        <v>781.25000000000011</v>
      </c>
      <c r="N26" s="3"/>
      <c r="O26" s="3">
        <f t="shared" si="45"/>
        <v>46875.000000000007</v>
      </c>
      <c r="P26" s="3"/>
      <c r="Q26" s="3">
        <f t="shared" si="46"/>
        <v>101.72526041666667</v>
      </c>
      <c r="R26" s="3"/>
      <c r="S26" s="3">
        <f t="shared" si="47"/>
        <v>165</v>
      </c>
      <c r="T26" s="4">
        <f t="shared" si="48"/>
        <v>214.45920000000001</v>
      </c>
      <c r="U26" s="4"/>
      <c r="V26">
        <f t="shared" si="49"/>
        <v>0.28759450530240005</v>
      </c>
      <c r="W26" s="151">
        <f t="shared" si="50"/>
        <v>3.2222855292761705E-2</v>
      </c>
      <c r="X26" s="151">
        <f t="shared" si="51"/>
        <v>2.9247764392409632E-2</v>
      </c>
      <c r="AD26" s="65" t="s">
        <v>27</v>
      </c>
      <c r="AE26" s="66">
        <f>X40/100</f>
        <v>460.8</v>
      </c>
      <c r="AF26" s="30"/>
      <c r="AG26" s="31"/>
      <c r="AI26" s="19" t="s">
        <v>141</v>
      </c>
      <c r="AJ26" s="179">
        <f>3/8/2*25.4</f>
        <v>4.7624999999999993</v>
      </c>
      <c r="AK26" s="30" t="s">
        <v>93</v>
      </c>
      <c r="AL26" s="31" t="s">
        <v>142</v>
      </c>
      <c r="AM26" s="5">
        <f t="shared" si="52"/>
        <v>23040</v>
      </c>
      <c r="AN26" s="158">
        <v>50</v>
      </c>
      <c r="AO26" s="158">
        <v>2.4979887676232684E-2</v>
      </c>
      <c r="AP26" s="158">
        <v>1.1143313366134135E-2</v>
      </c>
      <c r="AQ26" s="173">
        <v>0.09</v>
      </c>
      <c r="AR26" s="158">
        <v>6.2763945954223071E-7</v>
      </c>
      <c r="AS26" s="158" t="s">
        <v>201</v>
      </c>
    </row>
    <row r="27" spans="1:46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I27" s="19" t="s">
        <v>143</v>
      </c>
      <c r="AJ27" s="179">
        <f>3/4*25.4</f>
        <v>19.049999999999997</v>
      </c>
      <c r="AK27" s="30" t="s">
        <v>93</v>
      </c>
      <c r="AL27" s="31" t="s">
        <v>142</v>
      </c>
      <c r="AM27" s="5">
        <f t="shared" si="52"/>
        <v>23961.600000000002</v>
      </c>
      <c r="AN27" s="158">
        <v>52</v>
      </c>
      <c r="AO27" s="158">
        <v>2.8687189497277076E-2</v>
      </c>
      <c r="AP27" s="158">
        <v>1.3128852647530663E-2</v>
      </c>
      <c r="AQ27" s="173">
        <v>0.08</v>
      </c>
      <c r="AR27" s="158">
        <v>6.6049780076999385E-7</v>
      </c>
      <c r="AS27" s="158" t="s">
        <v>201</v>
      </c>
    </row>
    <row r="28" spans="1:46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I28" s="19" t="s">
        <v>145</v>
      </c>
      <c r="AJ28" s="30">
        <f>PI()*(AJ26/25.4)^2/4*3/4*0.3</f>
        <v>6.2126221909368446E-3</v>
      </c>
      <c r="AK28" s="30" t="s">
        <v>148</v>
      </c>
      <c r="AL28" s="31" t="s">
        <v>142</v>
      </c>
      <c r="AM28" s="5">
        <f t="shared" si="52"/>
        <v>25344</v>
      </c>
      <c r="AN28" s="158">
        <v>55</v>
      </c>
      <c r="AO28" s="158">
        <v>3.4912727705496999E-2</v>
      </c>
      <c r="AP28" s="158">
        <v>1.6549422883591874E-2</v>
      </c>
      <c r="AQ28" s="173">
        <v>7.0000000000000007E-2</v>
      </c>
      <c r="AR28" s="158">
        <v>7.0978531261163862E-7</v>
      </c>
      <c r="AS28" s="158" t="s">
        <v>201</v>
      </c>
    </row>
    <row r="29" spans="1:46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14542.877489600349</v>
      </c>
      <c r="AG29" s="68">
        <f>X53</f>
        <v>-351.26655108461694</v>
      </c>
      <c r="AI29" s="19" t="s">
        <v>135</v>
      </c>
      <c r="AJ29" s="30">
        <f>($AJ$26/25.4)^2*$AJ$28/2</f>
        <v>1.0920624945006168E-4</v>
      </c>
      <c r="AK29" s="30" t="s">
        <v>96</v>
      </c>
      <c r="AL29" s="31" t="s">
        <v>147</v>
      </c>
      <c r="AM29" s="5">
        <f t="shared" si="52"/>
        <v>28569.600000000002</v>
      </c>
      <c r="AN29" s="158">
        <v>62</v>
      </c>
      <c r="AO29" s="158">
        <v>5.2819357330458824E-2</v>
      </c>
      <c r="AP29" s="158">
        <v>2.6818816528704516E-2</v>
      </c>
      <c r="AQ29" s="134">
        <v>0.05</v>
      </c>
      <c r="AR29" s="158">
        <v>8.2478950690880957E-7</v>
      </c>
      <c r="AS29" s="136">
        <f>-AR29/$AE$41</f>
        <v>-1.1180846555655822E-6</v>
      </c>
      <c r="AT29" s="146"/>
    </row>
    <row r="30" spans="1:46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  <c r="AI30" s="19" t="s">
        <v>95</v>
      </c>
      <c r="AJ30" s="30">
        <f>AJ25+AJ29</f>
        <v>1.6577045547800059E-3</v>
      </c>
      <c r="AK30" s="30" t="s">
        <v>96</v>
      </c>
      <c r="AL30" s="31"/>
    </row>
    <row r="31" spans="1:46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-8469.4388916507069</v>
      </c>
      <c r="AF31" s="69">
        <f>AA55</f>
        <v>0.97555662398469367</v>
      </c>
      <c r="AG31" s="31"/>
      <c r="AI31" s="19" t="s">
        <v>95</v>
      </c>
      <c r="AJ31" s="30">
        <f>AJ30/144</f>
        <v>1.1511837185972264E-5</v>
      </c>
      <c r="AK31" s="30" t="s">
        <v>97</v>
      </c>
      <c r="AL31" s="31"/>
    </row>
    <row r="32" spans="1:46" ht="13.95" customHeight="1" thickBot="1" x14ac:dyDescent="0.3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8705.4061069276213</v>
      </c>
      <c r="AF32" s="69">
        <f>AA53</f>
        <v>1.0235321332609688</v>
      </c>
      <c r="AG32" s="31"/>
      <c r="AI32" s="21" t="s">
        <v>95</v>
      </c>
      <c r="AJ32" s="32">
        <f>AJ31/2048.5*6.66</f>
        <v>3.7426817504796325E-8</v>
      </c>
      <c r="AK32" s="32" t="s">
        <v>98</v>
      </c>
      <c r="AL32" s="33"/>
    </row>
    <row r="33" spans="2:50" ht="23.4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</row>
    <row r="35" spans="2:50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162" t="s">
        <v>133</v>
      </c>
      <c r="AE35" s="161">
        <v>31.3</v>
      </c>
      <c r="AF35" s="161">
        <v>-1.58</v>
      </c>
      <c r="AG35" s="31"/>
    </row>
    <row r="36" spans="2:50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AJ32</f>
        <v>3.7426817504796325E-8</v>
      </c>
      <c r="Y36" t="s">
        <v>80</v>
      </c>
      <c r="AA36" t="s">
        <v>112</v>
      </c>
      <c r="AD36" s="65" t="s">
        <v>179</v>
      </c>
      <c r="AE36" s="69">
        <f>Y15</f>
        <v>4.4249528005034611</v>
      </c>
      <c r="AF36" s="30"/>
      <c r="AG36" s="31"/>
    </row>
    <row r="37" spans="2:50" ht="15" thickBot="1" x14ac:dyDescent="0.35">
      <c r="W37" t="s">
        <v>35</v>
      </c>
      <c r="AD37" s="65" t="s">
        <v>178</v>
      </c>
      <c r="AE37" s="161">
        <f>$X$43</f>
        <v>2.1213604393365078E-3</v>
      </c>
      <c r="AF37" s="30"/>
      <c r="AG37" s="31"/>
      <c r="AU37" t="s">
        <v>188</v>
      </c>
      <c r="AX37" t="s">
        <v>193</v>
      </c>
    </row>
    <row r="38" spans="2:50" ht="15" thickBot="1" x14ac:dyDescent="0.35">
      <c r="W38" s="34">
        <v>240</v>
      </c>
      <c r="X38" s="35" t="s">
        <v>34</v>
      </c>
      <c r="Y38" s="36"/>
      <c r="Z38" s="35"/>
      <c r="AA38" s="37"/>
      <c r="AB38" s="30"/>
      <c r="AD38" s="65" t="s">
        <v>177</v>
      </c>
      <c r="AE38" s="161">
        <f>$X$42</f>
        <v>1.2250000000000001</v>
      </c>
      <c r="AF38" s="30"/>
      <c r="AG38" s="31"/>
      <c r="AU38" t="s">
        <v>186</v>
      </c>
      <c r="AV38" s="152"/>
      <c r="AW38" s="165" t="s">
        <v>189</v>
      </c>
      <c r="AX38" t="s">
        <v>190</v>
      </c>
    </row>
    <row r="39" spans="2:50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180</v>
      </c>
      <c r="AE39" s="163">
        <f>$AF$13</f>
        <v>-0.70892513020582326</v>
      </c>
      <c r="AF39" s="30"/>
      <c r="AG39" s="31"/>
      <c r="AU39" t="s">
        <v>187</v>
      </c>
      <c r="AX39" t="s">
        <v>191</v>
      </c>
    </row>
    <row r="40" spans="2:50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5">
        <v>1.25</v>
      </c>
      <c r="Z40" s="28" t="s">
        <v>9</v>
      </c>
      <c r="AA40" s="156"/>
      <c r="AB40">
        <f>W38</f>
        <v>240</v>
      </c>
      <c r="AC40" t="s">
        <v>156</v>
      </c>
      <c r="AD40" s="65" t="s">
        <v>182</v>
      </c>
      <c r="AE40" s="92">
        <f>AE13</f>
        <v>2.5988730787182082</v>
      </c>
      <c r="AF40" s="30"/>
      <c r="AG40" s="31"/>
      <c r="AU40" t="s">
        <v>181</v>
      </c>
      <c r="AX40" t="s">
        <v>192</v>
      </c>
    </row>
    <row r="41" spans="2:50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154</v>
      </c>
      <c r="X41" s="157">
        <f>450/454</f>
        <v>0.99118942731277537</v>
      </c>
      <c r="Y41" s="32" t="s">
        <v>155</v>
      </c>
      <c r="Z41" s="167">
        <f>X41/0.224</f>
        <v>4.4249528005034611</v>
      </c>
      <c r="AA41" s="33" t="s">
        <v>158</v>
      </c>
      <c r="AD41" s="65" t="s">
        <v>183</v>
      </c>
      <c r="AE41" s="163">
        <f>1/1.3556</f>
        <v>0.73768073177928595</v>
      </c>
      <c r="AF41" s="30"/>
      <c r="AG41" s="31"/>
      <c r="AU41" t="s">
        <v>194</v>
      </c>
      <c r="AV41" t="s">
        <v>197</v>
      </c>
    </row>
    <row r="42" spans="2:50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160</v>
      </c>
      <c r="X42" s="5">
        <v>1.2250000000000001</v>
      </c>
      <c r="Y42" t="s">
        <v>161</v>
      </c>
      <c r="Z42" t="s">
        <v>169</v>
      </c>
      <c r="AD42" s="65" t="s">
        <v>184</v>
      </c>
      <c r="AE42" s="180">
        <f>$X$36</f>
        <v>3.7426817504796325E-8</v>
      </c>
      <c r="AF42" s="30"/>
      <c r="AG42" s="31"/>
      <c r="AU42" t="s">
        <v>195</v>
      </c>
      <c r="AW42" s="165" t="s">
        <v>196</v>
      </c>
      <c r="AX42" t="s">
        <v>215</v>
      </c>
    </row>
    <row r="43" spans="2:50" x14ac:dyDescent="0.3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162</v>
      </c>
      <c r="X43" s="158">
        <f>(55^2-18^2)*PI()/4/1000^2</f>
        <v>2.1213604393365078E-3</v>
      </c>
      <c r="Y43" t="s">
        <v>163</v>
      </c>
      <c r="Z43" t="s">
        <v>168</v>
      </c>
      <c r="AA43" s="158">
        <v>55</v>
      </c>
      <c r="AB43" t="s">
        <v>93</v>
      </c>
      <c r="AD43" s="65" t="s">
        <v>199</v>
      </c>
      <c r="AE43" s="161">
        <f>AA43/1000</f>
        <v>5.5E-2</v>
      </c>
      <c r="AF43" s="30"/>
      <c r="AG43" s="31"/>
      <c r="AU43" t="s">
        <v>198</v>
      </c>
    </row>
    <row r="44" spans="2:50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Z44" t="s">
        <v>174</v>
      </c>
      <c r="AA44" s="158">
        <v>45</v>
      </c>
      <c r="AB44" t="s">
        <v>175</v>
      </c>
      <c r="AC44" t="s">
        <v>176</v>
      </c>
      <c r="AD44" s="181" t="s">
        <v>211</v>
      </c>
      <c r="AE44" s="148">
        <v>5.5</v>
      </c>
      <c r="AF44" s="32"/>
      <c r="AG44" s="33"/>
      <c r="AW44" s="165" t="s">
        <v>189</v>
      </c>
      <c r="AX44" t="s">
        <v>200</v>
      </c>
    </row>
    <row r="45" spans="2:50" ht="28.8" x14ac:dyDescent="0.3">
      <c r="B45" s="73">
        <v>90</v>
      </c>
      <c r="C45" s="6">
        <f t="shared" ref="C45:C50" si="53">B45/180*(2.4-0.53)+0.53</f>
        <v>1.4649999999999999</v>
      </c>
      <c r="D45" s="88">
        <f t="shared" ref="D45:D50" si="54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U45" t="s">
        <v>218</v>
      </c>
    </row>
    <row r="46" spans="2:50" x14ac:dyDescent="0.3">
      <c r="B46" s="73">
        <v>100</v>
      </c>
      <c r="C46" s="6">
        <f t="shared" si="53"/>
        <v>1.568888888888889</v>
      </c>
      <c r="D46" s="88">
        <f t="shared" si="54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-18.379858705839208</v>
      </c>
      <c r="AB46" t="s">
        <v>106</v>
      </c>
      <c r="AU46" t="s">
        <v>216</v>
      </c>
    </row>
    <row r="47" spans="2:50" x14ac:dyDescent="0.3">
      <c r="B47" s="73">
        <v>110</v>
      </c>
      <c r="C47" s="6">
        <f t="shared" si="53"/>
        <v>1.6727777777777779</v>
      </c>
      <c r="D47" s="88">
        <f t="shared" si="54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U47" t="s">
        <v>217</v>
      </c>
    </row>
    <row r="48" spans="2:50" x14ac:dyDescent="0.3">
      <c r="B48" s="73">
        <v>114</v>
      </c>
      <c r="C48" s="6">
        <f t="shared" si="53"/>
        <v>1.7143333333333333</v>
      </c>
      <c r="D48" s="88">
        <f t="shared" si="54"/>
        <v>128.57999999999998</v>
      </c>
      <c r="W48" s="19"/>
      <c r="X48" s="30" t="s">
        <v>40</v>
      </c>
      <c r="Y48" s="30"/>
      <c r="Z48" s="61"/>
      <c r="AA48" s="89">
        <f>(AA47-AA46)/(X47-X46)</f>
        <v>19.075971741167841</v>
      </c>
      <c r="AI48" s="104"/>
      <c r="AQ48" s="3"/>
    </row>
    <row r="49" spans="2:44" x14ac:dyDescent="0.3">
      <c r="B49" s="73">
        <v>127.5</v>
      </c>
      <c r="C49" s="6">
        <f t="shared" si="53"/>
        <v>1.8545833333333333</v>
      </c>
      <c r="D49" s="88">
        <f t="shared" si="54"/>
        <v>153.82499999999999</v>
      </c>
      <c r="W49" s="19"/>
      <c r="X49" s="30"/>
      <c r="Y49" s="30"/>
      <c r="Z49" s="61"/>
      <c r="AA49" s="89">
        <f>AA47-AA48*(X47-X46)</f>
        <v>-18.379858705839212</v>
      </c>
      <c r="AR49" s="3"/>
    </row>
    <row r="50" spans="2:44" ht="15" thickBot="1" x14ac:dyDescent="0.35">
      <c r="B50" s="80">
        <v>136.4</v>
      </c>
      <c r="C50" s="6">
        <f t="shared" si="53"/>
        <v>1.9470444444444444</v>
      </c>
      <c r="D50" s="88">
        <f t="shared" si="54"/>
        <v>170.46799999999999</v>
      </c>
      <c r="W50" s="21"/>
      <c r="X50" s="32"/>
      <c r="Y50" s="32"/>
      <c r="Z50" s="47"/>
      <c r="AA50" s="48" t="s">
        <v>124</v>
      </c>
    </row>
    <row r="52" spans="2:44" ht="15" thickBot="1" x14ac:dyDescent="0.35">
      <c r="W52" t="s">
        <v>38</v>
      </c>
    </row>
    <row r="53" spans="2:44" x14ac:dyDescent="0.3">
      <c r="W53" s="49" t="s">
        <v>121</v>
      </c>
      <c r="X53" s="50">
        <f>INDEX(LINEST($P$4:$P$15,$D$4:$D$15^{1,2},FALSE,FALSE),1)</f>
        <v>-351.26655108461694</v>
      </c>
      <c r="Y53" s="28"/>
      <c r="Z53" s="51" t="s">
        <v>123</v>
      </c>
      <c r="AA53" s="52">
        <f>INDEX(LINEST($O$4:$O$15,$P$4:$P$15),1)</f>
        <v>1.0235321332609688</v>
      </c>
    </row>
    <row r="54" spans="2:44" x14ac:dyDescent="0.3">
      <c r="W54" s="43"/>
      <c r="X54" s="54">
        <f>INDEX(LINEST($P$4:$P$15,$D$4:$D$15^{1,2},FALSE,FALSE),2)</f>
        <v>14542.877489600349</v>
      </c>
      <c r="Y54" s="30"/>
      <c r="Z54" s="44"/>
      <c r="AA54" s="46">
        <f>INDEX(LINEST($O$4:$O$15,$P$4:$P$15),2)</f>
        <v>8705.4061069276213</v>
      </c>
    </row>
    <row r="55" spans="2:44" x14ac:dyDescent="0.3">
      <c r="W55" s="43"/>
      <c r="X55" s="54">
        <f>INDEX(LINEST($P$4:$P$15,$D$4:$D$15^{1,2},FALSE,FALSE),3)</f>
        <v>0</v>
      </c>
      <c r="Y55" s="30"/>
      <c r="Z55" s="44" t="s">
        <v>122</v>
      </c>
      <c r="AA55" s="46">
        <f>INDEX(LINEST($P$4:$P$15,$O$4:$O$15),1)</f>
        <v>0.97555662398469367</v>
      </c>
    </row>
    <row r="56" spans="2:44" x14ac:dyDescent="0.3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INDEX(LINEST($P$4:$P$15,$O$4:$O$15),2)</f>
        <v>-8469.4388916507069</v>
      </c>
      <c r="AB56" t="s">
        <v>60</v>
      </c>
    </row>
    <row r="57" spans="2:44" x14ac:dyDescent="0.3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3">
      <c r="W58" s="19"/>
      <c r="X58" s="30"/>
      <c r="Y58" s="30"/>
      <c r="Z58" s="30"/>
      <c r="AA58" s="31"/>
    </row>
    <row r="59" spans="2:44" x14ac:dyDescent="0.3">
      <c r="G59" s="177" t="s">
        <v>212</v>
      </c>
      <c r="W59" s="183" t="s">
        <v>62</v>
      </c>
      <c r="X59" s="44">
        <f>EXP((0-$AE$30)/$AF$30)</f>
        <v>7.361501228839896</v>
      </c>
      <c r="Y59" s="30"/>
      <c r="Z59" s="30"/>
      <c r="AA59" s="31"/>
      <c r="AB59" t="s">
        <v>65</v>
      </c>
    </row>
    <row r="60" spans="2:44" x14ac:dyDescent="0.3">
      <c r="W60" s="19"/>
      <c r="X60" s="30"/>
      <c r="Y60" s="30"/>
      <c r="Z60" s="30"/>
      <c r="AA60" s="31"/>
    </row>
    <row r="61" spans="2:44" x14ac:dyDescent="0.3">
      <c r="W61" s="43" t="s">
        <v>92</v>
      </c>
      <c r="X61" s="182">
        <f>INDEX(LINEST($X$4:$X$15,$O$4:$O$15^{1,2}),1)</f>
        <v>1.782679103068748E-11</v>
      </c>
      <c r="Y61" s="30"/>
      <c r="Z61" s="44" t="s">
        <v>130</v>
      </c>
      <c r="AA61" s="122">
        <f>INDEX(LINEST($X$67:$X$84,$O$67:$O$84^{1,2}),1)</f>
        <v>1.4325144135226059E-11</v>
      </c>
      <c r="AF61" s="45"/>
      <c r="AG61" s="150"/>
    </row>
    <row r="62" spans="2:44" x14ac:dyDescent="0.3">
      <c r="W62" s="43"/>
      <c r="X62" s="182">
        <f>INDEX(LINEST($X$4:$X$15,$O$4:$O$15^{1,2}),2)</f>
        <v>-1.9381907115184841E-7</v>
      </c>
      <c r="Y62" s="30"/>
      <c r="Z62" s="44"/>
      <c r="AA62" s="122">
        <f>INDEX(LINEST($X$67:$X$84,$O$67:$O$84^{1,2}),2)</f>
        <v>-3.0709262345742761E-7</v>
      </c>
      <c r="AF62" s="45"/>
      <c r="AG62" s="150"/>
    </row>
    <row r="63" spans="2:44" ht="15" thickBot="1" x14ac:dyDescent="0.35">
      <c r="W63" s="55"/>
      <c r="X63" s="184">
        <f>INDEX(LINEST($X$4:$X$15,$O$4:$O$15^{1,2}),3)</f>
        <v>6.9658921582847581E-4</v>
      </c>
      <c r="Y63" s="32"/>
      <c r="Z63" s="108"/>
      <c r="AA63" s="123">
        <f>INDEX(LINEST($X$67:$X$84,$O$67:$O$84^{1,2}),3)</f>
        <v>2.0111653701195102E-3</v>
      </c>
      <c r="AF63" s="45"/>
      <c r="AG63" s="150"/>
    </row>
    <row r="66" spans="2:25" x14ac:dyDescent="0.3">
      <c r="B66" t="s">
        <v>116</v>
      </c>
      <c r="V66" t="s">
        <v>89</v>
      </c>
      <c r="W66" t="s">
        <v>150</v>
      </c>
      <c r="X66" t="s">
        <v>151</v>
      </c>
    </row>
    <row r="67" spans="2:25" x14ac:dyDescent="0.3">
      <c r="B67" s="113">
        <f t="shared" ref="B67:B72" si="55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6">M67*60/$X$29</f>
        <v>8746.3556851311951</v>
      </c>
      <c r="P67" s="3">
        <f t="shared" ref="P67:P82" si="57">N67*60/$X$29</f>
        <v>0</v>
      </c>
      <c r="Q67" s="3">
        <f t="shared" ref="Q67:Q82" si="58">O67/$X$40*100</f>
        <v>18.980806608357629</v>
      </c>
      <c r="R67" s="3">
        <f t="shared" ref="R67:R82" si="59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1">
        <f>W67-$W$67</f>
        <v>0</v>
      </c>
      <c r="Y67">
        <f t="shared" ref="Y67:Y84" si="60">-X67/2/O67</f>
        <v>0</v>
      </c>
    </row>
    <row r="68" spans="2:25" x14ac:dyDescent="0.3">
      <c r="B68" s="113">
        <f t="shared" si="55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6"/>
        <v>9708.7378640776697</v>
      </c>
      <c r="P68" s="3">
        <f t="shared" si="57"/>
        <v>0</v>
      </c>
      <c r="Q68" s="3">
        <f t="shared" si="58"/>
        <v>21.069309600862997</v>
      </c>
      <c r="R68" s="3">
        <f t="shared" si="59"/>
        <v>0</v>
      </c>
      <c r="S68" s="3">
        <f>K68</f>
        <v>15</v>
      </c>
      <c r="T68" s="4">
        <f>J68</f>
        <v>8.8926600000000011</v>
      </c>
      <c r="U68" s="4"/>
      <c r="V68">
        <f t="shared" ref="V68:V84" si="61">(T68-$T$3)*0.001341022</f>
        <v>5.9576511576400013E-3</v>
      </c>
      <c r="W68" s="127">
        <f>$V68/$O68*5252</f>
        <v>3.2228271396323046E-3</v>
      </c>
      <c r="X68" s="151">
        <f t="shared" ref="X68:X84" si="62">W68-$W$67</f>
        <v>1.967106745261603E-4</v>
      </c>
      <c r="Y68">
        <f t="shared" si="60"/>
        <v>-1.0130599738097255E-8</v>
      </c>
    </row>
    <row r="69" spans="2:25" x14ac:dyDescent="0.3">
      <c r="B69" s="113">
        <f t="shared" si="55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6"/>
        <v>10273.972602739726</v>
      </c>
      <c r="P69" s="3">
        <f t="shared" si="57"/>
        <v>0</v>
      </c>
      <c r="Q69" s="3">
        <f t="shared" si="58"/>
        <v>22.295947488584474</v>
      </c>
      <c r="R69" s="3">
        <f t="shared" si="59"/>
        <v>0</v>
      </c>
      <c r="S69" s="3">
        <f>K69</f>
        <v>12</v>
      </c>
      <c r="T69" s="4">
        <f>J69</f>
        <v>9.2684000000000015</v>
      </c>
      <c r="U69" s="4"/>
      <c r="V69">
        <f t="shared" si="61"/>
        <v>6.4615267639200015E-3</v>
      </c>
      <c r="W69" s="127">
        <f t="shared" ref="W69:W84" si="63">$V69/$O69*5252</f>
        <v>3.3030980202398302E-3</v>
      </c>
      <c r="X69" s="151">
        <f t="shared" si="62"/>
        <v>2.7698155513368591E-4</v>
      </c>
      <c r="Y69">
        <f t="shared" si="60"/>
        <v>-1.3479769016506046E-8</v>
      </c>
    </row>
    <row r="70" spans="2:25" x14ac:dyDescent="0.3">
      <c r="B70" s="113">
        <f t="shared" si="55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6"/>
        <v>11363.636363636364</v>
      </c>
      <c r="P70" s="3">
        <f t="shared" si="57"/>
        <v>0</v>
      </c>
      <c r="Q70" s="3">
        <f t="shared" si="58"/>
        <v>24.660669191919194</v>
      </c>
      <c r="R70" s="3">
        <f t="shared" si="59"/>
        <v>0</v>
      </c>
      <c r="S70" s="3">
        <f>K70</f>
        <v>13</v>
      </c>
      <c r="T70" s="4">
        <f>J70</f>
        <v>10.064</v>
      </c>
      <c r="U70" s="4"/>
      <c r="V70">
        <f t="shared" si="61"/>
        <v>7.52844386712E-3</v>
      </c>
      <c r="W70" s="127">
        <f t="shared" si="63"/>
        <v>3.479466072730053E-3</v>
      </c>
      <c r="X70" s="151">
        <f t="shared" si="62"/>
        <v>4.5334960762390868E-4</v>
      </c>
      <c r="Y70">
        <f t="shared" si="60"/>
        <v>-1.9947382735451983E-8</v>
      </c>
    </row>
    <row r="71" spans="2:25" x14ac:dyDescent="0.3">
      <c r="B71" s="113">
        <f t="shared" si="55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6"/>
        <v>12244.897959183674</v>
      </c>
      <c r="P71" s="3">
        <f t="shared" si="57"/>
        <v>0</v>
      </c>
      <c r="Q71" s="3">
        <f t="shared" si="58"/>
        <v>26.573129251700685</v>
      </c>
      <c r="R71" s="3">
        <f t="shared" si="59"/>
        <v>0</v>
      </c>
      <c r="S71" s="3">
        <f>K71</f>
        <v>14</v>
      </c>
      <c r="T71" s="4">
        <f>J71</f>
        <v>10.679590000000001</v>
      </c>
      <c r="U71" s="4"/>
      <c r="V71">
        <f t="shared" si="61"/>
        <v>8.3539636001000016E-3</v>
      </c>
      <c r="W71" s="127">
        <f t="shared" si="63"/>
        <v>3.5831263742642254E-3</v>
      </c>
      <c r="X71" s="151">
        <f t="shared" si="62"/>
        <v>5.5700990915808109E-4</v>
      </c>
      <c r="Y71">
        <f t="shared" si="60"/>
        <v>-2.2744571290621641E-8</v>
      </c>
    </row>
    <row r="72" spans="2:25" x14ac:dyDescent="0.3">
      <c r="B72" s="113">
        <f t="shared" si="55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4">E72*F72</f>
        <v>12.79233</v>
      </c>
      <c r="K72" s="1">
        <f t="shared" ref="K72:K84" si="65">C72</f>
        <v>20</v>
      </c>
      <c r="L72" s="1">
        <f t="shared" ref="L72:L84" si="66">LN(K72)</f>
        <v>2.9957322735539909</v>
      </c>
      <c r="M72" s="3">
        <f t="shared" ref="M72:M84" si="67">1/G72/0.000001</f>
        <v>285.71428571428572</v>
      </c>
      <c r="N72" s="3"/>
      <c r="O72" s="3">
        <f t="shared" si="56"/>
        <v>17142.857142857145</v>
      </c>
      <c r="P72" s="3">
        <f t="shared" si="57"/>
        <v>0</v>
      </c>
      <c r="Q72" s="3">
        <f t="shared" si="58"/>
        <v>37.202380952380956</v>
      </c>
      <c r="R72" s="3">
        <f t="shared" si="59"/>
        <v>0</v>
      </c>
      <c r="S72" s="3">
        <f t="shared" ref="S72:S84" si="68">K72</f>
        <v>20</v>
      </c>
      <c r="T72" s="4">
        <f t="shared" ref="T72:T84" si="69">J72</f>
        <v>12.79233</v>
      </c>
      <c r="U72" s="4"/>
      <c r="V72">
        <f t="shared" si="61"/>
        <v>1.1187194420379999E-2</v>
      </c>
      <c r="W72" s="127">
        <f t="shared" si="63"/>
        <v>3.4273834639237518E-3</v>
      </c>
      <c r="X72" s="151">
        <f t="shared" si="62"/>
        <v>4.0126699881760756E-4</v>
      </c>
      <c r="Y72">
        <f t="shared" si="60"/>
        <v>-1.1703620798846885E-8</v>
      </c>
    </row>
    <row r="73" spans="2:25" x14ac:dyDescent="0.3">
      <c r="B73" s="113">
        <f t="shared" ref="B73:B84" si="70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4"/>
        <v>17.3124</v>
      </c>
      <c r="K73" s="1">
        <f t="shared" si="65"/>
        <v>25</v>
      </c>
      <c r="L73" s="1">
        <f t="shared" si="66"/>
        <v>3.2188758248682006</v>
      </c>
      <c r="M73" s="3">
        <f t="shared" si="67"/>
        <v>332.22591362126246</v>
      </c>
      <c r="N73" s="3"/>
      <c r="O73" s="3">
        <f t="shared" si="56"/>
        <v>19933.554817275748</v>
      </c>
      <c r="P73" s="3">
        <f t="shared" si="57"/>
        <v>0</v>
      </c>
      <c r="Q73" s="3">
        <f t="shared" si="58"/>
        <v>43.258582502768547</v>
      </c>
      <c r="R73" s="3">
        <f t="shared" si="59"/>
        <v>0</v>
      </c>
      <c r="S73" s="3">
        <f t="shared" si="68"/>
        <v>25</v>
      </c>
      <c r="T73" s="4">
        <f t="shared" si="69"/>
        <v>17.3124</v>
      </c>
      <c r="U73" s="4"/>
      <c r="V73">
        <f t="shared" si="61"/>
        <v>1.7248707731919999E-2</v>
      </c>
      <c r="W73" s="127">
        <f t="shared" si="63"/>
        <v>4.5446090192368654E-3</v>
      </c>
      <c r="X73" s="151">
        <f t="shared" si="62"/>
        <v>1.5184925541307211E-3</v>
      </c>
      <c r="Y73">
        <f t="shared" si="60"/>
        <v>-3.8088854899445583E-8</v>
      </c>
    </row>
    <row r="74" spans="2:25" x14ac:dyDescent="0.3">
      <c r="B74" s="113">
        <f t="shared" si="70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4"/>
        <v>23.790480000000002</v>
      </c>
      <c r="K74" s="1">
        <f t="shared" si="65"/>
        <v>30</v>
      </c>
      <c r="L74" s="1">
        <f t="shared" si="66"/>
        <v>3.4011973816621555</v>
      </c>
      <c r="M74" s="3">
        <f t="shared" si="67"/>
        <v>377.35849056603774</v>
      </c>
      <c r="N74" s="3"/>
      <c r="O74" s="3">
        <f t="shared" si="56"/>
        <v>22641.509433962266</v>
      </c>
      <c r="P74" s="3">
        <f t="shared" si="57"/>
        <v>0</v>
      </c>
      <c r="Q74" s="3">
        <f t="shared" si="58"/>
        <v>49.135220125786169</v>
      </c>
      <c r="R74" s="3">
        <f t="shared" si="59"/>
        <v>0</v>
      </c>
      <c r="S74" s="3">
        <f t="shared" si="68"/>
        <v>30</v>
      </c>
      <c r="T74" s="4">
        <f t="shared" si="69"/>
        <v>23.790480000000002</v>
      </c>
      <c r="U74" s="4"/>
      <c r="V74">
        <f t="shared" si="61"/>
        <v>2.5935955529680001E-2</v>
      </c>
      <c r="W74" s="127">
        <f t="shared" si="63"/>
        <v>6.0161906978496715E-3</v>
      </c>
      <c r="X74" s="151">
        <f t="shared" si="62"/>
        <v>2.9900742327435273E-3</v>
      </c>
      <c r="Y74">
        <f t="shared" si="60"/>
        <v>-6.6030805973086218E-8</v>
      </c>
    </row>
    <row r="75" spans="2:25" x14ac:dyDescent="0.3">
      <c r="B75" s="113">
        <f t="shared" si="70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4"/>
        <v>28.926969999999997</v>
      </c>
      <c r="K75" s="1">
        <f t="shared" si="65"/>
        <v>35</v>
      </c>
      <c r="L75" s="1">
        <f t="shared" si="66"/>
        <v>3.5553480614894135</v>
      </c>
      <c r="M75" s="3">
        <f t="shared" si="67"/>
        <v>400.00000000000006</v>
      </c>
      <c r="N75" s="3"/>
      <c r="O75" s="3">
        <f t="shared" si="56"/>
        <v>24000.000000000004</v>
      </c>
      <c r="P75" s="3">
        <f t="shared" si="57"/>
        <v>0</v>
      </c>
      <c r="Q75" s="3">
        <f t="shared" si="58"/>
        <v>52.083333333333336</v>
      </c>
      <c r="R75" s="3">
        <f t="shared" si="59"/>
        <v>0</v>
      </c>
      <c r="S75" s="3">
        <f t="shared" si="68"/>
        <v>35</v>
      </c>
      <c r="T75" s="4">
        <f t="shared" si="69"/>
        <v>28.926969999999997</v>
      </c>
      <c r="U75" s="4"/>
      <c r="V75">
        <f t="shared" si="61"/>
        <v>3.2824101622459995E-2</v>
      </c>
      <c r="W75" s="127">
        <f t="shared" si="63"/>
        <v>7.1830075717149939E-3</v>
      </c>
      <c r="X75" s="151">
        <f t="shared" si="62"/>
        <v>4.1568911066088496E-3</v>
      </c>
      <c r="Y75">
        <f t="shared" si="60"/>
        <v>-8.6601898054351018E-8</v>
      </c>
    </row>
    <row r="76" spans="2:25" x14ac:dyDescent="0.3">
      <c r="B76" s="113">
        <f t="shared" si="70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4"/>
        <v>32.374200000000002</v>
      </c>
      <c r="K76" s="1">
        <f t="shared" si="65"/>
        <v>40</v>
      </c>
      <c r="L76" s="1">
        <f t="shared" si="66"/>
        <v>3.6888794541139363</v>
      </c>
      <c r="M76" s="3">
        <f t="shared" si="67"/>
        <v>440.52863436123351</v>
      </c>
      <c r="N76" s="3"/>
      <c r="O76" s="3">
        <f t="shared" si="56"/>
        <v>26431.718061674012</v>
      </c>
      <c r="P76" s="3">
        <f t="shared" si="57"/>
        <v>0</v>
      </c>
      <c r="Q76" s="3">
        <f t="shared" si="58"/>
        <v>57.360499265785613</v>
      </c>
      <c r="R76" s="3">
        <f t="shared" si="59"/>
        <v>0</v>
      </c>
      <c r="S76" s="3">
        <f t="shared" si="68"/>
        <v>40</v>
      </c>
      <c r="T76" s="4">
        <f t="shared" si="69"/>
        <v>32.374200000000002</v>
      </c>
      <c r="U76" s="4"/>
      <c r="V76">
        <f t="shared" si="61"/>
        <v>3.7446912891520003E-2</v>
      </c>
      <c r="W76" s="127">
        <f t="shared" si="63"/>
        <v>7.4407265561536179E-3</v>
      </c>
      <c r="X76" s="151">
        <f t="shared" si="62"/>
        <v>4.4146100910474736E-3</v>
      </c>
      <c r="Y76">
        <f t="shared" si="60"/>
        <v>-8.3509707555648035E-8</v>
      </c>
    </row>
    <row r="77" spans="2:25" x14ac:dyDescent="0.3">
      <c r="B77" s="113">
        <f t="shared" si="70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4"/>
        <v>42.16</v>
      </c>
      <c r="K77" s="1">
        <f t="shared" si="65"/>
        <v>50</v>
      </c>
      <c r="L77" s="1">
        <f t="shared" si="66"/>
        <v>3.912023005428146</v>
      </c>
      <c r="M77" s="3">
        <f t="shared" si="67"/>
        <v>495.04950495049508</v>
      </c>
      <c r="N77" s="3"/>
      <c r="O77" s="3">
        <f t="shared" si="56"/>
        <v>29702.970297029704</v>
      </c>
      <c r="P77" s="3">
        <f t="shared" si="57"/>
        <v>0</v>
      </c>
      <c r="Q77" s="3">
        <f t="shared" si="58"/>
        <v>64.459570957095707</v>
      </c>
      <c r="R77" s="3">
        <f t="shared" si="59"/>
        <v>0</v>
      </c>
      <c r="S77" s="3">
        <f t="shared" si="68"/>
        <v>50</v>
      </c>
      <c r="T77" s="4">
        <f t="shared" si="69"/>
        <v>42.16</v>
      </c>
      <c r="U77" s="4"/>
      <c r="V77">
        <f t="shared" si="61"/>
        <v>5.0569885979119995E-2</v>
      </c>
      <c r="W77" s="127">
        <f t="shared" si="63"/>
        <v>8.9416323857987191E-3</v>
      </c>
      <c r="X77" s="151">
        <f t="shared" si="62"/>
        <v>5.9155159206925748E-3</v>
      </c>
      <c r="Y77">
        <f t="shared" si="60"/>
        <v>-9.957785133165834E-8</v>
      </c>
    </row>
    <row r="78" spans="2:25" x14ac:dyDescent="0.3">
      <c r="B78" s="113">
        <f t="shared" si="70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4"/>
        <v>52.727999999999994</v>
      </c>
      <c r="K78" s="1">
        <f t="shared" si="65"/>
        <v>60</v>
      </c>
      <c r="L78" s="1">
        <f t="shared" si="66"/>
        <v>4.0943445622221004</v>
      </c>
      <c r="M78" s="3">
        <f t="shared" si="67"/>
        <v>534.75935828877004</v>
      </c>
      <c r="N78" s="3"/>
      <c r="O78" s="3">
        <f t="shared" si="56"/>
        <v>32085.561497326202</v>
      </c>
      <c r="P78" s="3">
        <f t="shared" si="57"/>
        <v>0</v>
      </c>
      <c r="Q78" s="3">
        <f t="shared" si="58"/>
        <v>69.630124777183596</v>
      </c>
      <c r="R78" s="3">
        <f t="shared" si="59"/>
        <v>0</v>
      </c>
      <c r="S78" s="3">
        <f t="shared" si="68"/>
        <v>60</v>
      </c>
      <c r="T78" s="4">
        <f t="shared" si="69"/>
        <v>52.727999999999994</v>
      </c>
      <c r="U78" s="4"/>
      <c r="V78">
        <f t="shared" si="61"/>
        <v>6.4741806475119998E-2</v>
      </c>
      <c r="W78" s="127">
        <f t="shared" si="63"/>
        <v>1.0597413657095125E-2</v>
      </c>
      <c r="X78" s="151">
        <f t="shared" si="62"/>
        <v>7.5712971919889805E-3</v>
      </c>
      <c r="Y78">
        <f t="shared" si="60"/>
        <v>-1.1798604790849495E-7</v>
      </c>
    </row>
    <row r="79" spans="2:25" x14ac:dyDescent="0.3">
      <c r="B79" s="113">
        <f t="shared" si="70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4"/>
        <v>64.944000000000003</v>
      </c>
      <c r="K79" s="1">
        <f t="shared" si="65"/>
        <v>75</v>
      </c>
      <c r="L79" s="1">
        <f t="shared" si="66"/>
        <v>4.3174881135363101</v>
      </c>
      <c r="M79" s="3">
        <f t="shared" si="67"/>
        <v>606.06060606060612</v>
      </c>
      <c r="N79" s="3"/>
      <c r="O79" s="3">
        <f t="shared" si="56"/>
        <v>36363.636363636368</v>
      </c>
      <c r="P79" s="3">
        <f t="shared" si="57"/>
        <v>0</v>
      </c>
      <c r="Q79" s="3">
        <f t="shared" si="58"/>
        <v>78.914141414141426</v>
      </c>
      <c r="R79" s="3">
        <f t="shared" si="59"/>
        <v>0</v>
      </c>
      <c r="S79" s="3">
        <f t="shared" si="68"/>
        <v>75</v>
      </c>
      <c r="T79" s="4">
        <f t="shared" si="69"/>
        <v>64.944000000000003</v>
      </c>
      <c r="U79" s="4"/>
      <c r="V79">
        <f t="shared" si="61"/>
        <v>8.1123731227120008E-2</v>
      </c>
      <c r="W79" s="127">
        <f t="shared" si="63"/>
        <v>1.1716700501132942E-2</v>
      </c>
      <c r="X79" s="151">
        <f t="shared" si="62"/>
        <v>8.6905840360267973E-3</v>
      </c>
      <c r="Y79">
        <f t="shared" si="60"/>
        <v>-1.1949553049536844E-7</v>
      </c>
    </row>
    <row r="80" spans="2:25" x14ac:dyDescent="0.3">
      <c r="B80" s="113">
        <f t="shared" si="70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4"/>
        <v>81.4572</v>
      </c>
      <c r="K80" s="1">
        <f t="shared" si="65"/>
        <v>90</v>
      </c>
      <c r="L80" s="1">
        <f t="shared" si="66"/>
        <v>4.499809670330265</v>
      </c>
      <c r="M80" s="3">
        <f t="shared" si="67"/>
        <v>662.25165562913912</v>
      </c>
      <c r="N80" s="3"/>
      <c r="O80" s="3">
        <f t="shared" si="56"/>
        <v>39735.099337748346</v>
      </c>
      <c r="P80" s="3">
        <f t="shared" si="57"/>
        <v>0</v>
      </c>
      <c r="Q80" s="3">
        <f t="shared" si="58"/>
        <v>86.230684326710815</v>
      </c>
      <c r="R80" s="3">
        <f t="shared" si="59"/>
        <v>0</v>
      </c>
      <c r="S80" s="3">
        <f t="shared" si="68"/>
        <v>90</v>
      </c>
      <c r="T80" s="4">
        <f t="shared" si="69"/>
        <v>81.4572</v>
      </c>
      <c r="U80" s="4"/>
      <c r="V80">
        <f t="shared" si="61"/>
        <v>0.10326829571752001</v>
      </c>
      <c r="W80" s="127">
        <f t="shared" si="63"/>
        <v>1.3649521409228446E-2</v>
      </c>
      <c r="X80" s="151">
        <f t="shared" si="62"/>
        <v>1.0623404944122301E-2</v>
      </c>
      <c r="Y80">
        <f t="shared" si="60"/>
        <v>-1.3367784554687227E-7</v>
      </c>
    </row>
    <row r="81" spans="2:25" x14ac:dyDescent="0.3">
      <c r="B81" s="113">
        <f t="shared" si="70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4"/>
        <v>94.001099999999994</v>
      </c>
      <c r="K81" s="1">
        <f t="shared" si="65"/>
        <v>109</v>
      </c>
      <c r="L81" s="1">
        <f t="shared" si="66"/>
        <v>4.6913478822291435</v>
      </c>
      <c r="M81" s="3">
        <f t="shared" si="67"/>
        <v>680.27210884353735</v>
      </c>
      <c r="N81" s="3"/>
      <c r="O81" s="3">
        <f t="shared" si="56"/>
        <v>40816.326530612241</v>
      </c>
      <c r="P81" s="3">
        <f t="shared" si="57"/>
        <v>0</v>
      </c>
      <c r="Q81" s="3">
        <f t="shared" si="58"/>
        <v>88.577097505668917</v>
      </c>
      <c r="R81" s="3">
        <f t="shared" si="59"/>
        <v>0</v>
      </c>
      <c r="S81" s="3">
        <f t="shared" si="68"/>
        <v>109</v>
      </c>
      <c r="T81" s="4">
        <f t="shared" si="69"/>
        <v>94.001099999999994</v>
      </c>
      <c r="U81" s="4"/>
      <c r="V81">
        <f t="shared" si="61"/>
        <v>0.12008994158332</v>
      </c>
      <c r="W81" s="127">
        <f t="shared" si="63"/>
        <v>1.5452453143292119E-2</v>
      </c>
      <c r="X81" s="151">
        <f t="shared" si="62"/>
        <v>1.2426336678185976E-2</v>
      </c>
      <c r="Y81">
        <f t="shared" si="60"/>
        <v>-1.5222262430777822E-7</v>
      </c>
    </row>
    <row r="82" spans="2:25" ht="15" thickBot="1" x14ac:dyDescent="0.35">
      <c r="B82" s="116">
        <f t="shared" si="70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4"/>
        <v>117.19680000000001</v>
      </c>
      <c r="K82" s="1">
        <f t="shared" si="65"/>
        <v>130</v>
      </c>
      <c r="L82" s="1">
        <f t="shared" si="66"/>
        <v>4.8675344504555822</v>
      </c>
      <c r="M82" s="3">
        <f t="shared" si="67"/>
        <v>724.63768115942037</v>
      </c>
      <c r="N82" s="3"/>
      <c r="O82" s="3">
        <f t="shared" si="56"/>
        <v>43478.260869565223</v>
      </c>
      <c r="P82" s="3">
        <f t="shared" si="57"/>
        <v>0</v>
      </c>
      <c r="Q82" s="3">
        <f t="shared" si="58"/>
        <v>94.353864734299535</v>
      </c>
      <c r="R82" s="3">
        <f t="shared" si="59"/>
        <v>0</v>
      </c>
      <c r="S82" s="3">
        <f t="shared" si="68"/>
        <v>130</v>
      </c>
      <c r="T82" s="4">
        <f t="shared" si="69"/>
        <v>117.19680000000001</v>
      </c>
      <c r="U82" s="4"/>
      <c r="V82">
        <f t="shared" si="61"/>
        <v>0.15119588558872002</v>
      </c>
      <c r="W82" s="127">
        <f t="shared" si="63"/>
        <v>1.8263858195575022E-2</v>
      </c>
      <c r="X82" s="151">
        <f t="shared" si="62"/>
        <v>1.5237741730468879E-2</v>
      </c>
      <c r="Y82">
        <f t="shared" si="60"/>
        <v>-1.7523402990039207E-7</v>
      </c>
    </row>
    <row r="83" spans="2:25" x14ac:dyDescent="0.3">
      <c r="B83" s="144">
        <f t="shared" si="70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4"/>
        <v>139.86000000000001</v>
      </c>
      <c r="K83" s="1">
        <f t="shared" si="65"/>
        <v>149</v>
      </c>
      <c r="L83" s="1">
        <f t="shared" si="66"/>
        <v>5.0039463059454592</v>
      </c>
      <c r="M83" s="1">
        <f t="shared" si="67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68"/>
        <v>149</v>
      </c>
      <c r="T83" s="4">
        <f t="shared" si="69"/>
        <v>139.86000000000001</v>
      </c>
      <c r="U83" s="4"/>
      <c r="V83">
        <f t="shared" si="61"/>
        <v>0.18158773537912004</v>
      </c>
      <c r="W83" s="127">
        <f t="shared" si="63"/>
        <v>2.0822423498943188E-2</v>
      </c>
      <c r="X83" s="151">
        <f t="shared" si="62"/>
        <v>1.7796307033837045E-2</v>
      </c>
      <c r="Y83">
        <f t="shared" si="60"/>
        <v>-1.942763517860544E-7</v>
      </c>
    </row>
    <row r="84" spans="2:25" x14ac:dyDescent="0.3">
      <c r="B84" s="144">
        <f t="shared" si="70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4"/>
        <v>177.22499999999999</v>
      </c>
      <c r="K84" s="1">
        <f t="shared" si="65"/>
        <v>164</v>
      </c>
      <c r="L84" s="1">
        <f t="shared" si="66"/>
        <v>5.0998664278241987</v>
      </c>
      <c r="M84" s="1">
        <f t="shared" si="67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68"/>
        <v>164</v>
      </c>
      <c r="T84" s="4">
        <f t="shared" si="69"/>
        <v>177.22499999999999</v>
      </c>
      <c r="U84" s="4"/>
      <c r="V84">
        <f t="shared" si="61"/>
        <v>0.23169502240912002</v>
      </c>
      <c r="W84" s="127">
        <f t="shared" si="63"/>
        <v>2.539185911052097E-2</v>
      </c>
      <c r="X84" s="151">
        <f t="shared" si="62"/>
        <v>2.2365742645414827E-2</v>
      </c>
      <c r="Y84">
        <f t="shared" si="60"/>
        <v>-2.3334924826716135E-7</v>
      </c>
    </row>
    <row r="87" spans="2:25" x14ac:dyDescent="0.3">
      <c r="B87" t="s">
        <v>117</v>
      </c>
      <c r="V87" t="s">
        <v>90</v>
      </c>
      <c r="X87" t="s">
        <v>91</v>
      </c>
    </row>
    <row r="88" spans="2:25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71">C88</f>
        <v>11</v>
      </c>
      <c r="L88" s="1">
        <f t="shared" ref="L88:L102" si="72">LN(K88)</f>
        <v>2.3978952727983707</v>
      </c>
      <c r="M88" s="3">
        <f t="shared" ref="M88:M102" si="73">1/G88/0.000001</f>
        <v>204.91803278688525</v>
      </c>
      <c r="N88" s="3"/>
      <c r="O88" s="3">
        <f t="shared" ref="O88:O100" si="74">M88*60/$X$29</f>
        <v>12295.081967213115</v>
      </c>
      <c r="P88" s="3">
        <f t="shared" ref="P88:P100" si="75">N88*60/$X$29</f>
        <v>0</v>
      </c>
      <c r="Q88" s="3">
        <f t="shared" ref="Q88:Q100" si="76">O88/$X$40*100</f>
        <v>26.682035519125684</v>
      </c>
      <c r="R88" s="3">
        <f t="shared" ref="R88:R100" si="77">P88/$X$40*100</f>
        <v>0</v>
      </c>
      <c r="S88" s="3">
        <f t="shared" ref="S88:S102" si="78">K88</f>
        <v>11</v>
      </c>
      <c r="T88" s="4">
        <f t="shared" ref="T88:T102" si="79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80">-X88/2/O88</f>
        <v>0</v>
      </c>
    </row>
    <row r="89" spans="2:25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1">E89*F89</f>
        <v>10.736400000000001</v>
      </c>
      <c r="K89" s="1">
        <f t="shared" si="71"/>
        <v>15</v>
      </c>
      <c r="L89" s="1">
        <f t="shared" si="72"/>
        <v>2.7080502011022101</v>
      </c>
      <c r="M89" s="3">
        <f t="shared" si="73"/>
        <v>256.41025641025641</v>
      </c>
      <c r="N89" s="3"/>
      <c r="O89" s="3">
        <f t="shared" si="74"/>
        <v>15384.615384615385</v>
      </c>
      <c r="P89" s="3">
        <f t="shared" si="75"/>
        <v>0</v>
      </c>
      <c r="Q89" s="3">
        <f t="shared" si="76"/>
        <v>33.386752136752136</v>
      </c>
      <c r="R89" s="3">
        <f t="shared" si="77"/>
        <v>0</v>
      </c>
      <c r="S89" s="3">
        <f t="shared" si="78"/>
        <v>15</v>
      </c>
      <c r="T89" s="4">
        <f t="shared" si="79"/>
        <v>10.736400000000001</v>
      </c>
      <c r="U89" s="4"/>
      <c r="V89">
        <f t="shared" ref="V89:V102" si="82">T89*0.001341022</f>
        <v>1.4397748600800004E-2</v>
      </c>
      <c r="W89" s="127">
        <f t="shared" ref="W89:W102" si="83">$V89/$O89*5252</f>
        <v>4.9151034173411049E-3</v>
      </c>
      <c r="X89" s="127">
        <f t="shared" ref="X89:X102" si="84">W89-$W$88</f>
        <v>3.5845674991758555E-4</v>
      </c>
      <c r="Y89">
        <f t="shared" si="80"/>
        <v>-1.1649844372321531E-8</v>
      </c>
    </row>
    <row r="90" spans="2:25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1"/>
        <v>14.331199999999999</v>
      </c>
      <c r="K90" s="1">
        <f t="shared" si="71"/>
        <v>20</v>
      </c>
      <c r="L90" s="1">
        <f t="shared" si="72"/>
        <v>2.9957322735539909</v>
      </c>
      <c r="M90" s="3">
        <f t="shared" si="73"/>
        <v>306.74846625766872</v>
      </c>
      <c r="N90" s="3"/>
      <c r="O90" s="3">
        <f t="shared" si="74"/>
        <v>18404.907975460123</v>
      </c>
      <c r="P90" s="3">
        <f t="shared" si="75"/>
        <v>0</v>
      </c>
      <c r="Q90" s="3">
        <f t="shared" si="76"/>
        <v>39.941206543967276</v>
      </c>
      <c r="R90" s="3">
        <f t="shared" si="77"/>
        <v>0</v>
      </c>
      <c r="S90" s="3">
        <f t="shared" si="78"/>
        <v>20</v>
      </c>
      <c r="T90" s="4">
        <f t="shared" si="79"/>
        <v>14.331199999999999</v>
      </c>
      <c r="U90" s="4"/>
      <c r="V90">
        <f t="shared" si="82"/>
        <v>1.92184544864E-2</v>
      </c>
      <c r="W90" s="127">
        <f t="shared" si="83"/>
        <v>5.4841525476331228E-3</v>
      </c>
      <c r="X90" s="127">
        <f t="shared" si="84"/>
        <v>9.2750588020960346E-4</v>
      </c>
      <c r="Y90">
        <f t="shared" si="80"/>
        <v>-2.519724307902756E-8</v>
      </c>
    </row>
    <row r="91" spans="2:25" x14ac:dyDescent="0.3">
      <c r="B91" s="113">
        <f t="shared" ref="B91:B102" si="85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1"/>
        <v>18.75488</v>
      </c>
      <c r="K91" s="1">
        <f t="shared" si="71"/>
        <v>25</v>
      </c>
      <c r="L91" s="1">
        <f t="shared" si="72"/>
        <v>3.2188758248682006</v>
      </c>
      <c r="M91" s="3">
        <f t="shared" si="73"/>
        <v>348.43205574912895</v>
      </c>
      <c r="N91" s="3"/>
      <c r="O91" s="3">
        <f t="shared" si="74"/>
        <v>20905.923344947736</v>
      </c>
      <c r="P91" s="3">
        <f t="shared" si="75"/>
        <v>0</v>
      </c>
      <c r="Q91" s="3">
        <f t="shared" si="76"/>
        <v>45.368757259001164</v>
      </c>
      <c r="R91" s="3">
        <f t="shared" si="77"/>
        <v>0</v>
      </c>
      <c r="S91" s="3">
        <f t="shared" si="78"/>
        <v>25</v>
      </c>
      <c r="T91" s="4">
        <f t="shared" si="79"/>
        <v>18.75488</v>
      </c>
      <c r="U91" s="4"/>
      <c r="V91">
        <f t="shared" si="82"/>
        <v>2.5150706687360001E-2</v>
      </c>
      <c r="W91" s="127">
        <f t="shared" si="83"/>
        <v>6.3183773011363711E-3</v>
      </c>
      <c r="X91" s="127">
        <f t="shared" si="84"/>
        <v>1.7617306337128517E-3</v>
      </c>
      <c r="Y91">
        <f t="shared" si="80"/>
        <v>-4.21347243229657E-8</v>
      </c>
    </row>
    <row r="92" spans="2:25" x14ac:dyDescent="0.3">
      <c r="B92" s="113">
        <f t="shared" si="85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1"/>
        <v>22.945799999999998</v>
      </c>
      <c r="K92" s="1">
        <f t="shared" si="71"/>
        <v>30</v>
      </c>
      <c r="L92" s="1">
        <f t="shared" si="72"/>
        <v>3.4011973816621555</v>
      </c>
      <c r="M92" s="3">
        <f t="shared" si="73"/>
        <v>378.78787878787881</v>
      </c>
      <c r="N92" s="3"/>
      <c r="O92" s="3">
        <f t="shared" si="74"/>
        <v>22727.272727272728</v>
      </c>
      <c r="P92" s="3">
        <f t="shared" si="75"/>
        <v>0</v>
      </c>
      <c r="Q92" s="3">
        <f t="shared" si="76"/>
        <v>49.321338383838388</v>
      </c>
      <c r="R92" s="3">
        <f t="shared" si="77"/>
        <v>0</v>
      </c>
      <c r="S92" s="3">
        <f t="shared" si="78"/>
        <v>30</v>
      </c>
      <c r="T92" s="4">
        <f t="shared" si="79"/>
        <v>22.945799999999998</v>
      </c>
      <c r="U92" s="4"/>
      <c r="V92">
        <f t="shared" si="82"/>
        <v>3.0770822607600001E-2</v>
      </c>
      <c r="W92" s="127">
        <f t="shared" si="83"/>
        <v>7.1107678547450686E-3</v>
      </c>
      <c r="X92" s="127">
        <f t="shared" si="84"/>
        <v>2.5541211873215492E-3</v>
      </c>
      <c r="Y92">
        <f t="shared" si="80"/>
        <v>-5.6190666121074085E-8</v>
      </c>
    </row>
    <row r="93" spans="2:25" x14ac:dyDescent="0.3">
      <c r="B93" s="113">
        <f t="shared" si="85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1"/>
        <v>28.194600000000005</v>
      </c>
      <c r="K93" s="1">
        <f t="shared" si="71"/>
        <v>35</v>
      </c>
      <c r="L93" s="1">
        <f t="shared" si="72"/>
        <v>3.5553480614894135</v>
      </c>
      <c r="M93" s="3">
        <f t="shared" si="73"/>
        <v>416.66666666666669</v>
      </c>
      <c r="N93" s="3"/>
      <c r="O93" s="3">
        <f t="shared" si="74"/>
        <v>25000</v>
      </c>
      <c r="P93" s="3">
        <f t="shared" si="75"/>
        <v>0</v>
      </c>
      <c r="Q93" s="3">
        <f t="shared" si="76"/>
        <v>54.253472222222221</v>
      </c>
      <c r="R93" s="3">
        <f t="shared" si="77"/>
        <v>0</v>
      </c>
      <c r="S93" s="3">
        <f t="shared" si="78"/>
        <v>35</v>
      </c>
      <c r="T93" s="4">
        <f t="shared" si="79"/>
        <v>28.194600000000005</v>
      </c>
      <c r="U93" s="4"/>
      <c r="V93">
        <f t="shared" si="82"/>
        <v>3.7809578881200012E-2</v>
      </c>
      <c r="W93" s="127">
        <f t="shared" si="83"/>
        <v>7.9430363313624987E-3</v>
      </c>
      <c r="X93" s="127">
        <f t="shared" si="84"/>
        <v>3.3863896639389794E-3</v>
      </c>
      <c r="Y93">
        <f t="shared" si="80"/>
        <v>-6.7727793278779586E-8</v>
      </c>
    </row>
    <row r="94" spans="2:25" x14ac:dyDescent="0.3">
      <c r="B94" s="113">
        <f t="shared" si="85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1"/>
        <v>31.509999999999994</v>
      </c>
      <c r="K94" s="1">
        <f t="shared" si="71"/>
        <v>40</v>
      </c>
      <c r="L94" s="1">
        <f t="shared" si="72"/>
        <v>3.6888794541139363</v>
      </c>
      <c r="M94" s="3">
        <f t="shared" si="73"/>
        <v>444.44444444444451</v>
      </c>
      <c r="N94" s="3"/>
      <c r="O94" s="3">
        <f t="shared" si="74"/>
        <v>26666.666666666672</v>
      </c>
      <c r="P94" s="3">
        <f t="shared" si="75"/>
        <v>0</v>
      </c>
      <c r="Q94" s="3">
        <f t="shared" si="76"/>
        <v>57.870370370370381</v>
      </c>
      <c r="R94" s="3">
        <f t="shared" si="77"/>
        <v>0</v>
      </c>
      <c r="S94" s="3">
        <f t="shared" si="78"/>
        <v>40</v>
      </c>
      <c r="T94" s="4">
        <f t="shared" si="79"/>
        <v>31.509999999999994</v>
      </c>
      <c r="U94" s="4"/>
      <c r="V94">
        <f t="shared" si="82"/>
        <v>4.2255603219999993E-2</v>
      </c>
      <c r="W94" s="127">
        <f t="shared" si="83"/>
        <v>8.3222410541789974E-3</v>
      </c>
      <c r="X94" s="127">
        <f t="shared" si="84"/>
        <v>3.765594386755478E-3</v>
      </c>
      <c r="Y94">
        <f t="shared" si="80"/>
        <v>-7.0604894751665205E-8</v>
      </c>
    </row>
    <row r="95" spans="2:25" x14ac:dyDescent="0.3">
      <c r="B95" s="113">
        <f t="shared" si="85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1"/>
        <v>41.222999999999999</v>
      </c>
      <c r="K95" s="1">
        <f t="shared" si="71"/>
        <v>50</v>
      </c>
      <c r="L95" s="1">
        <f t="shared" si="72"/>
        <v>3.912023005428146</v>
      </c>
      <c r="M95" s="3">
        <f t="shared" si="73"/>
        <v>497.51243781094524</v>
      </c>
      <c r="N95" s="3"/>
      <c r="O95" s="3">
        <f t="shared" si="74"/>
        <v>29850.746268656716</v>
      </c>
      <c r="P95" s="3">
        <f t="shared" si="75"/>
        <v>0</v>
      </c>
      <c r="Q95" s="3">
        <f t="shared" si="76"/>
        <v>64.780265339966832</v>
      </c>
      <c r="R95" s="3">
        <f t="shared" si="77"/>
        <v>0</v>
      </c>
      <c r="S95" s="3">
        <f t="shared" si="78"/>
        <v>50</v>
      </c>
      <c r="T95" s="4">
        <f t="shared" si="79"/>
        <v>41.222999999999999</v>
      </c>
      <c r="U95" s="4"/>
      <c r="V95">
        <f t="shared" si="82"/>
        <v>5.5280949906E-2</v>
      </c>
      <c r="W95" s="127">
        <f t="shared" si="83"/>
        <v>9.7262408883614527E-3</v>
      </c>
      <c r="X95" s="127">
        <f t="shared" si="84"/>
        <v>5.1695942209379333E-3</v>
      </c>
      <c r="Y95">
        <f t="shared" si="80"/>
        <v>-8.6590703200710378E-8</v>
      </c>
    </row>
    <row r="96" spans="2:25" x14ac:dyDescent="0.3">
      <c r="B96" s="113">
        <f t="shared" si="85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1"/>
        <v>51.816000000000003</v>
      </c>
      <c r="K96" s="1">
        <f t="shared" si="71"/>
        <v>60</v>
      </c>
      <c r="L96" s="1">
        <f t="shared" si="72"/>
        <v>4.0943445622221004</v>
      </c>
      <c r="M96" s="3">
        <f t="shared" si="73"/>
        <v>531.91489361702133</v>
      </c>
      <c r="N96" s="3"/>
      <c r="O96" s="3">
        <f t="shared" si="74"/>
        <v>31914.89361702128</v>
      </c>
      <c r="P96" s="3">
        <f t="shared" si="75"/>
        <v>0</v>
      </c>
      <c r="Q96" s="3">
        <f t="shared" si="76"/>
        <v>69.259751773049643</v>
      </c>
      <c r="R96" s="3">
        <f t="shared" si="77"/>
        <v>0</v>
      </c>
      <c r="S96" s="3">
        <f t="shared" si="78"/>
        <v>60</v>
      </c>
      <c r="T96" s="4">
        <f t="shared" si="79"/>
        <v>51.816000000000003</v>
      </c>
      <c r="U96" s="4"/>
      <c r="V96">
        <f t="shared" si="82"/>
        <v>6.9486395952000013E-2</v>
      </c>
      <c r="W96" s="127">
        <f t="shared" si="83"/>
        <v>1.1434866614916992E-2</v>
      </c>
      <c r="X96" s="127">
        <f t="shared" si="84"/>
        <v>6.8782199474934731E-3</v>
      </c>
      <c r="Y96">
        <f t="shared" si="80"/>
        <v>-1.0775877917739773E-7</v>
      </c>
    </row>
    <row r="97" spans="2:25" x14ac:dyDescent="0.3">
      <c r="B97" s="113">
        <f t="shared" si="85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1"/>
        <v>66.481399999999994</v>
      </c>
      <c r="K97" s="1">
        <f t="shared" si="71"/>
        <v>75</v>
      </c>
      <c r="L97" s="1">
        <f t="shared" si="72"/>
        <v>4.3174881135363101</v>
      </c>
      <c r="M97" s="3">
        <f t="shared" si="73"/>
        <v>613.49693251533745</v>
      </c>
      <c r="N97" s="3"/>
      <c r="O97" s="3">
        <f t="shared" si="74"/>
        <v>36809.815950920245</v>
      </c>
      <c r="P97" s="3">
        <f t="shared" si="75"/>
        <v>0</v>
      </c>
      <c r="Q97" s="3">
        <f t="shared" si="76"/>
        <v>79.882413087934552</v>
      </c>
      <c r="R97" s="3">
        <f t="shared" si="77"/>
        <v>0</v>
      </c>
      <c r="S97" s="3">
        <f t="shared" si="78"/>
        <v>75</v>
      </c>
      <c r="T97" s="4">
        <f t="shared" si="79"/>
        <v>66.481399999999994</v>
      </c>
      <c r="U97" s="4"/>
      <c r="V97">
        <f t="shared" si="82"/>
        <v>8.9153019990799998E-2</v>
      </c>
      <c r="W97" s="127">
        <f t="shared" si="83"/>
        <v>1.2720293456940682E-2</v>
      </c>
      <c r="X97" s="127">
        <f t="shared" si="84"/>
        <v>8.1636467895171635E-3</v>
      </c>
      <c r="Y97">
        <f t="shared" si="80"/>
        <v>-1.1088953555760814E-7</v>
      </c>
    </row>
    <row r="98" spans="2:25" x14ac:dyDescent="0.3">
      <c r="B98" s="113">
        <f t="shared" si="85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1"/>
        <v>80.820000000000007</v>
      </c>
      <c r="K98" s="1">
        <f t="shared" si="71"/>
        <v>90</v>
      </c>
      <c r="L98" s="1">
        <f t="shared" si="72"/>
        <v>4.499809670330265</v>
      </c>
      <c r="M98" s="3">
        <f t="shared" si="73"/>
        <v>657.89473684210532</v>
      </c>
      <c r="N98" s="3"/>
      <c r="O98" s="3">
        <f t="shared" si="74"/>
        <v>39473.68421052632</v>
      </c>
      <c r="P98" s="3">
        <f t="shared" si="75"/>
        <v>0</v>
      </c>
      <c r="Q98" s="3">
        <f t="shared" si="76"/>
        <v>85.663377192982466</v>
      </c>
      <c r="R98" s="3">
        <f t="shared" si="77"/>
        <v>0</v>
      </c>
      <c r="S98" s="3">
        <f t="shared" si="78"/>
        <v>90</v>
      </c>
      <c r="T98" s="4">
        <f t="shared" si="79"/>
        <v>80.820000000000007</v>
      </c>
      <c r="U98" s="4"/>
      <c r="V98">
        <f t="shared" si="82"/>
        <v>0.10838139804000002</v>
      </c>
      <c r="W98" s="127">
        <f t="shared" si="83"/>
        <v>1.4420217263487361E-2</v>
      </c>
      <c r="X98" s="127">
        <f t="shared" si="84"/>
        <v>9.8635705960638427E-3</v>
      </c>
      <c r="Y98">
        <f t="shared" si="80"/>
        <v>-1.2493856088347532E-7</v>
      </c>
    </row>
    <row r="99" spans="2:25" x14ac:dyDescent="0.3">
      <c r="B99" s="113">
        <f t="shared" si="85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1"/>
        <v>99.012000000000015</v>
      </c>
      <c r="K99" s="1">
        <f t="shared" si="71"/>
        <v>109</v>
      </c>
      <c r="L99" s="1">
        <f t="shared" si="72"/>
        <v>4.6913478822291435</v>
      </c>
      <c r="M99" s="3">
        <f t="shared" si="73"/>
        <v>719.42446043165478</v>
      </c>
      <c r="N99" s="3"/>
      <c r="O99" s="3">
        <f t="shared" si="74"/>
        <v>43165.467625899284</v>
      </c>
      <c r="P99" s="3">
        <f t="shared" si="75"/>
        <v>0</v>
      </c>
      <c r="Q99" s="3">
        <f t="shared" si="76"/>
        <v>93.675059952038382</v>
      </c>
      <c r="R99" s="3">
        <f t="shared" si="77"/>
        <v>0</v>
      </c>
      <c r="S99" s="3">
        <f t="shared" si="78"/>
        <v>109</v>
      </c>
      <c r="T99" s="4">
        <f t="shared" si="79"/>
        <v>99.012000000000015</v>
      </c>
      <c r="U99" s="4"/>
      <c r="V99">
        <f t="shared" si="82"/>
        <v>0.13277727026400002</v>
      </c>
      <c r="W99" s="127">
        <f t="shared" si="83"/>
        <v>1.6155187509381233E-2</v>
      </c>
      <c r="X99" s="127">
        <f t="shared" si="84"/>
        <v>1.1598540841957713E-2</v>
      </c>
      <c r="Y99">
        <f t="shared" si="80"/>
        <v>-1.3434976475267684E-7</v>
      </c>
    </row>
    <row r="100" spans="2:25" ht="15" thickBot="1" x14ac:dyDescent="0.35">
      <c r="B100" s="116">
        <f t="shared" si="85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1"/>
        <v>118.28099999999999</v>
      </c>
      <c r="K100" s="1">
        <f t="shared" si="71"/>
        <v>130</v>
      </c>
      <c r="L100" s="1">
        <f t="shared" si="72"/>
        <v>4.8675344504555822</v>
      </c>
      <c r="M100" s="3">
        <f t="shared" si="73"/>
        <v>740.74074074074076</v>
      </c>
      <c r="N100" s="3"/>
      <c r="O100" s="3">
        <f t="shared" si="74"/>
        <v>44444.444444444445</v>
      </c>
      <c r="P100" s="3">
        <f t="shared" si="75"/>
        <v>0</v>
      </c>
      <c r="Q100" s="3">
        <f t="shared" si="76"/>
        <v>96.450617283950621</v>
      </c>
      <c r="R100" s="3">
        <f t="shared" si="77"/>
        <v>0</v>
      </c>
      <c r="S100" s="3">
        <f t="shared" si="78"/>
        <v>130</v>
      </c>
      <c r="T100" s="4">
        <f t="shared" si="79"/>
        <v>118.28099999999999</v>
      </c>
      <c r="U100" s="4"/>
      <c r="V100">
        <f t="shared" si="82"/>
        <v>0.15861742318200001</v>
      </c>
      <c r="W100" s="127">
        <f t="shared" si="83"/>
        <v>1.8743820897416941E-2</v>
      </c>
      <c r="X100" s="127">
        <f t="shared" si="84"/>
        <v>1.418717422999342E-2</v>
      </c>
      <c r="Y100">
        <f t="shared" si="80"/>
        <v>-1.5960571008742599E-7</v>
      </c>
    </row>
    <row r="101" spans="2:25" x14ac:dyDescent="0.3">
      <c r="B101" s="144">
        <f t="shared" si="85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1"/>
        <v>152.48400000000001</v>
      </c>
      <c r="K101" s="1">
        <f t="shared" si="71"/>
        <v>152</v>
      </c>
      <c r="L101" s="1">
        <f t="shared" si="72"/>
        <v>5.0238805208462765</v>
      </c>
      <c r="M101" s="1">
        <f t="shared" si="73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78"/>
        <v>152</v>
      </c>
      <c r="T101" s="4">
        <f t="shared" si="79"/>
        <v>152.48400000000001</v>
      </c>
      <c r="U101" s="4"/>
      <c r="V101">
        <f t="shared" si="82"/>
        <v>0.20448439864800003</v>
      </c>
      <c r="W101" s="127">
        <f t="shared" si="83"/>
        <v>2.2910977316251649E-2</v>
      </c>
      <c r="X101" s="127">
        <f t="shared" si="84"/>
        <v>1.8354330648828129E-2</v>
      </c>
      <c r="Y101">
        <f t="shared" si="80"/>
        <v>-1.9577952692083334E-7</v>
      </c>
    </row>
    <row r="102" spans="2:25" x14ac:dyDescent="0.3">
      <c r="B102" s="144">
        <f t="shared" si="85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1"/>
        <v>183.08879999999999</v>
      </c>
      <c r="K102" s="1">
        <f t="shared" si="71"/>
        <v>164</v>
      </c>
      <c r="L102" s="1">
        <f t="shared" si="72"/>
        <v>5.0998664278241987</v>
      </c>
      <c r="M102" s="1">
        <f t="shared" si="73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78"/>
        <v>164</v>
      </c>
      <c r="T102" s="4">
        <f t="shared" si="79"/>
        <v>183.08879999999999</v>
      </c>
      <c r="U102" s="4"/>
      <c r="V102">
        <f t="shared" si="82"/>
        <v>0.24552610875360001</v>
      </c>
      <c r="W102" s="127">
        <f t="shared" si="83"/>
        <v>2.6563764337382487E-2</v>
      </c>
      <c r="X102" s="127">
        <f t="shared" si="84"/>
        <v>2.2007117669958966E-2</v>
      </c>
      <c r="Y102">
        <f t="shared" si="80"/>
        <v>-2.2667331200057733E-7</v>
      </c>
    </row>
    <row r="103" spans="2:25" x14ac:dyDescent="0.3">
      <c r="W103" s="127"/>
    </row>
    <row r="104" spans="2:25" x14ac:dyDescent="0.3">
      <c r="W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abSelected="1" zoomScale="90" zoomScaleNormal="90" zoomScaleSheetLayoutView="80" workbookViewId="0">
      <selection activeCell="I16" sqref="I16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77734375" bestFit="1" customWidth="1"/>
    <col min="9" max="10" width="13.77734375" customWidth="1"/>
    <col min="11" max="11" width="10.7773437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t="s">
        <v>131</v>
      </c>
      <c r="E1" t="s">
        <v>209</v>
      </c>
      <c r="F1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8" t="s">
        <v>210</v>
      </c>
      <c r="P1" s="158"/>
      <c r="Q1" s="158"/>
      <c r="R1" s="158"/>
      <c r="S1" s="158"/>
    </row>
    <row r="2" spans="2:19" x14ac:dyDescent="0.3">
      <c r="B2">
        <f t="shared" ref="B2:B10" si="0">C2*$E$13</f>
        <v>7372.8</v>
      </c>
      <c r="C2">
        <v>16</v>
      </c>
      <c r="D2">
        <v>0.33</v>
      </c>
      <c r="E2">
        <f t="shared" ref="E2:E10" si="1">$E$12*$C2^$F$12</f>
        <v>0.3917732370086745</v>
      </c>
      <c r="F2">
        <v>20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8" t="s">
        <v>64</v>
      </c>
      <c r="P2" s="158" t="s">
        <v>81</v>
      </c>
      <c r="Q2" s="158" t="s">
        <v>101</v>
      </c>
      <c r="R2" s="158" t="s">
        <v>203</v>
      </c>
      <c r="S2" s="158"/>
    </row>
    <row r="3" spans="2:19" x14ac:dyDescent="0.3">
      <c r="B3">
        <f t="shared" si="0"/>
        <v>9216</v>
      </c>
      <c r="C3">
        <v>20</v>
      </c>
      <c r="D3">
        <v>0.28000000000000003</v>
      </c>
      <c r="E3">
        <f t="shared" si="1"/>
        <v>0.27537020278635105</v>
      </c>
      <c r="F3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8">
        <v>0</v>
      </c>
      <c r="P3" s="158"/>
      <c r="Q3" s="158"/>
      <c r="R3" s="158"/>
      <c r="S3" s="158"/>
    </row>
    <row r="4" spans="2:19" x14ac:dyDescent="0.3">
      <c r="B4">
        <f t="shared" si="0"/>
        <v>11520</v>
      </c>
      <c r="C4">
        <v>25</v>
      </c>
      <c r="D4">
        <v>0.19</v>
      </c>
      <c r="E4">
        <f t="shared" si="1"/>
        <v>0.19355265092014706</v>
      </c>
      <c r="F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8">
        <v>0</v>
      </c>
      <c r="P4" s="158"/>
      <c r="Q4" s="158"/>
      <c r="R4" s="158"/>
      <c r="S4" s="158"/>
    </row>
    <row r="5" spans="2:19" x14ac:dyDescent="0.3">
      <c r="B5">
        <f t="shared" si="0"/>
        <v>16588.8</v>
      </c>
      <c r="C5">
        <v>36</v>
      </c>
      <c r="D5">
        <v>0.14000000000000001</v>
      </c>
      <c r="E5">
        <f t="shared" si="1"/>
        <v>0.10878935110598625</v>
      </c>
      <c r="F5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8">
        <v>12.367954907596399</v>
      </c>
      <c r="P5" s="158">
        <v>3.9916956312460647</v>
      </c>
      <c r="Q5" s="158"/>
      <c r="R5" s="158"/>
      <c r="S5" s="158"/>
    </row>
    <row r="6" spans="2:19" x14ac:dyDescent="0.3">
      <c r="B6">
        <f t="shared" si="0"/>
        <v>20736</v>
      </c>
      <c r="C6">
        <v>45</v>
      </c>
      <c r="D6">
        <v>0.11</v>
      </c>
      <c r="E6">
        <f t="shared" si="1"/>
        <v>7.6466034034855926E-2</v>
      </c>
      <c r="F6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8">
        <v>15.047408792585415</v>
      </c>
      <c r="P6" s="158">
        <v>0.70091118459969781</v>
      </c>
      <c r="Q6" s="158"/>
      <c r="R6" s="158"/>
      <c r="S6" s="158"/>
    </row>
    <row r="7" spans="2:19" x14ac:dyDescent="0.3">
      <c r="B7">
        <f t="shared" si="0"/>
        <v>23040</v>
      </c>
      <c r="C7">
        <v>50</v>
      </c>
      <c r="D7">
        <v>0.09</v>
      </c>
      <c r="E7">
        <f t="shared" si="1"/>
        <v>6.4739856241990537E-2</v>
      </c>
      <c r="F7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8">
        <v>37.649471024806083</v>
      </c>
      <c r="P7" s="158">
        <v>8.8118975354312457E-2</v>
      </c>
      <c r="Q7" s="158">
        <v>18.349332141930159</v>
      </c>
      <c r="R7" s="158">
        <v>0.2622861097452871</v>
      </c>
      <c r="S7" s="158"/>
    </row>
    <row r="8" spans="2:19" x14ac:dyDescent="0.3">
      <c r="B8">
        <f t="shared" si="0"/>
        <v>23961.600000000002</v>
      </c>
      <c r="C8">
        <v>52</v>
      </c>
      <c r="D8">
        <v>0.08</v>
      </c>
      <c r="E8">
        <f t="shared" si="1"/>
        <v>6.0849785914015388E-2</v>
      </c>
      <c r="F8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8">
        <v>48.010895849896535</v>
      </c>
      <c r="P8" s="158">
        <v>6.2906429754981188E-2</v>
      </c>
      <c r="Q8" s="158">
        <v>28.457488763966595</v>
      </c>
      <c r="R8" s="158">
        <v>0.15327768207325029</v>
      </c>
      <c r="S8" s="158"/>
    </row>
    <row r="9" spans="2:19" x14ac:dyDescent="0.3">
      <c r="B9">
        <f t="shared" si="0"/>
        <v>25344</v>
      </c>
      <c r="C9">
        <v>55</v>
      </c>
      <c r="D9">
        <v>7.0000000000000007E-2</v>
      </c>
      <c r="E9">
        <f t="shared" si="1"/>
        <v>5.5689239628374895E-2</v>
      </c>
      <c r="F9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8">
        <v>61.364409667042004</v>
      </c>
      <c r="P9" s="158">
        <v>4.5959283219000051E-2</v>
      </c>
      <c r="Q9" s="158">
        <v>41.484597621753984</v>
      </c>
      <c r="R9" s="158">
        <v>9.3499270545763416E-2</v>
      </c>
      <c r="S9" s="158"/>
    </row>
    <row r="10" spans="2:19" x14ac:dyDescent="0.3">
      <c r="B10">
        <f t="shared" si="0"/>
        <v>28569.600000000002</v>
      </c>
      <c r="C10">
        <v>62</v>
      </c>
      <c r="D10">
        <v>0.05</v>
      </c>
      <c r="E10">
        <f t="shared" si="1"/>
        <v>4.6085623567052196E-2</v>
      </c>
      <c r="F10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8">
        <v>69.444433699664401</v>
      </c>
      <c r="P10" s="158">
        <v>3.9517474546856557E-2</v>
      </c>
      <c r="Q10" s="158">
        <v>49.367118588734272</v>
      </c>
      <c r="R10" s="158">
        <v>8.2313306461443872E-2</v>
      </c>
      <c r="S10" s="158"/>
    </row>
    <row r="11" spans="2:19" x14ac:dyDescent="0.3">
      <c r="D11" s="172" t="s">
        <v>130</v>
      </c>
      <c r="E11" s="171">
        <v>2.0111653701195102E-3</v>
      </c>
      <c r="F11" s="171">
        <v>-3.0709262345742761E-7</v>
      </c>
      <c r="G11" s="170">
        <v>1.4325144135226059E-11</v>
      </c>
      <c r="J11" s="146"/>
      <c r="O11" s="158">
        <v>76.75084997835306</v>
      </c>
      <c r="P11" s="158">
        <v>3.5072283984146982E-2</v>
      </c>
      <c r="Q11" s="158">
        <v>56.494941386998597</v>
      </c>
      <c r="R11" s="158">
        <v>6.3631390354086409E-2</v>
      </c>
      <c r="S11" s="158"/>
    </row>
    <row r="12" spans="2:19" x14ac:dyDescent="0.3">
      <c r="D12" s="168" t="s">
        <v>133</v>
      </c>
      <c r="E12" s="168">
        <v>31.3</v>
      </c>
      <c r="F12" s="168">
        <v>-1.58</v>
      </c>
      <c r="J12" s="146"/>
      <c r="O12" s="158">
        <v>87.210974546743557</v>
      </c>
      <c r="P12" s="158">
        <v>3.0207645977385542E-2</v>
      </c>
      <c r="Q12" s="158">
        <v>66.699385197396992</v>
      </c>
      <c r="R12" s="158">
        <v>4.8062113370621579E-2</v>
      </c>
      <c r="S12" s="158"/>
    </row>
    <row r="13" spans="2:19" x14ac:dyDescent="0.3">
      <c r="D13" s="168" t="s">
        <v>27</v>
      </c>
      <c r="E13" s="168">
        <v>460.8</v>
      </c>
      <c r="J13" s="146"/>
      <c r="O13" s="158">
        <v>93.835177516070971</v>
      </c>
      <c r="P13" s="158">
        <v>2.7768510934620131E-2</v>
      </c>
      <c r="Q13" s="158">
        <v>73.161670282743401</v>
      </c>
      <c r="R13" s="158">
        <v>3.9676981378982325E-2</v>
      </c>
      <c r="S13" s="158"/>
    </row>
    <row r="14" spans="2:19" x14ac:dyDescent="0.3">
      <c r="D14" s="168" t="s">
        <v>92</v>
      </c>
      <c r="E14" s="168">
        <v>6.9658921582847581E-4</v>
      </c>
      <c r="F14" s="168">
        <v>-1.9381907115184841E-7</v>
      </c>
      <c r="G14" s="168">
        <v>1.782679103068748E-11</v>
      </c>
      <c r="J14" s="146"/>
      <c r="O14" s="158">
        <v>95.760447741647312</v>
      </c>
      <c r="P14" s="158">
        <v>2.7131780912102672E-2</v>
      </c>
      <c r="Q14" s="158">
        <v>75.03988040426492</v>
      </c>
      <c r="R14" s="158">
        <v>3.7281900353922377E-2</v>
      </c>
      <c r="S14" s="158"/>
    </row>
    <row r="15" spans="2:19" x14ac:dyDescent="0.3">
      <c r="D15" s="169" t="s">
        <v>202</v>
      </c>
      <c r="E15" s="168">
        <v>-0.65641091051665401</v>
      </c>
      <c r="J15" s="146"/>
      <c r="O15" s="158">
        <v>98.439901626636328</v>
      </c>
      <c r="P15" s="158">
        <v>2.6292721207050156E-2</v>
      </c>
      <c r="Q15" s="158"/>
      <c r="R15" s="158"/>
      <c r="S15" s="1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2016-11-15T00:42:58Z</dcterms:modified>
</cp:coreProperties>
</file>