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Turnigy" sheetId="3" r:id="rId1"/>
    <sheet name="CalArduinoHiTec" sheetId="1" r:id="rId2"/>
    <sheet name="CalPhotonHiTec" sheetId="2" r:id="rId3"/>
  </sheets>
  <calcPr calcId="152511"/>
</workbook>
</file>

<file path=xl/calcChain.xml><?xml version="1.0" encoding="utf-8"?>
<calcChain xmlns="http://schemas.openxmlformats.org/spreadsheetml/2006/main">
  <c r="X34" i="3" l="1"/>
  <c r="J5" i="3"/>
  <c r="J6" i="3"/>
  <c r="J7" i="3"/>
  <c r="J8" i="3"/>
  <c r="J9" i="3"/>
  <c r="J10" i="3"/>
  <c r="J11" i="3"/>
  <c r="J12" i="3"/>
  <c r="J14" i="3"/>
  <c r="J4" i="3"/>
  <c r="N23" i="3" l="1"/>
  <c r="P23" i="3" s="1"/>
  <c r="R23" i="3" s="1"/>
  <c r="L23" i="3"/>
  <c r="T23" i="3" s="1"/>
  <c r="K23" i="3"/>
  <c r="U23" i="3" s="1"/>
  <c r="V23" i="3" s="1"/>
  <c r="W23" i="3" s="1"/>
  <c r="X23" i="3" s="1"/>
  <c r="Z23" i="3" s="1"/>
  <c r="AA23" i="3" s="1"/>
  <c r="AB23" i="3" s="1"/>
  <c r="N22" i="3"/>
  <c r="P22" i="3" s="1"/>
  <c r="R22" i="3" s="1"/>
  <c r="L22" i="3"/>
  <c r="M22" i="3" s="1"/>
  <c r="K22" i="3"/>
  <c r="U22" i="3" s="1"/>
  <c r="V22" i="3" s="1"/>
  <c r="N21" i="3"/>
  <c r="P21" i="3" s="1"/>
  <c r="R21" i="3" s="1"/>
  <c r="L21" i="3"/>
  <c r="M21" i="3" s="1"/>
  <c r="K21" i="3"/>
  <c r="U21" i="3" s="1"/>
  <c r="V21" i="3" s="1"/>
  <c r="N20" i="3"/>
  <c r="P20" i="3" s="1"/>
  <c r="R20" i="3" s="1"/>
  <c r="L20" i="3"/>
  <c r="M20" i="3" s="1"/>
  <c r="K20" i="3"/>
  <c r="U20" i="3" s="1"/>
  <c r="V20" i="3" s="1"/>
  <c r="N19" i="3"/>
  <c r="P19" i="3" s="1"/>
  <c r="R19" i="3" s="1"/>
  <c r="M19" i="3"/>
  <c r="L19" i="3"/>
  <c r="T19" i="3" s="1"/>
  <c r="K19" i="3"/>
  <c r="U19" i="3" s="1"/>
  <c r="V19" i="3" s="1"/>
  <c r="N18" i="3"/>
  <c r="P18" i="3" s="1"/>
  <c r="R18" i="3" s="1"/>
  <c r="L18" i="3"/>
  <c r="T18" i="3" s="1"/>
  <c r="K18" i="3"/>
  <c r="U18" i="3" s="1"/>
  <c r="V18" i="3" s="1"/>
  <c r="N17" i="3"/>
  <c r="P17" i="3" s="1"/>
  <c r="R17" i="3" s="1"/>
  <c r="L17" i="3"/>
  <c r="M17" i="3" s="1"/>
  <c r="K17" i="3"/>
  <c r="U17" i="3" s="1"/>
  <c r="V17" i="3" s="1"/>
  <c r="N16" i="3"/>
  <c r="P16" i="3" s="1"/>
  <c r="R16" i="3" s="1"/>
  <c r="L16" i="3"/>
  <c r="M16" i="3" s="1"/>
  <c r="K16" i="3"/>
  <c r="U16" i="3" s="1"/>
  <c r="V16" i="3" s="1"/>
  <c r="N15" i="3"/>
  <c r="P15" i="3" s="1"/>
  <c r="L15" i="3"/>
  <c r="M15" i="3" s="1"/>
  <c r="K15" i="3"/>
  <c r="U15" i="3" s="1"/>
  <c r="V15" i="3" s="1"/>
  <c r="B23" i="3"/>
  <c r="B22" i="3"/>
  <c r="B21" i="3"/>
  <c r="B20" i="3"/>
  <c r="B19" i="3"/>
  <c r="B18" i="3"/>
  <c r="B17" i="3"/>
  <c r="B16" i="3"/>
  <c r="B15" i="3"/>
  <c r="M18" i="3" l="1"/>
  <c r="M23" i="3"/>
  <c r="W16" i="3"/>
  <c r="X16" i="3" s="1"/>
  <c r="Z16" i="3" s="1"/>
  <c r="AA16" i="3" s="1"/>
  <c r="AB16" i="3" s="1"/>
  <c r="R15" i="3"/>
  <c r="Y64" i="3"/>
  <c r="Z64" i="3"/>
  <c r="X64" i="3"/>
  <c r="W19" i="3"/>
  <c r="X19" i="3" s="1"/>
  <c r="Z19" i="3" s="1"/>
  <c r="AA19" i="3" s="1"/>
  <c r="AB19" i="3" s="1"/>
  <c r="W20" i="3"/>
  <c r="X20" i="3" s="1"/>
  <c r="Z20" i="3" s="1"/>
  <c r="AA20" i="3" s="1"/>
  <c r="AB20" i="3" s="1"/>
  <c r="W15" i="3"/>
  <c r="X15" i="3" s="1"/>
  <c r="Z15" i="3" s="1"/>
  <c r="AA15" i="3" s="1"/>
  <c r="AB15" i="3" s="1"/>
  <c r="W17" i="3"/>
  <c r="X17" i="3" s="1"/>
  <c r="Z17" i="3" s="1"/>
  <c r="AA17" i="3" s="1"/>
  <c r="AB17" i="3" s="1"/>
  <c r="W21" i="3"/>
  <c r="X21" i="3" s="1"/>
  <c r="Z21" i="3" s="1"/>
  <c r="AA21" i="3" s="1"/>
  <c r="AB21" i="3" s="1"/>
  <c r="W18" i="3"/>
  <c r="X18" i="3" s="1"/>
  <c r="Z18" i="3" s="1"/>
  <c r="AA18" i="3" s="1"/>
  <c r="AB18" i="3" s="1"/>
  <c r="W22" i="3"/>
  <c r="X22" i="3" s="1"/>
  <c r="Z22" i="3" s="1"/>
  <c r="AA22" i="3" s="1"/>
  <c r="AB22" i="3" s="1"/>
  <c r="T16" i="3"/>
  <c r="T20" i="3"/>
  <c r="T17" i="3"/>
  <c r="T21" i="3"/>
  <c r="T22" i="3"/>
  <c r="T15" i="3"/>
  <c r="O9" i="3"/>
  <c r="Q9" i="3" s="1"/>
  <c r="S9" i="3" s="1"/>
  <c r="N9" i="3"/>
  <c r="P9" i="3" s="1"/>
  <c r="R9" i="3" s="1"/>
  <c r="L9" i="3"/>
  <c r="M9" i="3" s="1"/>
  <c r="K9" i="3"/>
  <c r="U9" i="3" s="1"/>
  <c r="V9" i="3" s="1"/>
  <c r="B9" i="3"/>
  <c r="AC16" i="3" l="1"/>
  <c r="AC17" i="3"/>
  <c r="AC18" i="3"/>
  <c r="AC19" i="3"/>
  <c r="AC23" i="3"/>
  <c r="AM3" i="3"/>
  <c r="AC20" i="3"/>
  <c r="AM9" i="3"/>
  <c r="AC21" i="3"/>
  <c r="AC15" i="3"/>
  <c r="AC22" i="3"/>
  <c r="W9" i="3"/>
  <c r="X9" i="3" s="1"/>
  <c r="Z9" i="3" s="1"/>
  <c r="AA9" i="3" s="1"/>
  <c r="AB9" i="3" s="1"/>
  <c r="T9" i="3"/>
  <c r="O8" i="3"/>
  <c r="Q8" i="3" s="1"/>
  <c r="N8" i="3"/>
  <c r="P8" i="3" s="1"/>
  <c r="AM8" i="3" s="1"/>
  <c r="L8" i="3"/>
  <c r="T8" i="3" s="1"/>
  <c r="K8" i="3"/>
  <c r="U8" i="3" s="1"/>
  <c r="V8" i="3" s="1"/>
  <c r="B8" i="3"/>
  <c r="B6" i="3"/>
  <c r="K6" i="3"/>
  <c r="U6" i="3" s="1"/>
  <c r="V6" i="3" s="1"/>
  <c r="L6" i="3"/>
  <c r="M6" i="3" s="1"/>
  <c r="N6" i="3"/>
  <c r="P6" i="3" s="1"/>
  <c r="AM6" i="3" s="1"/>
  <c r="O6" i="3"/>
  <c r="Q6" i="3" s="1"/>
  <c r="T6" i="3" l="1"/>
  <c r="M8" i="3"/>
  <c r="W8" i="3"/>
  <c r="X8" i="3" s="1"/>
  <c r="Z8" i="3" s="1"/>
  <c r="AA8" i="3" s="1"/>
  <c r="AB8" i="3" s="1"/>
  <c r="W6" i="3"/>
  <c r="X6" i="3" s="1"/>
  <c r="Q13" i="3" l="1"/>
  <c r="U13" i="3"/>
  <c r="V13" i="3" s="1"/>
  <c r="L2" i="3"/>
  <c r="T2" i="3" s="1"/>
  <c r="B2" i="3"/>
  <c r="U3" i="3"/>
  <c r="V3" i="3" s="1"/>
  <c r="U2" i="3"/>
  <c r="V2" i="3" s="1"/>
  <c r="B13" i="3"/>
  <c r="L13" i="3"/>
  <c r="M13" i="3" s="1"/>
  <c r="K11" i="3"/>
  <c r="U11" i="3" s="1"/>
  <c r="V11" i="3" s="1"/>
  <c r="B5" i="3"/>
  <c r="B7" i="3"/>
  <c r="B10" i="3"/>
  <c r="B11" i="3"/>
  <c r="B12" i="3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AE32" i="3"/>
  <c r="AE31" i="3"/>
  <c r="AD9" i="3" s="1"/>
  <c r="AE9" i="3" s="1"/>
  <c r="AE29" i="3"/>
  <c r="AE28" i="3"/>
  <c r="AE27" i="3"/>
  <c r="AE26" i="3"/>
  <c r="O12" i="3"/>
  <c r="Q12" i="3" s="1"/>
  <c r="N12" i="3"/>
  <c r="P12" i="3" s="1"/>
  <c r="AM12" i="3" s="1"/>
  <c r="L12" i="3"/>
  <c r="T12" i="3" s="1"/>
  <c r="K12" i="3"/>
  <c r="U12" i="3" s="1"/>
  <c r="V12" i="3" s="1"/>
  <c r="O11" i="3"/>
  <c r="Q11" i="3" s="1"/>
  <c r="N11" i="3"/>
  <c r="P11" i="3" s="1"/>
  <c r="AM11" i="3" s="1"/>
  <c r="L11" i="3"/>
  <c r="T11" i="3" s="1"/>
  <c r="O10" i="3"/>
  <c r="Q10" i="3" s="1"/>
  <c r="N10" i="3"/>
  <c r="P10" i="3" s="1"/>
  <c r="AM10" i="3" s="1"/>
  <c r="L10" i="3"/>
  <c r="T10" i="3" s="1"/>
  <c r="K10" i="3"/>
  <c r="U10" i="3" s="1"/>
  <c r="V10" i="3" s="1"/>
  <c r="O7" i="3"/>
  <c r="Q7" i="3" s="1"/>
  <c r="N7" i="3"/>
  <c r="P7" i="3" s="1"/>
  <c r="AM7" i="3" s="1"/>
  <c r="L7" i="3"/>
  <c r="T7" i="3" s="1"/>
  <c r="K7" i="3"/>
  <c r="U7" i="3" s="1"/>
  <c r="V7" i="3" s="1"/>
  <c r="O5" i="3"/>
  <c r="Q5" i="3" s="1"/>
  <c r="N5" i="3"/>
  <c r="P5" i="3" s="1"/>
  <c r="AM5" i="3" s="1"/>
  <c r="L5" i="3"/>
  <c r="M5" i="3" s="1"/>
  <c r="K5" i="3"/>
  <c r="U5" i="3" s="1"/>
  <c r="V5" i="3" s="1"/>
  <c r="O4" i="3"/>
  <c r="Q4" i="3" s="1"/>
  <c r="N4" i="3"/>
  <c r="P4" i="3" s="1"/>
  <c r="L4" i="3"/>
  <c r="T4" i="3" s="1"/>
  <c r="K4" i="3"/>
  <c r="U4" i="3" s="1"/>
  <c r="V4" i="3" s="1"/>
  <c r="B4" i="3"/>
  <c r="U1" i="3"/>
  <c r="AD5" i="3" l="1"/>
  <c r="AE5" i="3" s="1"/>
  <c r="AA46" i="3"/>
  <c r="X47" i="3"/>
  <c r="X46" i="3"/>
  <c r="AA45" i="3"/>
  <c r="X45" i="3"/>
  <c r="Z65" i="3"/>
  <c r="X65" i="3"/>
  <c r="Y65" i="3"/>
  <c r="AM4" i="3"/>
  <c r="AA48" i="3"/>
  <c r="AA47" i="3"/>
  <c r="AF35" i="3" s="1"/>
  <c r="W10" i="3"/>
  <c r="X10" i="3" s="1"/>
  <c r="Z10" i="3" s="1"/>
  <c r="AA10" i="3" s="1"/>
  <c r="AB10" i="3" s="1"/>
  <c r="AD13" i="3"/>
  <c r="AE13" i="3" s="1"/>
  <c r="AE36" i="3"/>
  <c r="AE33" i="3"/>
  <c r="AE30" i="3"/>
  <c r="R6" i="3"/>
  <c r="S8" i="3"/>
  <c r="R8" i="3"/>
  <c r="S6" i="3"/>
  <c r="AD10" i="3"/>
  <c r="AE10" i="3" s="1"/>
  <c r="AD8" i="3"/>
  <c r="AE8" i="3" s="1"/>
  <c r="AD6" i="3"/>
  <c r="AE6" i="3" s="1"/>
  <c r="AD7" i="3"/>
  <c r="AE7" i="3" s="1"/>
  <c r="R10" i="3"/>
  <c r="R2" i="3"/>
  <c r="S13" i="3"/>
  <c r="AD12" i="3"/>
  <c r="AE12" i="3" s="1"/>
  <c r="S3" i="3"/>
  <c r="AD11" i="3"/>
  <c r="AE11" i="3" s="1"/>
  <c r="R3" i="3"/>
  <c r="S2" i="3"/>
  <c r="M2" i="3"/>
  <c r="AD4" i="3"/>
  <c r="AE4" i="3" s="1"/>
  <c r="AD2" i="3"/>
  <c r="AE2" i="3" s="1"/>
  <c r="T13" i="3"/>
  <c r="M12" i="3"/>
  <c r="M11" i="3"/>
  <c r="M10" i="3"/>
  <c r="M4" i="3"/>
  <c r="M7" i="3"/>
  <c r="S4" i="3"/>
  <c r="S10" i="3"/>
  <c r="W7" i="3"/>
  <c r="X7" i="3" s="1"/>
  <c r="Z7" i="3" s="1"/>
  <c r="AA7" i="3" s="1"/>
  <c r="W11" i="3"/>
  <c r="X11" i="3" s="1"/>
  <c r="Z11" i="3" s="1"/>
  <c r="AA11" i="3" s="1"/>
  <c r="AB11" i="3" s="1"/>
  <c r="W5" i="3"/>
  <c r="X5" i="3" s="1"/>
  <c r="W12" i="3"/>
  <c r="X12" i="3" s="1"/>
  <c r="W4" i="3"/>
  <c r="X4" i="3" s="1"/>
  <c r="R5" i="3"/>
  <c r="S7" i="3"/>
  <c r="R11" i="3"/>
  <c r="R7" i="3"/>
  <c r="S11" i="3"/>
  <c r="S12" i="3"/>
  <c r="T5" i="3"/>
  <c r="R4" i="3"/>
  <c r="S5" i="3"/>
  <c r="R12" i="3"/>
  <c r="AF3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AD18" i="3" l="1"/>
  <c r="AE18" i="3" s="1"/>
  <c r="AF18" i="3" s="1"/>
  <c r="AL12" i="3"/>
  <c r="AN12" i="3" s="1"/>
  <c r="AO12" i="3" s="1"/>
  <c r="AD19" i="3"/>
  <c r="AE19" i="3" s="1"/>
  <c r="AF19" i="3" s="1"/>
  <c r="AD20" i="3"/>
  <c r="AE20" i="3" s="1"/>
  <c r="AF20" i="3" s="1"/>
  <c r="AL4" i="3"/>
  <c r="AN4" i="3" s="1"/>
  <c r="AD21" i="3"/>
  <c r="AE21" i="3" s="1"/>
  <c r="AF21" i="3" s="1"/>
  <c r="AL7" i="3"/>
  <c r="AN7" i="3" s="1"/>
  <c r="AO7" i="3" s="1"/>
  <c r="AL8" i="3"/>
  <c r="AN8" i="3" s="1"/>
  <c r="AO8" i="3" s="1"/>
  <c r="AL9" i="3"/>
  <c r="AN9" i="3" s="1"/>
  <c r="AO9" i="3" s="1"/>
  <c r="AL10" i="3"/>
  <c r="AN10" i="3" s="1"/>
  <c r="AO10" i="3" s="1"/>
  <c r="AL11" i="3"/>
  <c r="AN11" i="3" s="1"/>
  <c r="AO11" i="3" s="1"/>
  <c r="AD22" i="3"/>
  <c r="AE22" i="3" s="1"/>
  <c r="AF22" i="3" s="1"/>
  <c r="AD16" i="3"/>
  <c r="AE16" i="3" s="1"/>
  <c r="AF16" i="3" s="1"/>
  <c r="AD23" i="3"/>
  <c r="AE23" i="3" s="1"/>
  <c r="AF23" i="3" s="1"/>
  <c r="AD15" i="3"/>
  <c r="AE15" i="3" s="1"/>
  <c r="AF15" i="3" s="1"/>
  <c r="AL3" i="3"/>
  <c r="AN3" i="3" s="1"/>
  <c r="AL6" i="3"/>
  <c r="AN6" i="3" s="1"/>
  <c r="AO6" i="3" s="1"/>
  <c r="AL5" i="3"/>
  <c r="AN5" i="3" s="1"/>
  <c r="AD17" i="3"/>
  <c r="AE17" i="3" s="1"/>
  <c r="AF17" i="3" s="1"/>
  <c r="X49" i="3"/>
  <c r="X48" i="3"/>
  <c r="AG33" i="3"/>
  <c r="AE35" i="3"/>
  <c r="AA38" i="3"/>
  <c r="AA40" i="3" s="1"/>
  <c r="AF36" i="3"/>
  <c r="AB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AA41" i="3" l="1"/>
  <c r="AE34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F34" i="3"/>
  <c r="AG13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G9" i="3" l="1"/>
  <c r="AF9" i="3"/>
  <c r="AF4" i="3"/>
  <c r="AG2" i="3"/>
  <c r="AH2" i="3" s="1"/>
  <c r="AI2" i="3" s="1"/>
  <c r="AF11" i="3"/>
  <c r="AF8" i="3"/>
  <c r="AF10" i="3"/>
  <c r="AF13" i="3"/>
  <c r="AF7" i="3"/>
  <c r="AF12" i="3"/>
  <c r="AF2" i="3"/>
  <c r="AF6" i="3"/>
  <c r="AF5" i="3"/>
  <c r="AG6" i="3"/>
  <c r="AG8" i="3"/>
  <c r="AG10" i="3"/>
  <c r="AH10" i="3" s="1"/>
  <c r="AI10" i="3" s="1"/>
  <c r="AG4" i="3"/>
  <c r="AH4" i="3" s="1"/>
  <c r="AI4" i="3" s="1"/>
  <c r="AG11" i="3"/>
  <c r="AH11" i="3" s="1"/>
  <c r="AI11" i="3" s="1"/>
  <c r="C3" i="3"/>
  <c r="AD3" i="3" s="1"/>
  <c r="AE3" i="3" s="1"/>
  <c r="AG7" i="3"/>
  <c r="AH7" i="3" s="1"/>
  <c r="AI7" i="3" s="1"/>
  <c r="AG5" i="3"/>
  <c r="AH5" i="3" s="1"/>
  <c r="AI5" i="3" s="1"/>
  <c r="AG12" i="3"/>
  <c r="AH12" i="3" s="1"/>
  <c r="AI12" i="3" s="1"/>
  <c r="AH13" i="3"/>
  <c r="AI13" i="3" s="1"/>
  <c r="X51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J2" i="3" l="1"/>
  <c r="AJ9" i="3"/>
  <c r="AH9" i="3"/>
  <c r="AI9" i="3" s="1"/>
  <c r="AJ12" i="3"/>
  <c r="AG3" i="3"/>
  <c r="AH3" i="3" s="1"/>
  <c r="AI3" i="3" s="1"/>
  <c r="AF3" i="3"/>
  <c r="AJ10" i="3"/>
  <c r="AJ8" i="3"/>
  <c r="AH8" i="3"/>
  <c r="AI8" i="3" s="1"/>
  <c r="AH6" i="3"/>
  <c r="AI6" i="3" s="1"/>
  <c r="AJ6" i="3"/>
  <c r="L3" i="3"/>
  <c r="T3" i="3" s="1"/>
  <c r="B3" i="3"/>
  <c r="AJ11" i="3"/>
  <c r="AJ5" i="3"/>
  <c r="AJ4" i="3"/>
  <c r="AJ7" i="3"/>
  <c r="P13" i="3"/>
  <c r="R13" i="3" s="1"/>
  <c r="AJ13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J3" i="3" l="1"/>
  <c r="M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AF5" i="1" l="1"/>
  <c r="AF6" i="1"/>
  <c r="U3" i="2"/>
  <c r="AF9" i="1"/>
  <c r="AF4" i="1"/>
  <c r="AF7" i="1"/>
  <c r="AF3" i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<sst xmlns="http://schemas.openxmlformats.org/spreadsheetml/2006/main" count="261" uniqueCount="101">
  <si>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</si>
  <si>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</si>
  <si>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</si>
  <si>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</si>
  <si>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</si>
  <si>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</si>
  <si>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</si>
  <si>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</si>
  <si>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</si>
  <si>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</si>
  <si>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</si>
  <si>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</si>
  <si>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</si>
  <si>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</si>
  <si>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</si>
  <si>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</si>
  <si>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</si>
  <si>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</si>
  <si>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</si>
  <si>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</si>
  <si>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</si>
  <si>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</si>
  <si>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</si>
  <si>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</si>
  <si>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</si>
  <si>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</si>
  <si>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</si>
  <si>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</si>
  <si>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</si>
  <si>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</si>
  <si>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</si>
  <si>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</si>
  <si>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</si>
  <si>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</si>
  <si>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</si>
  <si>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</si>
  <si>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</si>
  <si>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</si>
  <si>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</si>
  <si>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</si>
  <si>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</si>
  <si>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</si>
  <si>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</si>
  <si>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</si>
  <si>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</si>
  <si>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</si>
  <si>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</si>
  <si>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</si>
  <si>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</si>
  <si>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</si>
  <si>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</si>
  <si>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</si>
  <si>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</si>
  <si>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</si>
  <si>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</si>
  <si>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</si>
  <si>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</si>
  <si>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</si>
  <si>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</si>
  <si>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</si>
  <si>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</si>
  <si>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</si>
  <si>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</si>
  <si>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</si>
  <si>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</si>
  <si>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</si>
  <si>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</si>
  <si>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</si>
  <si>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</si>
  <si>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</si>
  <si>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</si>
  <si>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</si>
  <si>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</si>
  <si>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</si>
  <si>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</si>
  <si>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</si>
  <si>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</si>
  <si>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</si>
  <si>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</si>
  <si>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</si>
  <si>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</si>
  <si>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</si>
  <si>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</si>
  <si>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</si>
  <si>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</si>
  <si>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</si>
  <si>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</si>
  <si>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</si>
  <si>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</si>
  <si>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Charger Pwr noFan, W</t>
  </si>
  <si>
    <t>P_NG_SHP_NOFAN</t>
  </si>
  <si>
    <t>Model Power from NG</t>
  </si>
  <si>
    <t>P_NG_SHP</t>
  </si>
  <si>
    <t>Model Power from NG No Fan</t>
  </si>
  <si>
    <t>Model Power from NG Fan</t>
  </si>
  <si>
    <t>Back Pressure Torque, ft-lbf</t>
  </si>
  <si>
    <t>Back Pressure Effect, shp</t>
  </si>
  <si>
    <t>Model Power from NG NoFan</t>
  </si>
  <si>
    <t>Back Pressure Power</t>
  </si>
  <si>
    <t>Vemf, pk</t>
  </si>
  <si>
    <t>numPolePairs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</si>
</sst>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0"/>
    <numFmt numFmtId="166" formatCode="0.000"/>
    <numFmt numFmtId="167" formatCode="0E+00"/>
    <numFmt numFmtId="168" formatCode="0.000000"/>
    <numFmt numFmtId="169" formatCode="0.0000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9" fontId="0" fillId="2" borderId="6" xfId="0" applyNumberFormat="1" applyFill="1" applyBorder="1"/>
    <xf numFmtId="0" fontId="2" fillId="2" borderId="1" xfId="0" applyFont="1" applyFill="1" applyBorder="1"/>
    <xf numFmtId="168" fontId="0" fillId="2" borderId="7" xfId="0" applyNumberFormat="1" applyFill="1" applyBorder="1"/>
    <xf numFmtId="2" fontId="0" fillId="2" borderId="7" xfId="0" applyNumberFormat="1" applyFill="1" applyBorder="1"/>
    <xf numFmtId="0" fontId="2" fillId="2" borderId="5" xfId="0" applyFont="1" applyFill="1" applyBorder="1"/>
    <xf numFmtId="2" fontId="0" fillId="2" borderId="8" xfId="0" applyNumberFormat="1" applyFill="1" applyBorder="1"/>
    <xf numFmtId="168" fontId="0" fillId="2" borderId="8" xfId="0" applyNumberFormat="1" applyFill="1" applyBorder="1"/>
    <xf numFmtId="169" fontId="0" fillId="2" borderId="2" xfId="0" applyNumberFormat="1" applyFill="1" applyBorder="1"/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9706971560062"/>
          <c:y val="0.1632962962962963"/>
          <c:w val="0.79740543990220403"/>
          <c:h val="0.6981729367162438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CalArduinoTurnigy!$K$4:$K$44</c:f>
              <c:numCache>
                <c:formatCode>0.0</c:formatCode>
                <c:ptCount val="41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  <c:pt idx="11">
                  <c:v>5.8512000000000004</c:v>
                </c:pt>
                <c:pt idx="12">
                  <c:v>7.7969999999999997</c:v>
                </c:pt>
                <c:pt idx="13">
                  <c:v>18.150000000000002</c:v>
                </c:pt>
                <c:pt idx="14">
                  <c:v>28.516800000000003</c:v>
                </c:pt>
                <c:pt idx="15">
                  <c:v>51.68</c:v>
                </c:pt>
                <c:pt idx="16">
                  <c:v>59.349000000000004</c:v>
                </c:pt>
                <c:pt idx="17">
                  <c:v>84.545999999999992</c:v>
                </c:pt>
                <c:pt idx="18">
                  <c:v>153.26999999999998</c:v>
                </c:pt>
                <c:pt idx="19">
                  <c:v>214.45920000000001</c:v>
                </c:pt>
              </c:numCache>
            </c:numRef>
          </c:xVal>
          <c:yVal>
            <c:numRef>
              <c:f>CalArduinoTurnigy!$R$4:$R$44</c:f>
              <c:numCache>
                <c:formatCode>0</c:formatCode>
                <c:ptCount val="41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  <c:pt idx="9">
                  <c:v>93.964640386803595</c:v>
                </c:pt>
                <c:pt idx="11">
                  <c:v>20.96861471861472</c:v>
                </c:pt>
                <c:pt idx="12">
                  <c:v>25.426509186351709</c:v>
                </c:pt>
                <c:pt idx="13">
                  <c:v>40.618448637316575</c:v>
                </c:pt>
                <c:pt idx="14">
                  <c:v>48.742138364779883</c:v>
                </c:pt>
                <c:pt idx="15">
                  <c:v>62.399355877616756</c:v>
                </c:pt>
                <c:pt idx="16">
                  <c:v>64.583333333333343</c:v>
                </c:pt>
                <c:pt idx="17">
                  <c:v>73.390151515151516</c:v>
                </c:pt>
                <c:pt idx="18">
                  <c:v>90.326340326340329</c:v>
                </c:pt>
                <c:pt idx="19">
                  <c:v>100.91145833333334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1888"/>
        <c:axId val="521949488"/>
      </c:scatterChart>
      <c:valAx>
        <c:axId val="2105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9488"/>
        <c:crosses val="autoZero"/>
        <c:crossBetween val="midCat"/>
      </c:valAx>
      <c:valAx>
        <c:axId val="5219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4136"/>
        <c:axId val="522365704"/>
      </c:scatterChart>
      <c:valAx>
        <c:axId val="52236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5704"/>
        <c:crosses val="autoZero"/>
        <c:crossBetween val="midCat"/>
      </c:valAx>
      <c:valAx>
        <c:axId val="52236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7272"/>
        <c:axId val="522367664"/>
      </c:scatterChart>
      <c:valAx>
        <c:axId val="52236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7664"/>
        <c:crosses val="autoZero"/>
        <c:crossBetween val="midCat"/>
      </c:valAx>
      <c:valAx>
        <c:axId val="5223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5176"/>
        <c:axId val="52194713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3672"/>
        <c:axId val="521947920"/>
      </c:scatterChart>
      <c:valAx>
        <c:axId val="52194517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7136"/>
        <c:crosses val="autoZero"/>
        <c:crossBetween val="midCat"/>
      </c:valAx>
      <c:valAx>
        <c:axId val="521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5176"/>
        <c:crosses val="autoZero"/>
        <c:crossBetween val="midCat"/>
      </c:valAx>
      <c:valAx>
        <c:axId val="52194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3672"/>
        <c:crosses val="max"/>
        <c:crossBetween val="midCat"/>
      </c:valAx>
      <c:valAx>
        <c:axId val="522823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94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4064"/>
        <c:axId val="522817008"/>
      </c:scatterChart>
      <c:valAx>
        <c:axId val="5228240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2817008"/>
        <c:crosses val="autoZero"/>
        <c:crossBetween val="midCat"/>
      </c:valAx>
      <c:valAx>
        <c:axId val="52281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282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9360"/>
        <c:axId val="522818576"/>
      </c:scatterChart>
      <c:valAx>
        <c:axId val="52281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2818576"/>
        <c:crosses val="autoZero"/>
        <c:crossBetween val="midCat"/>
      </c:valAx>
      <c:valAx>
        <c:axId val="52281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81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2496"/>
        <c:axId val="522824456"/>
      </c:scatterChart>
      <c:valAx>
        <c:axId val="522822496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4456"/>
        <c:crosses val="autoZero"/>
        <c:crossBetween val="midCat"/>
      </c:valAx>
      <c:valAx>
        <c:axId val="5228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2496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2888"/>
        <c:axId val="522823280"/>
      </c:scatterChart>
      <c:valAx>
        <c:axId val="5228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3280"/>
        <c:crosses val="autoZero"/>
        <c:crossBetween val="midCat"/>
      </c:valAx>
      <c:valAx>
        <c:axId val="5228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8968"/>
        <c:axId val="522819752"/>
      </c:scatterChart>
      <c:valAx>
        <c:axId val="52281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9752"/>
        <c:crosses val="autoZero"/>
        <c:crossBetween val="midCat"/>
      </c:valAx>
      <c:valAx>
        <c:axId val="5228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18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20536"/>
        <c:axId val="522820928"/>
      </c:scatterChart>
      <c:valAx>
        <c:axId val="5228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0928"/>
        <c:crosses val="autoZero"/>
        <c:crossBetween val="midCat"/>
      </c:valAx>
      <c:valAx>
        <c:axId val="522820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2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CalArduinoTurnigy!$P$5:$P$12</c:f>
              <c:numCache>
                <c:formatCode>0</c:formatCode>
                <c:ptCount val="8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41666.666666666664</c:v>
                </c:pt>
                <c:pt idx="7">
                  <c:v>46439.628482972141</c:v>
                </c:pt>
              </c:numCache>
            </c:numRef>
          </c:xVal>
          <c:yVal>
            <c:numRef>
              <c:f>CalArduinoTurnigy!$Q$5:$Q$12</c:f>
              <c:numCache>
                <c:formatCode>0</c:formatCode>
                <c:ptCount val="8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32240.730789897909</c:v>
                </c:pt>
                <c:pt idx="7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50272"/>
        <c:axId val="521945960"/>
      </c:scatterChart>
      <c:valAx>
        <c:axId val="5219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5960"/>
        <c:crosses val="autoZero"/>
        <c:crossBetween val="midCat"/>
      </c:valAx>
      <c:valAx>
        <c:axId val="52194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>
        <c:manualLayout>
          <c:xMode val="edge"/>
          <c:yMode val="edge"/>
          <c:x val="0.28589642519051828"/>
          <c:y val="5.464480874316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5.0477173959812403E-2"/>
          <c:w val="0.69316318873892269"/>
          <c:h val="0.79354373736069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0671745042726114"/>
                  <c:y val="-3.0559356309969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CalArduinoTurnigy!$L$4:$L$12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CalArduinoTurnigy!$R$4:$R$12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2824"/>
        <c:axId val="521945568"/>
      </c:scatterChart>
      <c:scatterChart>
        <c:scatterStyle val="lineMarker"/>
        <c:varyColors val="0"/>
        <c:ser>
          <c:idx val="1"/>
          <c:order val="1"/>
          <c:tx>
            <c:strRef>
              <c:f>CalArduinoTurnigy!$U$1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094744640635241"/>
                  <c:y val="0.30382642743427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CalArduinoTurnigy!$L$4:$L$12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CalArduinoTurnigy!$U$4:$U$12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6744"/>
        <c:axId val="521944392"/>
      </c:scatterChart>
      <c:valAx>
        <c:axId val="5219428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36357879872969"/>
              <c:y val="0.91055118110236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5568"/>
        <c:crossesAt val="-100"/>
        <c:crossBetween val="midCat"/>
        <c:majorUnit val="20"/>
      </c:valAx>
      <c:valAx>
        <c:axId val="5219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824"/>
        <c:crosses val="autoZero"/>
        <c:crossBetween val="midCat"/>
      </c:valAx>
      <c:valAx>
        <c:axId val="521944392"/>
        <c:scaling>
          <c:orientation val="minMax"/>
          <c:max val="3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6744"/>
        <c:crosses val="max"/>
        <c:crossBetween val="midCat"/>
        <c:majorUnit val="40"/>
      </c:valAx>
      <c:valAx>
        <c:axId val="521946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94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5599099569731"/>
          <c:y val="0.73567875736844368"/>
          <c:w val="0.49671140323382373"/>
          <c:h val="0.12305679410555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CalArduinoTurnigy!$R$4:$R$12</c:f>
              <c:numCache>
                <c:formatCode>0</c:formatCode>
                <c:ptCount val="9"/>
                <c:pt idx="0">
                  <c:v>19.278606965174134</c:v>
                </c:pt>
                <c:pt idx="1">
                  <c:v>27.958152958152958</c:v>
                </c:pt>
                <c:pt idx="2">
                  <c:v>39.621676891615543</c:v>
                </c:pt>
                <c:pt idx="3">
                  <c:v>48.196517412935322</c:v>
                </c:pt>
                <c:pt idx="4">
                  <c:v>60.077519379844965</c:v>
                </c:pt>
                <c:pt idx="5">
                  <c:v>63.943894389438952</c:v>
                </c:pt>
                <c:pt idx="6">
                  <c:v>72.975517890772139</c:v>
                </c:pt>
                <c:pt idx="7">
                  <c:v>89.699074074074076</c:v>
                </c:pt>
                <c:pt idx="8">
                  <c:v>99.974200206398365</c:v>
                </c:pt>
              </c:numCache>
            </c:numRef>
          </c:xVal>
          <c:yVal>
            <c:numRef>
              <c:f>CalArduinoTurnigy!$U$4:$U$12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7528"/>
        <c:axId val="521946352"/>
      </c:scatterChart>
      <c:valAx>
        <c:axId val="5219475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21946352"/>
        <c:crosses val="autoZero"/>
        <c:crossBetween val="midCat"/>
      </c:valAx>
      <c:valAx>
        <c:axId val="52194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1947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CalArduinoTurnigy!$Y$1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CalArduinoTurnigy!$R$5:$R$12</c:f>
              <c:numCache>
                <c:formatCode>0</c:formatCode>
                <c:ptCount val="8"/>
                <c:pt idx="0">
                  <c:v>27.958152958152958</c:v>
                </c:pt>
                <c:pt idx="1">
                  <c:v>39.621676891615543</c:v>
                </c:pt>
                <c:pt idx="2">
                  <c:v>48.196517412935322</c:v>
                </c:pt>
                <c:pt idx="3">
                  <c:v>60.077519379844965</c:v>
                </c:pt>
                <c:pt idx="4">
                  <c:v>63.943894389438952</c:v>
                </c:pt>
                <c:pt idx="5">
                  <c:v>72.975517890772139</c:v>
                </c:pt>
                <c:pt idx="6">
                  <c:v>89.699074074074076</c:v>
                </c:pt>
                <c:pt idx="7">
                  <c:v>99.974200206398365</c:v>
                </c:pt>
              </c:numCache>
            </c:numRef>
          </c:xVal>
          <c:yVal>
            <c:numRef>
              <c:f>CalArduinoTurnigy!$Y$5:$Y$12</c:f>
              <c:numCache>
                <c:formatCode>General</c:formatCode>
                <c:ptCount val="8"/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3608"/>
        <c:axId val="521949096"/>
      </c:scatterChart>
      <c:valAx>
        <c:axId val="52194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21949096"/>
        <c:crosses val="autoZero"/>
        <c:crossBetween val="midCat"/>
      </c:valAx>
      <c:valAx>
        <c:axId val="521949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94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CalArduinoTurnigy!$L$4:$L$12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CalArduinoTurnigy!$P$4:$P$12</c:f>
              <c:numCache>
                <c:formatCode>0</c:formatCode>
                <c:ptCount val="9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41666.666666666664</c:v>
                </c:pt>
                <c:pt idx="8">
                  <c:v>46439.628482972141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CalArduinoTurnigy!$AF$1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CalArduinoTurnigy!$C$4:$C$12</c:f>
              <c:numCache>
                <c:formatCode>General</c:formatCode>
                <c:ptCount val="9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146</c:v>
                </c:pt>
                <c:pt idx="8">
                  <c:v>165</c:v>
                </c:pt>
              </c:numCache>
            </c:numRef>
          </c:xVal>
          <c:yVal>
            <c:numRef>
              <c:f>CalArduinoTurnigy!$AF$4:$AF$12</c:f>
              <c:numCache>
                <c:formatCode>0.00</c:formatCode>
                <c:ptCount val="9"/>
                <c:pt idx="0">
                  <c:v>6439.2664503153683</c:v>
                </c:pt>
                <c:pt idx="1">
                  <c:v>12241.446092859056</c:v>
                </c:pt>
                <c:pt idx="2">
                  <c:v>20056.353934864714</c:v>
                </c:pt>
                <c:pt idx="3">
                  <c:v>24077.447515946315</c:v>
                </c:pt>
                <c:pt idx="4">
                  <c:v>29259.720186108691</c:v>
                </c:pt>
                <c:pt idx="5">
                  <c:v>31290.140089843608</c:v>
                </c:pt>
                <c:pt idx="6">
                  <c:v>35230.937216192004</c:v>
                </c:pt>
                <c:pt idx="7">
                  <c:v>41146.200011821857</c:v>
                </c:pt>
                <c:pt idx="8">
                  <c:v>42608.24032221135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4528"/>
        <c:axId val="522363352"/>
      </c:scatterChart>
      <c:valAx>
        <c:axId val="52236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3352"/>
        <c:crosses val="autoZero"/>
        <c:crossBetween val="midCat"/>
      </c:valAx>
      <c:valAx>
        <c:axId val="522363352"/>
        <c:scaling>
          <c:orientation val="minMax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Fan</a:t>
            </a:r>
            <a:r>
              <a:rPr lang="en-US" baseline="0"/>
              <a:t> Backpressure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30767514812E-2"/>
          <c:y val="4.1333019578739201E-2"/>
          <c:w val="0.86675884805056802"/>
          <c:h val="0.793746327902211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7005121195293681E-2"/>
                  <c:y val="0.11218085046363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CalArduinoTurnigy!$P$4:$P$12</c:f>
              <c:numCache>
                <c:formatCode>0</c:formatCode>
                <c:ptCount val="9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41666.666666666664</c:v>
                </c:pt>
                <c:pt idx="8">
                  <c:v>46439.628482972141</c:v>
                </c:pt>
              </c:numCache>
            </c:numRef>
          </c:xVal>
          <c:yVal>
            <c:numRef>
              <c:f>CalArduinoTurnigy!$U$4:$U$12</c:f>
              <c:numCache>
                <c:formatCode>General</c:formatCode>
                <c:ptCount val="9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169.11679999999998</c:v>
                </c:pt>
                <c:pt idx="8">
                  <c:v>241.61249999999998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CalArduinoTurnigy!$U$14</c:f>
              <c:strCache>
                <c:ptCount val="1"/>
                <c:pt idx="0">
                  <c:v>Charger Pwr noFan, 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121014936424087"/>
                  <c:y val="0.34026664743539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CalArduinoTurnigy!$P$15:$P$23</c:f>
              <c:numCache>
                <c:formatCode>0</c:formatCode>
                <c:ptCount val="9"/>
                <c:pt idx="0">
                  <c:v>9740.2597402597403</c:v>
                </c:pt>
                <c:pt idx="1">
                  <c:v>11811.023622047245</c:v>
                </c:pt>
                <c:pt idx="2">
                  <c:v>18867.92452830189</c:v>
                </c:pt>
                <c:pt idx="3">
                  <c:v>22641.509433962266</c:v>
                </c:pt>
                <c:pt idx="4">
                  <c:v>28985.507246376812</c:v>
                </c:pt>
                <c:pt idx="5">
                  <c:v>30000.000000000004</c:v>
                </c:pt>
                <c:pt idx="6">
                  <c:v>34090.909090909088</c:v>
                </c:pt>
                <c:pt idx="7">
                  <c:v>41958.041958041955</c:v>
                </c:pt>
                <c:pt idx="8">
                  <c:v>46875.000000000007</c:v>
                </c:pt>
              </c:numCache>
            </c:numRef>
          </c:xVal>
          <c:yVal>
            <c:numRef>
              <c:f>CalArduinoTurnigy!$U$15:$U$23</c:f>
              <c:numCache>
                <c:formatCode>General</c:formatCode>
                <c:ptCount val="9"/>
                <c:pt idx="0">
                  <c:v>5.8512000000000004</c:v>
                </c:pt>
                <c:pt idx="1">
                  <c:v>7.7969999999999997</c:v>
                </c:pt>
                <c:pt idx="2">
                  <c:v>18.150000000000002</c:v>
                </c:pt>
                <c:pt idx="3">
                  <c:v>28.516800000000003</c:v>
                </c:pt>
                <c:pt idx="4">
                  <c:v>51.68</c:v>
                </c:pt>
                <c:pt idx="5">
                  <c:v>59.349000000000004</c:v>
                </c:pt>
                <c:pt idx="6">
                  <c:v>84.545999999999992</c:v>
                </c:pt>
                <c:pt idx="7">
                  <c:v>153.26999999999998</c:v>
                </c:pt>
                <c:pt idx="8">
                  <c:v>214.45920000000001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6096"/>
        <c:axId val="522362960"/>
      </c:scatterChart>
      <c:valAx>
        <c:axId val="52236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2960"/>
        <c:crosses val="autoZero"/>
        <c:crossBetween val="midCat"/>
      </c:valAx>
      <c:valAx>
        <c:axId val="52236296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3804872492204294E-2"/>
          <c:y val="0.1912524430905779"/>
          <c:w val="0.45366267507700786"/>
          <c:h val="0.16963973985671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2.5428331875182269E-2"/>
          <c:w val="0.8648912948381452"/>
          <c:h val="0.7754939486730825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Back Pressure Torque,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CalArduinoTurnigy!$P$2:$P$12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 formatCode="0">
                  <c:v>8955.2238805970155</c:v>
                </c:pt>
                <c:pt idx="3" formatCode="0">
                  <c:v>12987.012987012988</c:v>
                </c:pt>
                <c:pt idx="4" formatCode="0">
                  <c:v>18404.907975460123</c:v>
                </c:pt>
                <c:pt idx="5" formatCode="0">
                  <c:v>22388.059701492537</c:v>
                </c:pt>
                <c:pt idx="6" formatCode="0">
                  <c:v>27906.976744186049</c:v>
                </c:pt>
                <c:pt idx="7" formatCode="0">
                  <c:v>29702.970297029704</c:v>
                </c:pt>
                <c:pt idx="8" formatCode="0">
                  <c:v>33898.305084745763</c:v>
                </c:pt>
                <c:pt idx="9" formatCode="0">
                  <c:v>41666.666666666664</c:v>
                </c:pt>
                <c:pt idx="10" formatCode="0">
                  <c:v>46439.628482972141</c:v>
                </c:pt>
              </c:numCache>
            </c:numRef>
          </c:xVal>
          <c:yVal>
            <c:numRef>
              <c:f>CalArduinoTurnigy!$AO$2:$AO$12</c:f>
              <c:numCache>
                <c:formatCode>General</c:formatCode>
                <c:ptCount val="11"/>
                <c:pt idx="4">
                  <c:v>3.2256044337389295E-2</c:v>
                </c:pt>
                <c:pt idx="5">
                  <c:v>0.3226540632854713</c:v>
                </c:pt>
                <c:pt idx="6">
                  <c:v>0.88499687634209534</c:v>
                </c:pt>
                <c:pt idx="7">
                  <c:v>1.0928305647949379</c:v>
                </c:pt>
                <c:pt idx="8">
                  <c:v>1.6096974581710151</c:v>
                </c:pt>
                <c:pt idx="9">
                  <c:v>2.64447278443523</c:v>
                </c:pt>
                <c:pt idx="10">
                  <c:v>3.3122623822156152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2568"/>
        <c:axId val="522362176"/>
      </c:scatterChart>
      <c:valAx>
        <c:axId val="52236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2176"/>
        <c:crosses val="autoZero"/>
        <c:crossBetween val="midCat"/>
      </c:valAx>
      <c:valAx>
        <c:axId val="5223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6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Ng, RPM, Kv=4800 verified</a:t>
            </a:r>
          </a:p>
        </c:rich>
      </c:tx>
      <c:layout>
        <c:manualLayout>
          <c:xMode val="edge"/>
          <c:yMode val="edge"/>
          <c:x val="0.19158867839610255"/>
          <c:y val="2.40847784200385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53835209851105"/>
          <c:y val="4.8543155371474522E-2"/>
          <c:w val="0.69231699552387316"/>
          <c:h val="0.72382344909198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908814523184603"/>
                  <c:y val="0.11538167104111986"/>
                </c:manualLayout>
              </c:layout>
              <c:numFmt formatCode="General" sourceLinked="0"/>
            </c:trendlineLbl>
          </c:trendline>
          <c:xVal>
            <c:numRef>
              <c:f>CalArduinoTurnigy!$J$6:$J$12</c:f>
              <c:numCache>
                <c:formatCode>General</c:formatCode>
                <c:ptCount val="7"/>
                <c:pt idx="0">
                  <c:v>2.04</c:v>
                </c:pt>
                <c:pt idx="1">
                  <c:v>3.02</c:v>
                </c:pt>
                <c:pt idx="2">
                  <c:v>4.12</c:v>
                </c:pt>
                <c:pt idx="3">
                  <c:v>4.4000000000000004</c:v>
                </c:pt>
                <c:pt idx="4">
                  <c:v>5.4</c:v>
                </c:pt>
                <c:pt idx="5">
                  <c:v>7.2</c:v>
                </c:pt>
                <c:pt idx="6">
                  <c:v>7.9</c:v>
                </c:pt>
              </c:numCache>
            </c:numRef>
          </c:xVal>
          <c:yVal>
            <c:numRef>
              <c:f>CalArduinoTurnigy!$P$6:$P$12</c:f>
              <c:numCache>
                <c:formatCode>0</c:formatCode>
                <c:ptCount val="7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41666.666666666664</c:v>
                </c:pt>
                <c:pt idx="6">
                  <c:v>46439.628482972141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1000"/>
        <c:axId val="522361392"/>
      </c:scatterChart>
      <c:valAx>
        <c:axId val="5223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Vemf, pk</a:t>
                </a:r>
                <a:r>
                  <a:rPr lang="en-US" baseline="0"/>
                  <a:t> SA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2361392"/>
        <c:crosses val="autoZero"/>
        <c:crossBetween val="midCat"/>
      </c:valAx>
      <c:valAx>
        <c:axId val="522361392"/>
        <c:scaling>
          <c:orientation val="minMax"/>
          <c:min val="15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22361000"/>
        <c:crosses val="autoZero"/>
        <c:crossBetween val="midCat"/>
        <c:majorUnit val="10000"/>
      </c:valAx>
    </c:plotArea>
    <c:legend>
      <c:legendPos val="r"/>
      <c:layout>
        <c:manualLayout>
          <c:xMode val="edge"/>
          <c:yMode val="edge"/>
          <c:x val="0.63264077525243856"/>
          <c:y val="0.42530103584380197"/>
          <c:w val="0.34552516361219038"/>
          <c:h val="0.128914267395964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38100</xdr:rowOff>
    </xdr:from>
    <xdr:to>
      <xdr:col>10</xdr:col>
      <xdr:colOff>411480</xdr:colOff>
      <xdr:row>41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49</xdr:row>
      <xdr:rowOff>15240</xdr:rowOff>
    </xdr:from>
    <xdr:to>
      <xdr:col>5</xdr:col>
      <xdr:colOff>190500</xdr:colOff>
      <xdr:row>60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171450</xdr:colOff>
      <xdr:row>24</xdr:row>
      <xdr:rowOff>144780</xdr:rowOff>
    </xdr:from>
    <xdr:to>
      <xdr:col>19</xdr:col>
      <xdr:colOff>533400</xdr:colOff>
      <xdr:row>36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373380</xdr:colOff>
      <xdr:row>41</xdr:row>
      <xdr:rowOff>146691</xdr:rowOff>
    </xdr:from>
    <xdr:to>
      <xdr:col>14</xdr:col>
      <xdr:colOff>251460</xdr:colOff>
      <xdr:row>54</xdr:row>
      <xdr:rowOff>144780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466725</xdr:colOff>
      <xdr:row>13</xdr:row>
      <xdr:rowOff>304801</xdr:rowOff>
    </xdr:from>
    <xdr:to>
      <xdr:col>42</xdr:col>
      <xdr:colOff>502920</xdr:colOff>
      <xdr:row>37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41</xdr:row>
      <xdr:rowOff>167646</xdr:rowOff>
    </xdr:from>
    <xdr:to>
      <xdr:col>21</xdr:col>
      <xdr:colOff>358140</xdr:colOff>
      <xdr:row>55</xdr:row>
      <xdr:rowOff>15240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56</xdr:row>
      <xdr:rowOff>60966</xdr:rowOff>
    </xdr:from>
    <xdr:to>
      <xdr:col>19</xdr:col>
      <xdr:colOff>7620</xdr:colOff>
      <xdr:row>70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396240</xdr:colOff>
      <xdr:row>71</xdr:row>
      <xdr:rowOff>99060</xdr:rowOff>
    </xdr:from>
    <xdr:to>
      <xdr:col>18</xdr:col>
      <xdr:colOff>281940</xdr:colOff>
      <xdr:row>86</xdr:row>
      <xdr:rowOff>53346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61</xdr:row>
      <xdr:rowOff>7620</xdr:rowOff>
    </xdr:from>
    <xdr:to>
      <xdr:col>7</xdr:col>
      <xdr:colOff>266701</xdr:colOff>
      <xdr:row>74</xdr:row>
      <xdr:rowOff>110490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0"/>
  <sheetViews>
    <sheetView tabSelected="1" workbookViewId="0">
      <pane ySplit="1" topLeftCell="A2" activePane="bottomLeft" state="frozen"/>
      <selection pane="bottomLeft" activeCell="U71" sqref="U7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10" width="5.44140625" style="1" customWidth="1"/>
    <col min="11" max="11" width="7.109375" style="1" customWidth="1"/>
    <col min="12" max="13" width="5.109375" style="1" customWidth="1"/>
    <col min="14" max="14" width="6.6640625" style="1" customWidth="1"/>
    <col min="15" max="15" width="4.6640625" style="1" customWidth="1"/>
    <col min="16" max="16" width="7.33203125" style="1" bestFit="1" customWidth="1"/>
    <col min="17" max="18" width="6.33203125" style="1" customWidth="1"/>
    <col min="19" max="19" width="4.33203125" style="1" customWidth="1"/>
    <col min="20" max="20" width="8" style="1" customWidth="1"/>
    <col min="21" max="21" width="7.6640625" customWidth="1"/>
    <col min="23" max="23" width="11.6640625" customWidth="1"/>
    <col min="24" max="24" width="11.88671875" customWidth="1"/>
    <col min="25" max="25" width="9.88671875" bestFit="1" customWidth="1"/>
    <col min="26" max="26" width="14.6640625" bestFit="1" customWidth="1"/>
    <col min="27" max="27" width="9.6640625" customWidth="1"/>
    <col min="28" max="28" width="7.88671875" customWidth="1"/>
    <col min="29" max="29" width="8.5546875" customWidth="1"/>
    <col min="30" max="33" width="10" customWidth="1"/>
    <col min="34" max="35" width="11.5546875" customWidth="1"/>
    <col min="36" max="36" width="8.6640625" customWidth="1"/>
    <col min="38" max="38" width="9.6640625" customWidth="1"/>
  </cols>
  <sheetData>
    <row r="1" spans="1:41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129" t="s">
        <v>99</v>
      </c>
      <c r="K1" s="4" t="s">
        <v>17</v>
      </c>
      <c r="L1" s="4" t="s">
        <v>10</v>
      </c>
      <c r="M1" s="4" t="s">
        <v>79</v>
      </c>
      <c r="N1" s="4" t="s">
        <v>36</v>
      </c>
      <c r="O1" s="4" t="s">
        <v>35</v>
      </c>
      <c r="P1" s="4" t="s">
        <v>37</v>
      </c>
      <c r="Q1" s="4" t="s">
        <v>7</v>
      </c>
      <c r="R1" s="4" t="s">
        <v>38</v>
      </c>
      <c r="S1" s="4" t="s">
        <v>73</v>
      </c>
      <c r="T1" s="4" t="s">
        <v>10</v>
      </c>
      <c r="U1" s="4" t="str">
        <f t="shared" ref="U1:U13" si="0">K1</f>
        <v>Charger Pwr, W</v>
      </c>
      <c r="V1" s="4" t="s">
        <v>58</v>
      </c>
      <c r="W1" s="4" t="s">
        <v>59</v>
      </c>
      <c r="X1" s="4" t="s">
        <v>60</v>
      </c>
      <c r="Y1" s="4" t="s">
        <v>61</v>
      </c>
      <c r="Z1" s="4" t="s">
        <v>62</v>
      </c>
      <c r="AA1" s="4" t="s">
        <v>63</v>
      </c>
      <c r="AB1" s="4" t="s">
        <v>64</v>
      </c>
      <c r="AD1" s="4" t="s">
        <v>87</v>
      </c>
      <c r="AE1" s="4" t="s">
        <v>83</v>
      </c>
      <c r="AF1" s="4" t="s">
        <v>88</v>
      </c>
      <c r="AG1" s="4" t="s">
        <v>84</v>
      </c>
      <c r="AH1" s="4" t="s">
        <v>85</v>
      </c>
      <c r="AI1" s="4" t="s">
        <v>82</v>
      </c>
      <c r="AJ1" s="4" t="s">
        <v>81</v>
      </c>
      <c r="AL1" s="4" t="s">
        <v>91</v>
      </c>
      <c r="AM1" s="4" t="s">
        <v>97</v>
      </c>
      <c r="AN1" s="4" t="s">
        <v>98</v>
      </c>
      <c r="AO1" s="4" t="s">
        <v>95</v>
      </c>
    </row>
    <row r="2" spans="1:41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129"/>
      <c r="K2" s="4"/>
      <c r="L2" s="1">
        <f t="shared" ref="L2:L13" si="2">C2</f>
        <v>1E-3</v>
      </c>
      <c r="M2" s="1">
        <f t="shared" ref="M2:M3" si="3">LN(L2)</f>
        <v>-6.9077552789821368</v>
      </c>
      <c r="N2" s="3"/>
      <c r="O2" s="4"/>
      <c r="P2" s="4">
        <v>0</v>
      </c>
      <c r="Q2" s="4">
        <v>0</v>
      </c>
      <c r="R2" s="3">
        <f t="shared" ref="R2:R13" si="4">P2/$X$34*100</f>
        <v>0</v>
      </c>
      <c r="S2" s="3">
        <f t="shared" ref="S2:S13" si="5">Q2/$X$34*100</f>
        <v>0</v>
      </c>
      <c r="T2" s="3">
        <f t="shared" ref="T2:T13" si="6">L2</f>
        <v>1E-3</v>
      </c>
      <c r="U2" s="4">
        <f t="shared" si="0"/>
        <v>0</v>
      </c>
      <c r="V2">
        <f t="shared" ref="V2:V3" si="7">U2*0.001341022</f>
        <v>0</v>
      </c>
      <c r="Y2" s="4"/>
      <c r="Z2" s="4"/>
      <c r="AA2" s="4"/>
      <c r="AB2" s="4"/>
      <c r="AD2" s="95">
        <f t="shared" ref="AD2:AD13" si="8">C2/$AE$31*$AE$26</f>
        <v>2.7777777777777779E-5</v>
      </c>
      <c r="AE2" s="95">
        <f t="shared" ref="AE2:AE13" si="9">AD2/$AE$26*$AE$31</f>
        <v>1E-3</v>
      </c>
      <c r="AF2" s="96">
        <f t="shared" ref="AF2:AF13" si="10">MAX(($AE$34+$AF$34*LN($AE2)),0)</f>
        <v>0</v>
      </c>
      <c r="AG2" s="96">
        <f>MAX(($AE$34+$AF$34*LN($AE2))/$AE$30,0)</f>
        <v>0</v>
      </c>
      <c r="AH2" s="96">
        <f t="shared" ref="AH2:AH13" si="11">($AE$35+$AF$35*AG2*$AE$30)/$AE$30</f>
        <v>-22.00681542170738</v>
      </c>
      <c r="AI2" s="96">
        <f t="shared" ref="AI2:AI13" si="12">($AE$36+$AF$36*AH2*$AE$30)/$AE$30</f>
        <v>0.5898040793543039</v>
      </c>
      <c r="AJ2">
        <f t="shared" ref="AJ2:AJ13" si="13">MAX(($AE$35+$AF$35*AG2*$AE$30)/$AE$30, 0)</f>
        <v>0</v>
      </c>
      <c r="AL2" s="97"/>
      <c r="AM2" s="97"/>
    </row>
    <row r="3" spans="1:41" x14ac:dyDescent="0.3">
      <c r="B3" s="113">
        <f>C3/180+1</f>
        <v>1.0259305748773628</v>
      </c>
      <c r="C3" s="111">
        <f>EXP((0-$AE$34)/$AF$34)</f>
        <v>4.6675034779253295</v>
      </c>
      <c r="D3" s="110"/>
      <c r="E3" s="110"/>
      <c r="F3" s="110"/>
      <c r="G3" s="110"/>
      <c r="H3" s="110"/>
      <c r="I3" s="114"/>
      <c r="J3" s="129"/>
      <c r="K3" s="4"/>
      <c r="L3" s="1">
        <f>C3</f>
        <v>4.6675034779253295</v>
      </c>
      <c r="M3" s="1">
        <f t="shared" si="3"/>
        <v>1.5406243415701164</v>
      </c>
      <c r="N3" s="3"/>
      <c r="O3" s="4"/>
      <c r="P3" s="4">
        <v>0</v>
      </c>
      <c r="Q3" s="4">
        <v>0</v>
      </c>
      <c r="R3" s="3">
        <f t="shared" si="4"/>
        <v>0</v>
      </c>
      <c r="S3" s="3">
        <f t="shared" si="5"/>
        <v>0</v>
      </c>
      <c r="T3" s="3">
        <f t="shared" si="6"/>
        <v>4.6675034779253295</v>
      </c>
      <c r="U3" s="4">
        <f t="shared" si="0"/>
        <v>0</v>
      </c>
      <c r="V3">
        <f t="shared" si="7"/>
        <v>0</v>
      </c>
      <c r="Y3" s="4"/>
      <c r="Z3" s="4"/>
      <c r="AA3" s="4"/>
      <c r="AB3" s="4"/>
      <c r="AD3" s="95">
        <f t="shared" si="8"/>
        <v>0.12965287438681469</v>
      </c>
      <c r="AE3" s="95">
        <f t="shared" si="9"/>
        <v>4.6675034779253286</v>
      </c>
      <c r="AF3" s="96">
        <f t="shared" si="10"/>
        <v>0</v>
      </c>
      <c r="AG3" s="96">
        <f t="shared" ref="AG3:AG13" si="14">MAX(($AE$34+$AF$34*LN(AE3))/$AE$30,0)</f>
        <v>0</v>
      </c>
      <c r="AH3" s="96">
        <f t="shared" si="11"/>
        <v>-22.00681542170738</v>
      </c>
      <c r="AI3" s="96">
        <f t="shared" si="12"/>
        <v>0.5898040793543039</v>
      </c>
      <c r="AJ3">
        <f t="shared" si="13"/>
        <v>0</v>
      </c>
      <c r="AL3" s="97">
        <f>$X$65+$Y$65*$P3+$P3^2*$Z$65</f>
        <v>42.005705947307973</v>
      </c>
      <c r="AM3" s="97">
        <f>$X$64+$Y$64*$P3+$P3^2*$Z$64</f>
        <v>35.326501767589406</v>
      </c>
      <c r="AN3" s="97">
        <f>AL3-AM3</f>
        <v>6.6792041797185675</v>
      </c>
    </row>
    <row r="4" spans="1:41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129">
        <f>I4/2</f>
        <v>0</v>
      </c>
      <c r="K4" s="2">
        <f>E4*F4</f>
        <v>5.9340000000000002</v>
      </c>
      <c r="L4" s="1">
        <f t="shared" si="2"/>
        <v>8</v>
      </c>
      <c r="M4" s="1">
        <f>LN(L4)</f>
        <v>2.0794415416798357</v>
      </c>
      <c r="N4" s="3">
        <f>1/G4/0.000001</f>
        <v>149.25373134328359</v>
      </c>
      <c r="O4" s="3">
        <f>1/H4/0.000001</f>
        <v>0.01</v>
      </c>
      <c r="P4" s="3">
        <f t="shared" ref="P4:P12" si="15">N4*60/$X$26</f>
        <v>8955.2238805970155</v>
      </c>
      <c r="Q4" s="3">
        <f t="shared" ref="Q4:Q12" si="16">O4*60/$X$26</f>
        <v>0.6</v>
      </c>
      <c r="R4" s="3">
        <f t="shared" si="4"/>
        <v>19.278606965174134</v>
      </c>
      <c r="S4" s="3">
        <f t="shared" si="5"/>
        <v>1.2916666666666669E-3</v>
      </c>
      <c r="T4" s="3">
        <f t="shared" si="6"/>
        <v>8</v>
      </c>
      <c r="U4" s="4">
        <f t="shared" si="0"/>
        <v>5.9340000000000002</v>
      </c>
      <c r="V4">
        <f>U4*0.001341022</f>
        <v>7.9576245480000012E-3</v>
      </c>
      <c r="W4">
        <f t="shared" ref="W4:W12" si="17">V4/P4*5252</f>
        <v>4.6669345940807206E-3</v>
      </c>
      <c r="X4">
        <f t="shared" ref="X4:X12" si="18">-W4/2/P4</f>
        <v>-2.6057051483617353E-7</v>
      </c>
      <c r="Y4" s="4"/>
      <c r="Z4" s="4"/>
      <c r="AA4" s="4"/>
      <c r="AB4" s="4"/>
      <c r="AD4" s="95">
        <f t="shared" si="8"/>
        <v>0.22222222222222224</v>
      </c>
      <c r="AE4" s="95">
        <f t="shared" si="9"/>
        <v>8</v>
      </c>
      <c r="AF4" s="96">
        <f t="shared" si="10"/>
        <v>6439.2664503153683</v>
      </c>
      <c r="AG4" s="96">
        <f t="shared" si="14"/>
        <v>13.862309719428918</v>
      </c>
      <c r="AH4" s="96">
        <f t="shared" si="11"/>
        <v>-7.8139709144491221</v>
      </c>
      <c r="AI4" s="96">
        <f t="shared" si="12"/>
        <v>14.311073214556124</v>
      </c>
      <c r="AJ4">
        <f t="shared" si="13"/>
        <v>0</v>
      </c>
      <c r="AL4" s="97">
        <f t="shared" ref="AL4:AL12" si="19">$X$65+$Y$65*P4+P4^2*$Z$65</f>
        <v>10.797311049896059</v>
      </c>
      <c r="AM4" s="97">
        <f t="shared" ref="AM4:AM12" si="20">$X$64+$Y$64*$P4+$P4^2*$Z$64</f>
        <v>9.859441326692183</v>
      </c>
      <c r="AN4" s="97">
        <f t="shared" ref="AN4:AN12" si="21">AL4-AM4</f>
        <v>0.9378697232038764</v>
      </c>
    </row>
    <row r="5" spans="1:41" ht="15" customHeight="1" x14ac:dyDescent="0.3">
      <c r="B5" s="113">
        <f t="shared" ref="B5:B23" si="22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129">
        <f t="shared" ref="J5:J14" si="23">I5/2</f>
        <v>0</v>
      </c>
      <c r="K5" s="2">
        <f>E5*F5</f>
        <v>7.3968000000000007</v>
      </c>
      <c r="L5" s="1">
        <f t="shared" si="2"/>
        <v>13</v>
      </c>
      <c r="M5" s="1">
        <f t="shared" ref="M5:M13" si="24">LN(L5)</f>
        <v>2.5649493574615367</v>
      </c>
      <c r="N5" s="3">
        <f>1/G5/0.000001</f>
        <v>216.45021645021646</v>
      </c>
      <c r="O5" s="3">
        <f>1/H5/0.000001</f>
        <v>0.01</v>
      </c>
      <c r="P5" s="3">
        <f t="shared" si="15"/>
        <v>12987.012987012988</v>
      </c>
      <c r="Q5" s="3">
        <f t="shared" si="16"/>
        <v>0.6</v>
      </c>
      <c r="R5" s="3">
        <f t="shared" si="4"/>
        <v>27.958152958152958</v>
      </c>
      <c r="S5" s="3">
        <f t="shared" si="5"/>
        <v>1.2916666666666669E-3</v>
      </c>
      <c r="T5" s="3">
        <f t="shared" si="6"/>
        <v>13</v>
      </c>
      <c r="U5" s="4">
        <f t="shared" si="0"/>
        <v>7.3968000000000007</v>
      </c>
      <c r="V5">
        <f>U5*0.001341022</f>
        <v>9.9192715296000013E-3</v>
      </c>
      <c r="W5">
        <f t="shared" si="17"/>
        <v>4.011393083656359E-3</v>
      </c>
      <c r="X5">
        <f t="shared" si="18"/>
        <v>-1.5443863372076981E-7</v>
      </c>
      <c r="AD5" s="95">
        <f t="shared" si="8"/>
        <v>0.36111111111111105</v>
      </c>
      <c r="AE5" s="95">
        <f t="shared" si="9"/>
        <v>12.999999999999998</v>
      </c>
      <c r="AF5" s="96">
        <f t="shared" si="10"/>
        <v>12241.446092859056</v>
      </c>
      <c r="AG5" s="96">
        <f t="shared" si="14"/>
        <v>26.353113116571581</v>
      </c>
      <c r="AH5" s="96">
        <f t="shared" si="11"/>
        <v>4.9746648882778732</v>
      </c>
      <c r="AI5" s="96">
        <f t="shared" si="12"/>
        <v>26.674790271524927</v>
      </c>
      <c r="AJ5">
        <f t="shared" si="13"/>
        <v>4.9746648882778732</v>
      </c>
      <c r="AL5" s="97">
        <f t="shared" si="19"/>
        <v>7.4192738226801325</v>
      </c>
      <c r="AM5" s="97">
        <f t="shared" si="20"/>
        <v>7.4906362770663897</v>
      </c>
      <c r="AN5" s="97">
        <f t="shared" si="21"/>
        <v>-7.1362454386257212E-2</v>
      </c>
    </row>
    <row r="6" spans="1:41" ht="15" customHeight="1" x14ac:dyDescent="0.3">
      <c r="B6" s="113">
        <f t="shared" si="22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129">
        <f t="shared" si="23"/>
        <v>2.04</v>
      </c>
      <c r="K6" s="2">
        <f>E6*F6</f>
        <v>20.3796</v>
      </c>
      <c r="L6" s="1">
        <f t="shared" ref="L6" si="25">C6</f>
        <v>25</v>
      </c>
      <c r="M6" s="1">
        <f t="shared" ref="M6" si="26">LN(L6)</f>
        <v>3.2188758248682006</v>
      </c>
      <c r="N6" s="3">
        <f t="shared" ref="N6" si="27">1/G6/0.000001</f>
        <v>306.74846625766872</v>
      </c>
      <c r="O6" s="3">
        <f t="shared" ref="O6" si="28">1/H6/0.000001</f>
        <v>156.00624024960999</v>
      </c>
      <c r="P6" s="3">
        <f t="shared" si="15"/>
        <v>18404.907975460123</v>
      </c>
      <c r="Q6" s="3">
        <f t="shared" si="16"/>
        <v>9360.3744149765989</v>
      </c>
      <c r="R6" s="3">
        <f t="shared" si="4"/>
        <v>39.621676891615543</v>
      </c>
      <c r="S6" s="3">
        <f t="shared" si="5"/>
        <v>20.150806032241292</v>
      </c>
      <c r="T6" s="3">
        <f t="shared" si="6"/>
        <v>25</v>
      </c>
      <c r="U6" s="4">
        <f t="shared" si="0"/>
        <v>20.3796</v>
      </c>
      <c r="V6">
        <f>U6*0.001341022</f>
        <v>2.7329491951200002E-2</v>
      </c>
      <c r="W6">
        <f t="shared" si="17"/>
        <v>7.7987073838718312E-3</v>
      </c>
      <c r="X6">
        <f t="shared" si="18"/>
        <v>-2.118648839285181E-7</v>
      </c>
      <c r="AD6" s="95">
        <f t="shared" si="8"/>
        <v>0.69444444444444442</v>
      </c>
      <c r="AE6" s="95">
        <f t="shared" si="9"/>
        <v>25</v>
      </c>
      <c r="AF6" s="96">
        <f t="shared" si="10"/>
        <v>20056.353934864714</v>
      </c>
      <c r="AG6" s="96">
        <f t="shared" si="14"/>
        <v>43.176873054222646</v>
      </c>
      <c r="AH6" s="96">
        <f t="shared" si="11"/>
        <v>22.199572833298117</v>
      </c>
      <c r="AI6" s="96">
        <f t="shared" si="12"/>
        <v>43.327378667165426</v>
      </c>
      <c r="AJ6">
        <f t="shared" si="13"/>
        <v>22.199572833298117</v>
      </c>
      <c r="AL6" s="97">
        <f t="shared" si="19"/>
        <v>13.315230924736014</v>
      </c>
      <c r="AM6" s="97">
        <f t="shared" si="20"/>
        <v>13.20219407635787</v>
      </c>
      <c r="AN6" s="97">
        <f t="shared" si="21"/>
        <v>0.11303684837814387</v>
      </c>
      <c r="AO6">
        <f t="shared" ref="AO6:AO12" si="29">AN6/P6*5252</f>
        <v>3.2256044337389295E-2</v>
      </c>
    </row>
    <row r="7" spans="1:41" ht="13.95" customHeight="1" x14ac:dyDescent="0.3">
      <c r="B7" s="113">
        <f t="shared" si="22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129">
        <f t="shared" si="23"/>
        <v>3.02</v>
      </c>
      <c r="K7" s="2">
        <f t="shared" ref="K7:K12" si="30">E7*F7</f>
        <v>29.981099999999998</v>
      </c>
      <c r="L7" s="1">
        <f t="shared" si="2"/>
        <v>35</v>
      </c>
      <c r="M7" s="1">
        <f t="shared" si="24"/>
        <v>3.5553480614894135</v>
      </c>
      <c r="N7" s="3">
        <f>1/G7/0.000001</f>
        <v>373.13432835820896</v>
      </c>
      <c r="O7" s="3">
        <f>1/H7/0.000001</f>
        <v>220.65313327449252</v>
      </c>
      <c r="P7" s="3">
        <f t="shared" si="15"/>
        <v>22388.059701492537</v>
      </c>
      <c r="Q7" s="3">
        <f t="shared" si="16"/>
        <v>13239.187996469551</v>
      </c>
      <c r="R7" s="3">
        <f t="shared" si="4"/>
        <v>48.196517412935322</v>
      </c>
      <c r="S7" s="3">
        <f t="shared" si="5"/>
        <v>28.50102971462195</v>
      </c>
      <c r="T7" s="3">
        <f t="shared" si="6"/>
        <v>35</v>
      </c>
      <c r="U7" s="4">
        <f t="shared" si="0"/>
        <v>29.981099999999998</v>
      </c>
      <c r="V7">
        <f t="shared" ref="V7:V12" si="31">U7*0.001341022</f>
        <v>4.0205314684200001E-2</v>
      </c>
      <c r="W7">
        <f t="shared" si="17"/>
        <v>9.4317379682233565E-3</v>
      </c>
      <c r="X7">
        <f t="shared" si="18"/>
        <v>-2.106421479569883E-7</v>
      </c>
      <c r="Y7">
        <v>0.18</v>
      </c>
      <c r="Z7">
        <f t="shared" ref="Z7:Z11" si="32">-Y7*X7</f>
        <v>3.7915586632257891E-8</v>
      </c>
      <c r="AA7">
        <f t="shared" ref="AA7:AA11" si="33">Z7/6.66*2048.5</f>
        <v>1.1662174056483527E-5</v>
      </c>
      <c r="AB7">
        <f t="shared" ref="AB7:AB11" si="34">AA7*144</f>
        <v>1.6793530641336278E-3</v>
      </c>
      <c r="AD7" s="95">
        <f t="shared" si="8"/>
        <v>0.97222222222222221</v>
      </c>
      <c r="AE7" s="95">
        <f t="shared" si="9"/>
        <v>35</v>
      </c>
      <c r="AF7" s="96">
        <f t="shared" si="10"/>
        <v>24077.447515946315</v>
      </c>
      <c r="AG7" s="96">
        <f t="shared" si="14"/>
        <v>51.833393957939982</v>
      </c>
      <c r="AH7" s="96">
        <f t="shared" si="11"/>
        <v>31.062500992239318</v>
      </c>
      <c r="AI7" s="96">
        <f t="shared" si="12"/>
        <v>51.895824726910469</v>
      </c>
      <c r="AJ7">
        <f t="shared" si="13"/>
        <v>31.062500992239318</v>
      </c>
      <c r="AL7" s="97">
        <f t="shared" si="19"/>
        <v>25.282261169401892</v>
      </c>
      <c r="AM7" s="97">
        <f t="shared" si="20"/>
        <v>23.90686162032263</v>
      </c>
      <c r="AN7" s="97">
        <f t="shared" si="21"/>
        <v>1.3753995490792619</v>
      </c>
      <c r="AO7">
        <f t="shared" si="29"/>
        <v>0.3226540632854713</v>
      </c>
    </row>
    <row r="8" spans="1:41" ht="13.95" customHeight="1" x14ac:dyDescent="0.3">
      <c r="B8" s="113">
        <f t="shared" ref="B8:B9" si="35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129">
        <f t="shared" si="23"/>
        <v>4.12</v>
      </c>
      <c r="K8" s="2">
        <f t="shared" ref="K8:K9" si="36">E8*F8</f>
        <v>53.526600000000002</v>
      </c>
      <c r="L8" s="1">
        <f t="shared" ref="L8:L9" si="37">C8</f>
        <v>54</v>
      </c>
      <c r="M8" s="1">
        <f t="shared" ref="M8:M9" si="38">LN(L8)</f>
        <v>3.9889840465642745</v>
      </c>
      <c r="N8" s="3">
        <f t="shared" ref="N8:N9" si="39">1/G8/0.000001</f>
        <v>465.11627906976747</v>
      </c>
      <c r="O8" s="3">
        <f t="shared" ref="O8:O9" si="40">1/H8/0.000001</f>
        <v>314.46540880503147</v>
      </c>
      <c r="P8" s="3">
        <f t="shared" si="15"/>
        <v>27906.976744186049</v>
      </c>
      <c r="Q8" s="3">
        <f t="shared" si="16"/>
        <v>18867.92452830189</v>
      </c>
      <c r="R8" s="3">
        <f t="shared" si="4"/>
        <v>60.077519379844965</v>
      </c>
      <c r="S8" s="3">
        <f t="shared" si="5"/>
        <v>40.618448637316575</v>
      </c>
      <c r="T8" s="3">
        <f t="shared" si="6"/>
        <v>54</v>
      </c>
      <c r="U8" s="4">
        <f t="shared" si="0"/>
        <v>53.526600000000002</v>
      </c>
      <c r="V8">
        <f t="shared" ref="V8:V9" si="41">U8*0.001341022</f>
        <v>7.1780348185200002E-2</v>
      </c>
      <c r="W8">
        <f t="shared" si="17"/>
        <v>1.3508822260627353E-2</v>
      </c>
      <c r="X8">
        <f t="shared" si="18"/>
        <v>-2.4203306550290671E-7</v>
      </c>
      <c r="Y8">
        <v>0.18</v>
      </c>
      <c r="Z8">
        <f t="shared" ref="Z8:Z9" si="42">-Y8*X8</f>
        <v>4.3565951790523206E-8</v>
      </c>
      <c r="AA8">
        <f t="shared" ref="AA8:AA9" si="43">Z8/6.66*2048.5</f>
        <v>1.3400127964397415E-5</v>
      </c>
      <c r="AB8">
        <f t="shared" ref="AB8:AB9" si="44">AA8*144</f>
        <v>1.9296184268732279E-3</v>
      </c>
      <c r="AD8" s="95">
        <f t="shared" si="8"/>
        <v>1.5</v>
      </c>
      <c r="AE8" s="95">
        <f t="shared" si="9"/>
        <v>54</v>
      </c>
      <c r="AF8" s="96">
        <f t="shared" si="10"/>
        <v>29259.720186108691</v>
      </c>
      <c r="AG8" s="96">
        <f t="shared" si="14"/>
        <v>62.989675400650654</v>
      </c>
      <c r="AH8" s="96">
        <f t="shared" si="11"/>
        <v>42.484794318558556</v>
      </c>
      <c r="AI8" s="96">
        <f t="shared" si="12"/>
        <v>62.938597780014412</v>
      </c>
      <c r="AJ8">
        <f t="shared" si="13"/>
        <v>42.484794318558556</v>
      </c>
      <c r="AL8" s="97">
        <f t="shared" si="19"/>
        <v>52.552212538977358</v>
      </c>
      <c r="AM8" s="97">
        <f t="shared" si="20"/>
        <v>47.849701638985707</v>
      </c>
      <c r="AN8" s="97">
        <f t="shared" si="21"/>
        <v>4.7025108999916512</v>
      </c>
      <c r="AO8">
        <f t="shared" si="29"/>
        <v>0.88499687634209534</v>
      </c>
    </row>
    <row r="9" spans="1:41" ht="13.95" customHeight="1" x14ac:dyDescent="0.3">
      <c r="B9" s="113">
        <f t="shared" si="35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129">
        <f t="shared" si="23"/>
        <v>4.4000000000000004</v>
      </c>
      <c r="K9" s="2">
        <f t="shared" si="36"/>
        <v>62.419400000000003</v>
      </c>
      <c r="L9" s="1">
        <f t="shared" si="37"/>
        <v>64</v>
      </c>
      <c r="M9" s="1">
        <f t="shared" si="38"/>
        <v>4.1588830833596715</v>
      </c>
      <c r="N9" s="3">
        <f t="shared" si="39"/>
        <v>495.04950495049508</v>
      </c>
      <c r="O9" s="3">
        <f t="shared" si="40"/>
        <v>350.87719298245611</v>
      </c>
      <c r="P9" s="3">
        <f t="shared" si="15"/>
        <v>29702.970297029704</v>
      </c>
      <c r="Q9" s="3">
        <f t="shared" si="16"/>
        <v>21052.631578947367</v>
      </c>
      <c r="R9" s="3">
        <f t="shared" si="4"/>
        <v>63.943894389438952</v>
      </c>
      <c r="S9" s="3">
        <f t="shared" si="5"/>
        <v>45.321637426900587</v>
      </c>
      <c r="T9" s="3">
        <f t="shared" si="6"/>
        <v>64</v>
      </c>
      <c r="U9" s="4">
        <f t="shared" si="0"/>
        <v>62.419400000000003</v>
      </c>
      <c r="V9">
        <f t="shared" si="41"/>
        <v>8.3705788626800004E-2</v>
      </c>
      <c r="W9">
        <f t="shared" si="17"/>
        <v>1.4800634329554439E-2</v>
      </c>
      <c r="X9">
        <f t="shared" si="18"/>
        <v>-2.4914401121416636E-7</v>
      </c>
      <c r="Y9">
        <v>0.18</v>
      </c>
      <c r="Z9">
        <f t="shared" si="42"/>
        <v>4.484592201854994E-8</v>
      </c>
      <c r="AA9">
        <f t="shared" si="43"/>
        <v>1.3793824512762695E-5</v>
      </c>
      <c r="AB9">
        <f t="shared" si="44"/>
        <v>1.986310729837828E-3</v>
      </c>
      <c r="AD9" s="95">
        <f t="shared" si="8"/>
        <v>1.7777777777777779</v>
      </c>
      <c r="AE9" s="95">
        <f t="shared" si="9"/>
        <v>64</v>
      </c>
      <c r="AF9" s="96">
        <f t="shared" si="10"/>
        <v>31290.140089843608</v>
      </c>
      <c r="AG9" s="96">
        <f t="shared" si="14"/>
        <v>67.36071824896888</v>
      </c>
      <c r="AH9" s="96">
        <f t="shared" si="11"/>
        <v>46.960060903736228</v>
      </c>
      <c r="AI9" s="96">
        <f t="shared" si="12"/>
        <v>67.265167921439911</v>
      </c>
      <c r="AJ9">
        <f t="shared" si="13"/>
        <v>46.960060903736228</v>
      </c>
      <c r="AL9" s="97">
        <f t="shared" si="19"/>
        <v>64.104302785604773</v>
      </c>
      <c r="AM9" s="97">
        <f t="shared" si="20"/>
        <v>57.923740370183936</v>
      </c>
      <c r="AN9" s="97">
        <f t="shared" si="21"/>
        <v>6.1805624154208374</v>
      </c>
      <c r="AO9">
        <f t="shared" si="29"/>
        <v>1.0928305647949379</v>
      </c>
    </row>
    <row r="10" spans="1:41" ht="13.95" customHeight="1" x14ac:dyDescent="0.3">
      <c r="B10" s="113">
        <f t="shared" si="22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129">
        <f t="shared" si="23"/>
        <v>5.4</v>
      </c>
      <c r="K10" s="2">
        <f t="shared" si="30"/>
        <v>88.904499999999999</v>
      </c>
      <c r="L10" s="1">
        <f t="shared" si="2"/>
        <v>89</v>
      </c>
      <c r="M10" s="1">
        <f t="shared" si="24"/>
        <v>4.4886363697321396</v>
      </c>
      <c r="N10" s="3">
        <f t="shared" ref="N10:O12" si="45">1/G10/0.000001</f>
        <v>564.9717514124294</v>
      </c>
      <c r="O10" s="3">
        <f t="shared" si="45"/>
        <v>416.66666666666669</v>
      </c>
      <c r="P10" s="3">
        <f t="shared" si="15"/>
        <v>33898.305084745763</v>
      </c>
      <c r="Q10" s="3">
        <f t="shared" si="16"/>
        <v>25000</v>
      </c>
      <c r="R10" s="3">
        <f t="shared" si="4"/>
        <v>72.975517890772139</v>
      </c>
      <c r="S10" s="3">
        <f t="shared" si="5"/>
        <v>53.81944444444445</v>
      </c>
      <c r="T10" s="3">
        <f t="shared" si="6"/>
        <v>89</v>
      </c>
      <c r="U10" s="4">
        <f t="shared" si="0"/>
        <v>88.904499999999999</v>
      </c>
      <c r="V10">
        <f t="shared" si="31"/>
        <v>0.11922289039900001</v>
      </c>
      <c r="W10">
        <f t="shared" si="17"/>
        <v>1.8471679301078667E-2</v>
      </c>
      <c r="X10">
        <f t="shared" si="18"/>
        <v>-2.7245726969091031E-7</v>
      </c>
      <c r="Y10">
        <v>0.18</v>
      </c>
      <c r="Z10">
        <f t="shared" si="32"/>
        <v>4.9042308544363851E-8</v>
      </c>
      <c r="AA10">
        <f t="shared" si="33"/>
        <v>1.508455991788729E-5</v>
      </c>
      <c r="AB10">
        <f t="shared" si="34"/>
        <v>2.1721766281757697E-3</v>
      </c>
      <c r="AD10" s="95">
        <f t="shared" si="8"/>
        <v>2.4722222222222223</v>
      </c>
      <c r="AE10" s="95">
        <f t="shared" si="9"/>
        <v>89</v>
      </c>
      <c r="AF10" s="96">
        <f t="shared" si="10"/>
        <v>35230.937216192004</v>
      </c>
      <c r="AG10" s="96">
        <f t="shared" si="14"/>
        <v>75.844378729302235</v>
      </c>
      <c r="AH10" s="96">
        <f t="shared" si="11"/>
        <v>55.646006931978896</v>
      </c>
      <c r="AI10" s="96">
        <f t="shared" si="12"/>
        <v>75.662512307648399</v>
      </c>
      <c r="AJ10">
        <f t="shared" si="13"/>
        <v>55.646006931978896</v>
      </c>
      <c r="AL10" s="97">
        <f t="shared" si="19"/>
        <v>96.212589333349598</v>
      </c>
      <c r="AM10" s="97">
        <f t="shared" si="20"/>
        <v>85.82302049648348</v>
      </c>
      <c r="AN10" s="97">
        <f t="shared" si="21"/>
        <v>10.389568836866118</v>
      </c>
      <c r="AO10">
        <f t="shared" si="29"/>
        <v>1.6096974581710151</v>
      </c>
    </row>
    <row r="11" spans="1:41" ht="13.95" customHeight="1" x14ac:dyDescent="0.3">
      <c r="B11" s="113">
        <f t="shared" si="22"/>
        <v>1.8111111111111111</v>
      </c>
      <c r="C11" s="73">
        <v>146</v>
      </c>
      <c r="D11" s="73">
        <v>2.35</v>
      </c>
      <c r="E11" s="73">
        <v>13.12</v>
      </c>
      <c r="F11" s="73">
        <v>12.89</v>
      </c>
      <c r="G11" s="73">
        <v>1440</v>
      </c>
      <c r="H11" s="73">
        <v>1861</v>
      </c>
      <c r="I11" s="78">
        <v>14.4</v>
      </c>
      <c r="J11" s="129">
        <f t="shared" si="23"/>
        <v>7.2</v>
      </c>
      <c r="K11" s="2">
        <f t="shared" si="30"/>
        <v>169.11679999999998</v>
      </c>
      <c r="L11" s="1">
        <f t="shared" si="2"/>
        <v>146</v>
      </c>
      <c r="M11" s="1">
        <f t="shared" si="24"/>
        <v>4.9836066217083363</v>
      </c>
      <c r="N11" s="3">
        <f t="shared" si="45"/>
        <v>694.44444444444446</v>
      </c>
      <c r="O11" s="3">
        <f t="shared" si="45"/>
        <v>537.34551316496515</v>
      </c>
      <c r="P11" s="3">
        <f t="shared" si="15"/>
        <v>41666.666666666664</v>
      </c>
      <c r="Q11" s="3">
        <f t="shared" si="16"/>
        <v>32240.730789897909</v>
      </c>
      <c r="R11" s="3">
        <f t="shared" si="4"/>
        <v>89.699074074074076</v>
      </c>
      <c r="S11" s="3">
        <f t="shared" si="5"/>
        <v>69.407128783808005</v>
      </c>
      <c r="T11" s="3">
        <f t="shared" si="6"/>
        <v>146</v>
      </c>
      <c r="U11" s="4">
        <f t="shared" si="0"/>
        <v>169.11679999999998</v>
      </c>
      <c r="V11">
        <f t="shared" si="31"/>
        <v>0.22678934936959999</v>
      </c>
      <c r="W11">
        <f t="shared" si="17"/>
        <v>2.858634390933934E-2</v>
      </c>
      <c r="X11">
        <f t="shared" si="18"/>
        <v>-3.4303612691207212E-7</v>
      </c>
      <c r="Y11">
        <v>0.14000000000000001</v>
      </c>
      <c r="Z11">
        <f t="shared" si="32"/>
        <v>4.8025057767690104E-8</v>
      </c>
      <c r="AA11">
        <f t="shared" si="33"/>
        <v>1.477167129686384E-5</v>
      </c>
      <c r="AB11">
        <f t="shared" si="34"/>
        <v>2.1271206667483932E-3</v>
      </c>
      <c r="AD11" s="95">
        <f t="shared" si="8"/>
        <v>4.0555555555555554</v>
      </c>
      <c r="AE11" s="95">
        <f t="shared" si="9"/>
        <v>146</v>
      </c>
      <c r="AF11" s="96">
        <f t="shared" si="10"/>
        <v>41146.200011821857</v>
      </c>
      <c r="AG11" s="96">
        <f t="shared" si="14"/>
        <v>88.578625025449838</v>
      </c>
      <c r="AH11" s="96">
        <f t="shared" si="11"/>
        <v>68.68389031912038</v>
      </c>
      <c r="AI11" s="96">
        <f t="shared" si="12"/>
        <v>88.267195379942819</v>
      </c>
      <c r="AJ11">
        <f t="shared" si="13"/>
        <v>68.68389031912038</v>
      </c>
      <c r="AL11" s="97">
        <f t="shared" si="19"/>
        <v>174.60964938675588</v>
      </c>
      <c r="AM11" s="97">
        <f t="shared" si="20"/>
        <v>153.6297624830745</v>
      </c>
      <c r="AN11" s="97">
        <f t="shared" si="21"/>
        <v>20.979886903681376</v>
      </c>
      <c r="AO11">
        <f t="shared" si="29"/>
        <v>2.64447278443523</v>
      </c>
    </row>
    <row r="12" spans="1:41" ht="13.95" customHeight="1" x14ac:dyDescent="0.3">
      <c r="B12" s="113">
        <f t="shared" si="22"/>
        <v>1.9166666666666665</v>
      </c>
      <c r="C12" s="73">
        <v>165</v>
      </c>
      <c r="D12" s="73">
        <v>2.91</v>
      </c>
      <c r="E12" s="73">
        <v>12.75</v>
      </c>
      <c r="F12" s="73">
        <v>18.95</v>
      </c>
      <c r="G12" s="73">
        <v>1292</v>
      </c>
      <c r="H12" s="73">
        <v>1650</v>
      </c>
      <c r="I12" s="78">
        <v>15.8</v>
      </c>
      <c r="J12" s="129">
        <f t="shared" si="23"/>
        <v>7.9</v>
      </c>
      <c r="K12" s="2">
        <f t="shared" si="30"/>
        <v>241.61249999999998</v>
      </c>
      <c r="L12" s="1">
        <f t="shared" si="2"/>
        <v>165</v>
      </c>
      <c r="M12" s="1">
        <f t="shared" si="24"/>
        <v>5.1059454739005803</v>
      </c>
      <c r="N12" s="3">
        <f t="shared" si="45"/>
        <v>773.99380804953569</v>
      </c>
      <c r="O12" s="3">
        <f t="shared" si="45"/>
        <v>606.06060606060612</v>
      </c>
      <c r="P12" s="3">
        <f t="shared" si="15"/>
        <v>46439.628482972141</v>
      </c>
      <c r="Q12" s="3">
        <f t="shared" si="16"/>
        <v>36363.636363636368</v>
      </c>
      <c r="R12" s="3">
        <f t="shared" si="4"/>
        <v>99.974200206398365</v>
      </c>
      <c r="S12" s="3">
        <f t="shared" si="5"/>
        <v>78.282828282828305</v>
      </c>
      <c r="T12" s="3">
        <f t="shared" si="6"/>
        <v>165</v>
      </c>
      <c r="U12" s="4">
        <f t="shared" si="0"/>
        <v>241.61249999999998</v>
      </c>
      <c r="V12">
        <f t="shared" si="31"/>
        <v>0.32400767797500002</v>
      </c>
      <c r="W12">
        <f t="shared" si="17"/>
        <v>3.6643021925738539E-2</v>
      </c>
      <c r="X12">
        <f t="shared" si="18"/>
        <v>-3.9452320273378489E-7</v>
      </c>
      <c r="AD12" s="95">
        <f t="shared" si="8"/>
        <v>4.583333333333333</v>
      </c>
      <c r="AE12" s="95">
        <f t="shared" si="9"/>
        <v>165</v>
      </c>
      <c r="AF12" s="96">
        <f t="shared" si="10"/>
        <v>42608.24032221135</v>
      </c>
      <c r="AG12" s="96">
        <f t="shared" si="14"/>
        <v>91.726072915871654</v>
      </c>
      <c r="AH12" s="96">
        <f t="shared" si="11"/>
        <v>71.906386382734198</v>
      </c>
      <c r="AI12" s="96">
        <f t="shared" si="12"/>
        <v>91.382619899203988</v>
      </c>
      <c r="AJ12">
        <f t="shared" si="13"/>
        <v>71.906386382734198</v>
      </c>
      <c r="AL12" s="97">
        <f t="shared" si="19"/>
        <v>234.97846898859822</v>
      </c>
      <c r="AM12" s="97">
        <f t="shared" si="20"/>
        <v>205.69053401749818</v>
      </c>
      <c r="AN12" s="97">
        <f t="shared" si="21"/>
        <v>29.287934971100043</v>
      </c>
      <c r="AO12">
        <f t="shared" si="29"/>
        <v>3.3122623822156152</v>
      </c>
    </row>
    <row r="13" spans="1:41" ht="13.95" customHeight="1" thickBot="1" x14ac:dyDescent="0.35">
      <c r="B13" s="116">
        <f t="shared" si="22"/>
        <v>2</v>
      </c>
      <c r="C13" s="117">
        <v>180</v>
      </c>
      <c r="D13" s="117"/>
      <c r="E13" s="117"/>
      <c r="F13" s="117"/>
      <c r="G13" s="117"/>
      <c r="H13" s="117"/>
      <c r="I13" s="118"/>
      <c r="J13" s="129"/>
      <c r="L13" s="1">
        <f t="shared" si="2"/>
        <v>180</v>
      </c>
      <c r="M13" s="1">
        <f t="shared" si="24"/>
        <v>5.1929568508902104</v>
      </c>
      <c r="P13" s="3">
        <f>AG13*$AE$30</f>
        <v>43648.091018386185</v>
      </c>
      <c r="Q13" s="3">
        <f>O13*60/$X$26</f>
        <v>0</v>
      </c>
      <c r="R13" s="3">
        <f t="shared" si="4"/>
        <v>93.964640386803595</v>
      </c>
      <c r="S13" s="3">
        <f t="shared" si="5"/>
        <v>0</v>
      </c>
      <c r="T13" s="1">
        <f t="shared" si="6"/>
        <v>180</v>
      </c>
      <c r="U13" s="4">
        <f t="shared" si="0"/>
        <v>0</v>
      </c>
      <c r="V13">
        <f t="shared" ref="V13" si="46">U13*0.001341022</f>
        <v>0</v>
      </c>
      <c r="AC13" s="97"/>
      <c r="AD13" s="95">
        <f t="shared" si="8"/>
        <v>5</v>
      </c>
      <c r="AE13" s="95">
        <f t="shared" si="9"/>
        <v>180</v>
      </c>
      <c r="AF13" s="96">
        <f t="shared" si="10"/>
        <v>43648.091018386185</v>
      </c>
      <c r="AG13" s="96">
        <f t="shared" si="14"/>
        <v>93.964640386803595</v>
      </c>
      <c r="AH13" s="96">
        <f t="shared" si="11"/>
        <v>74.198330559209566</v>
      </c>
      <c r="AI13" s="96">
        <f t="shared" si="12"/>
        <v>93.598411305373091</v>
      </c>
      <c r="AJ13">
        <f t="shared" si="13"/>
        <v>74.198330559209566</v>
      </c>
    </row>
    <row r="14" spans="1:41" ht="45" customHeight="1" x14ac:dyDescent="0.3">
      <c r="J14" s="129">
        <f t="shared" si="23"/>
        <v>0</v>
      </c>
      <c r="P14" s="4" t="s">
        <v>37</v>
      </c>
      <c r="U14" s="4" t="s">
        <v>89</v>
      </c>
      <c r="AC14" s="7" t="s">
        <v>93</v>
      </c>
      <c r="AD14" s="7" t="s">
        <v>94</v>
      </c>
      <c r="AE14" t="s">
        <v>96</v>
      </c>
      <c r="AF14" t="s">
        <v>95</v>
      </c>
    </row>
    <row r="15" spans="1:41" ht="13.95" customHeight="1" x14ac:dyDescent="0.3">
      <c r="B15" s="120">
        <f t="shared" si="22"/>
        <v>1.05</v>
      </c>
      <c r="C15" s="73">
        <v>9</v>
      </c>
      <c r="D15" s="119"/>
      <c r="E15" s="73">
        <v>13.8</v>
      </c>
      <c r="F15" s="73">
        <v>0.42399999999999999</v>
      </c>
      <c r="G15" s="73">
        <v>6160</v>
      </c>
      <c r="H15" s="119"/>
      <c r="I15" s="119"/>
      <c r="J15" s="129"/>
      <c r="K15" s="2">
        <f t="shared" ref="K15" si="47">E15*F15</f>
        <v>5.8512000000000004</v>
      </c>
      <c r="L15" s="1">
        <f t="shared" ref="L15" si="48">C15</f>
        <v>9</v>
      </c>
      <c r="M15" s="1">
        <f t="shared" ref="M15" si="49">LN(L15)</f>
        <v>2.1972245773362196</v>
      </c>
      <c r="N15" s="3">
        <f t="shared" ref="N15" si="50">1/G15/0.000001</f>
        <v>162.33766233766235</v>
      </c>
      <c r="O15" s="3"/>
      <c r="P15" s="3">
        <f t="shared" ref="P15" si="51">N15*60/$X$26</f>
        <v>9740.2597402597403</v>
      </c>
      <c r="Q15" s="3"/>
      <c r="R15" s="3">
        <f t="shared" ref="R15" si="52">P15/$X$34*100</f>
        <v>20.96861471861472</v>
      </c>
      <c r="S15" s="3"/>
      <c r="T15" s="3">
        <f t="shared" ref="T15" si="53">L15</f>
        <v>9</v>
      </c>
      <c r="U15" s="4">
        <f t="shared" ref="U15" si="54">K15</f>
        <v>5.8512000000000004</v>
      </c>
      <c r="V15">
        <f t="shared" ref="V15" si="55">U15*0.001341022</f>
        <v>7.8465879264000005E-3</v>
      </c>
      <c r="W15">
        <f t="shared" ref="W15" si="56">V15/P15*5252</f>
        <v>4.230922058383821E-3</v>
      </c>
      <c r="X15">
        <f t="shared" ref="X15" si="57">-W15/2/P15</f>
        <v>-2.1718733233036949E-7</v>
      </c>
      <c r="Y15">
        <v>0.18</v>
      </c>
      <c r="Z15">
        <f t="shared" ref="Z15" si="58">-Y15*X15</f>
        <v>3.9093719819466504E-8</v>
      </c>
      <c r="AA15">
        <f t="shared" ref="AA15" si="59">Z15/6.66*2048.5</f>
        <v>1.2024547304831401E-5</v>
      </c>
      <c r="AB15">
        <f t="shared" ref="AB15" si="60">AA15*144</f>
        <v>1.7315348118957217E-3</v>
      </c>
      <c r="AC15" s="97">
        <f>$X$64+$Y$64*$P15+$P15^2*$Z$64</f>
        <v>8.9553905571368411</v>
      </c>
      <c r="AD15" s="97">
        <f>$X$65+$Y$65*$P15+$P15^2*$Z$65</f>
        <v>9.6200537179282612</v>
      </c>
      <c r="AE15" s="97">
        <f>AD15-AC15</f>
        <v>0.66466316079142018</v>
      </c>
      <c r="AF15" s="96">
        <f>AE15/P15*5252</f>
        <v>0.35838992116892465</v>
      </c>
    </row>
    <row r="16" spans="1:41" ht="13.95" customHeight="1" x14ac:dyDescent="0.3">
      <c r="B16" s="120">
        <f t="shared" si="22"/>
        <v>1.0722222222222222</v>
      </c>
      <c r="C16" s="73">
        <v>13</v>
      </c>
      <c r="D16" s="119"/>
      <c r="E16" s="73">
        <v>13.8</v>
      </c>
      <c r="F16" s="73">
        <v>0.56499999999999995</v>
      </c>
      <c r="G16" s="73">
        <v>5080</v>
      </c>
      <c r="H16" s="119"/>
      <c r="I16" s="119"/>
      <c r="J16" s="129"/>
      <c r="K16" s="2">
        <f t="shared" ref="K16:K23" si="61">E16*F16</f>
        <v>7.7969999999999997</v>
      </c>
      <c r="L16" s="1">
        <f t="shared" ref="L16:L23" si="62">C16</f>
        <v>13</v>
      </c>
      <c r="M16" s="1">
        <f t="shared" ref="M16:M23" si="63">LN(L16)</f>
        <v>2.5649493574615367</v>
      </c>
      <c r="N16" s="3">
        <f t="shared" ref="N16:N23" si="64">1/G16/0.000001</f>
        <v>196.85039370078741</v>
      </c>
      <c r="O16" s="3"/>
      <c r="P16" s="3">
        <f t="shared" ref="P16:P23" si="65">N16*60/$X$26</f>
        <v>11811.023622047245</v>
      </c>
      <c r="Q16" s="3"/>
      <c r="R16" s="3">
        <f t="shared" ref="R16:R23" si="66">P16/$X$34*100</f>
        <v>25.426509186351709</v>
      </c>
      <c r="S16" s="3"/>
      <c r="T16" s="3">
        <f t="shared" ref="T16:T23" si="67">L16</f>
        <v>13</v>
      </c>
      <c r="U16" s="4">
        <f t="shared" ref="U16:U23" si="68">K16</f>
        <v>7.7969999999999997</v>
      </c>
      <c r="V16">
        <f t="shared" ref="V16:V23" si="69">U16*0.001341022</f>
        <v>1.0455948534E-2</v>
      </c>
      <c r="W16">
        <f t="shared" ref="W16:W23" si="70">V16/P16*5252</f>
        <v>4.6494396639814237E-3</v>
      </c>
      <c r="X16">
        <f t="shared" ref="X16:X23" si="71">-W16/2/P16</f>
        <v>-1.9682627910854693E-7</v>
      </c>
      <c r="Y16">
        <v>0.18</v>
      </c>
      <c r="Z16">
        <f t="shared" ref="Z16:Z23" si="72">-Y16*X16</f>
        <v>3.5428730239538448E-8</v>
      </c>
      <c r="AA16">
        <f t="shared" ref="AA16:AA23" si="73">Z16/6.66*2048.5</f>
        <v>1.0897260344698876E-5</v>
      </c>
      <c r="AB16">
        <f t="shared" ref="AB16:AB23" si="74">AA16*144</f>
        <v>1.569205489636638E-3</v>
      </c>
      <c r="AC16" s="97">
        <f t="shared" ref="AC16:AC23" si="75">$X$64+$Y$64*P16+P16^2*$Z$64</f>
        <v>7.5981000432770465</v>
      </c>
      <c r="AD16" s="97">
        <f t="shared" ref="AD16:AD23" si="76">$X$65+$Y$65*$P16+$P16^2*$Z$65</f>
        <v>7.7200511556357299</v>
      </c>
      <c r="AE16" s="97">
        <f t="shared" ref="AE16:AE23" si="77">AD16-AC16</f>
        <v>0.12195111235868339</v>
      </c>
      <c r="AF16" s="96">
        <f t="shared" ref="AF16:AF23" si="78">AE16/P16*5252</f>
        <v>5.4227919831794161E-2</v>
      </c>
    </row>
    <row r="17" spans="1:33" ht="13.95" customHeight="1" x14ac:dyDescent="0.3">
      <c r="B17" s="120">
        <f t="shared" si="22"/>
        <v>1.1444444444444444</v>
      </c>
      <c r="C17" s="73">
        <v>26</v>
      </c>
      <c r="D17" s="119"/>
      <c r="E17" s="73">
        <v>13.75</v>
      </c>
      <c r="F17" s="73">
        <v>1.32</v>
      </c>
      <c r="G17" s="73">
        <v>3180</v>
      </c>
      <c r="H17" s="119"/>
      <c r="I17" s="119"/>
      <c r="J17" s="129"/>
      <c r="K17" s="2">
        <f t="shared" si="61"/>
        <v>18.150000000000002</v>
      </c>
      <c r="L17" s="1">
        <f t="shared" si="62"/>
        <v>26</v>
      </c>
      <c r="M17" s="1">
        <f t="shared" si="63"/>
        <v>3.2580965380214821</v>
      </c>
      <c r="N17" s="3">
        <f t="shared" si="64"/>
        <v>314.46540880503147</v>
      </c>
      <c r="O17" s="3"/>
      <c r="P17" s="3">
        <f t="shared" si="65"/>
        <v>18867.92452830189</v>
      </c>
      <c r="Q17" s="3"/>
      <c r="R17" s="3">
        <f t="shared" si="66"/>
        <v>40.618448637316575</v>
      </c>
      <c r="S17" s="3"/>
      <c r="T17" s="3">
        <f t="shared" si="67"/>
        <v>26</v>
      </c>
      <c r="U17" s="4">
        <f t="shared" si="68"/>
        <v>18.150000000000002</v>
      </c>
      <c r="V17">
        <f t="shared" si="69"/>
        <v>2.4339549300000006E-2</v>
      </c>
      <c r="W17">
        <f t="shared" si="70"/>
        <v>6.7750595849508004E-3</v>
      </c>
      <c r="X17">
        <f t="shared" si="71"/>
        <v>-1.7953907900119617E-7</v>
      </c>
      <c r="Y17">
        <v>0.18</v>
      </c>
      <c r="Z17">
        <f t="shared" si="72"/>
        <v>3.2317034220215307E-8</v>
      </c>
      <c r="AA17">
        <f t="shared" si="73"/>
        <v>9.9401568468635218E-6</v>
      </c>
      <c r="AB17">
        <f t="shared" si="74"/>
        <v>1.4313825859483471E-3</v>
      </c>
      <c r="AC17" s="97">
        <f t="shared" si="75"/>
        <v>14.163378705093869</v>
      </c>
      <c r="AD17" s="97">
        <f t="shared" si="76"/>
        <v>14.374112001744152</v>
      </c>
      <c r="AE17" s="97">
        <f t="shared" si="77"/>
        <v>0.2107332966502824</v>
      </c>
      <c r="AF17" s="96">
        <f t="shared" si="78"/>
        <v>5.8658877522386001E-2</v>
      </c>
    </row>
    <row r="18" spans="1:33" ht="13.95" customHeight="1" x14ac:dyDescent="0.3">
      <c r="B18" s="120">
        <f t="shared" si="22"/>
        <v>1.2</v>
      </c>
      <c r="C18" s="73">
        <v>36</v>
      </c>
      <c r="D18" s="119"/>
      <c r="E18" s="73">
        <v>13.71</v>
      </c>
      <c r="F18" s="73">
        <v>2.08</v>
      </c>
      <c r="G18" s="73">
        <v>2650</v>
      </c>
      <c r="H18" s="119"/>
      <c r="I18" s="119"/>
      <c r="J18" s="129"/>
      <c r="K18" s="2">
        <f t="shared" si="61"/>
        <v>28.516800000000003</v>
      </c>
      <c r="L18" s="1">
        <f t="shared" si="62"/>
        <v>36</v>
      </c>
      <c r="M18" s="1">
        <f t="shared" si="63"/>
        <v>3.5835189384561099</v>
      </c>
      <c r="N18" s="3">
        <f t="shared" si="64"/>
        <v>377.35849056603774</v>
      </c>
      <c r="O18" s="3"/>
      <c r="P18" s="3">
        <f t="shared" si="65"/>
        <v>22641.509433962266</v>
      </c>
      <c r="Q18" s="3"/>
      <c r="R18" s="3">
        <f t="shared" si="66"/>
        <v>48.742138364779883</v>
      </c>
      <c r="S18" s="3"/>
      <c r="T18" s="3">
        <f t="shared" si="67"/>
        <v>36</v>
      </c>
      <c r="U18" s="4">
        <f t="shared" si="68"/>
        <v>28.516800000000003</v>
      </c>
      <c r="V18">
        <f t="shared" si="69"/>
        <v>3.8241656169600007E-2</v>
      </c>
      <c r="W18">
        <f t="shared" si="70"/>
        <v>8.8706620372876483E-3</v>
      </c>
      <c r="X18">
        <f t="shared" si="71"/>
        <v>-1.9589378665676887E-7</v>
      </c>
      <c r="Y18">
        <v>0.18</v>
      </c>
      <c r="Z18">
        <f t="shared" si="72"/>
        <v>3.5260881598218394E-8</v>
      </c>
      <c r="AA18">
        <f t="shared" si="73"/>
        <v>1.0845633026118675E-5</v>
      </c>
      <c r="AB18">
        <f t="shared" si="74"/>
        <v>1.5617711557610891E-3</v>
      </c>
      <c r="AC18" s="97">
        <f t="shared" si="75"/>
        <v>24.774554333211086</v>
      </c>
      <c r="AD18" s="97">
        <f t="shared" si="76"/>
        <v>26.262589660758252</v>
      </c>
      <c r="AE18" s="97">
        <f t="shared" si="77"/>
        <v>1.4880353275471663</v>
      </c>
      <c r="AF18" s="96">
        <f t="shared" si="78"/>
        <v>0.34516963469559914</v>
      </c>
    </row>
    <row r="19" spans="1:33" ht="13.95" customHeight="1" x14ac:dyDescent="0.3">
      <c r="B19" s="120">
        <f t="shared" si="22"/>
        <v>1.3111111111111111</v>
      </c>
      <c r="C19" s="73">
        <v>56</v>
      </c>
      <c r="D19" s="119"/>
      <c r="E19" s="73">
        <v>13.6</v>
      </c>
      <c r="F19" s="73">
        <v>3.8</v>
      </c>
      <c r="G19" s="73">
        <v>2070</v>
      </c>
      <c r="H19" s="119"/>
      <c r="I19" s="119"/>
      <c r="J19" s="129"/>
      <c r="K19" s="2">
        <f t="shared" si="61"/>
        <v>51.68</v>
      </c>
      <c r="L19" s="1">
        <f t="shared" si="62"/>
        <v>56</v>
      </c>
      <c r="M19" s="1">
        <f t="shared" si="63"/>
        <v>4.0253516907351496</v>
      </c>
      <c r="N19" s="3">
        <f t="shared" si="64"/>
        <v>483.09178743961354</v>
      </c>
      <c r="O19" s="3"/>
      <c r="P19" s="3">
        <f t="shared" si="65"/>
        <v>28985.507246376812</v>
      </c>
      <c r="Q19" s="3"/>
      <c r="R19" s="3">
        <f t="shared" si="66"/>
        <v>62.399355877616756</v>
      </c>
      <c r="S19" s="3"/>
      <c r="T19" s="3">
        <f t="shared" si="67"/>
        <v>56</v>
      </c>
      <c r="U19" s="4">
        <f t="shared" si="68"/>
        <v>51.68</v>
      </c>
      <c r="V19">
        <f t="shared" si="69"/>
        <v>6.9304016960000006E-2</v>
      </c>
      <c r="W19">
        <f t="shared" si="70"/>
        <v>1.255747204905024E-2</v>
      </c>
      <c r="X19">
        <f t="shared" si="71"/>
        <v>-2.1661639284611662E-7</v>
      </c>
      <c r="Y19">
        <v>0.18</v>
      </c>
      <c r="Z19">
        <f t="shared" si="72"/>
        <v>3.8990950712300994E-8</v>
      </c>
      <c r="AA19">
        <f t="shared" si="73"/>
        <v>1.1992937317439727E-5</v>
      </c>
      <c r="AB19">
        <f t="shared" si="74"/>
        <v>1.7269829737113207E-3</v>
      </c>
      <c r="AC19" s="97">
        <f t="shared" si="75"/>
        <v>53.764929307947781</v>
      </c>
      <c r="AD19" s="97">
        <f t="shared" si="76"/>
        <v>59.331755202776606</v>
      </c>
      <c r="AE19" s="97">
        <f t="shared" si="77"/>
        <v>5.5668258948288241</v>
      </c>
      <c r="AF19" s="96">
        <f t="shared" si="78"/>
        <v>1.0086754511876139</v>
      </c>
    </row>
    <row r="20" spans="1:33" ht="13.95" customHeight="1" x14ac:dyDescent="0.3">
      <c r="B20" s="120">
        <f t="shared" si="22"/>
        <v>1.3555555555555556</v>
      </c>
      <c r="C20" s="73">
        <v>64</v>
      </c>
      <c r="D20" s="119"/>
      <c r="E20" s="73">
        <v>13.55</v>
      </c>
      <c r="F20" s="73">
        <v>4.38</v>
      </c>
      <c r="G20" s="73">
        <v>2000</v>
      </c>
      <c r="H20" s="119"/>
      <c r="I20" s="119"/>
      <c r="J20" s="129"/>
      <c r="K20" s="2">
        <f t="shared" si="61"/>
        <v>59.349000000000004</v>
      </c>
      <c r="L20" s="1">
        <f t="shared" si="62"/>
        <v>64</v>
      </c>
      <c r="M20" s="1">
        <f t="shared" si="63"/>
        <v>4.1588830833596715</v>
      </c>
      <c r="N20" s="3">
        <f t="shared" si="64"/>
        <v>500.00000000000006</v>
      </c>
      <c r="O20" s="3"/>
      <c r="P20" s="3">
        <f t="shared" si="65"/>
        <v>30000.000000000004</v>
      </c>
      <c r="Q20" s="3"/>
      <c r="R20" s="3">
        <f t="shared" si="66"/>
        <v>64.583333333333343</v>
      </c>
      <c r="S20" s="3"/>
      <c r="T20" s="3">
        <f t="shared" si="67"/>
        <v>64</v>
      </c>
      <c r="U20" s="4">
        <f t="shared" si="68"/>
        <v>59.349000000000004</v>
      </c>
      <c r="V20">
        <f t="shared" si="69"/>
        <v>7.9588314678000011E-2</v>
      </c>
      <c r="W20">
        <f t="shared" si="70"/>
        <v>1.39332609562952E-2</v>
      </c>
      <c r="X20">
        <f t="shared" si="71"/>
        <v>-2.3222101593825331E-7</v>
      </c>
      <c r="Y20">
        <v>0.18</v>
      </c>
      <c r="Z20">
        <f t="shared" si="72"/>
        <v>4.1799782868885597E-8</v>
      </c>
      <c r="AA20">
        <f t="shared" si="73"/>
        <v>1.2856885166203024E-5</v>
      </c>
      <c r="AB20">
        <f t="shared" si="74"/>
        <v>1.8513914639332356E-3</v>
      </c>
      <c r="AC20" s="97">
        <f t="shared" si="75"/>
        <v>59.697840288730617</v>
      </c>
      <c r="AD20" s="97">
        <f t="shared" si="76"/>
        <v>66.141557190477442</v>
      </c>
      <c r="AE20" s="97">
        <f t="shared" si="77"/>
        <v>6.443716901746825</v>
      </c>
      <c r="AF20" s="96">
        <f t="shared" si="78"/>
        <v>1.1280800389324774</v>
      </c>
    </row>
    <row r="21" spans="1:33" ht="13.95" customHeight="1" x14ac:dyDescent="0.3">
      <c r="B21" s="120">
        <f t="shared" si="22"/>
        <v>1.4944444444444445</v>
      </c>
      <c r="C21" s="73">
        <v>89</v>
      </c>
      <c r="D21" s="119"/>
      <c r="E21" s="73">
        <v>13.42</v>
      </c>
      <c r="F21" s="73">
        <v>6.3</v>
      </c>
      <c r="G21" s="73">
        <v>1760</v>
      </c>
      <c r="H21" s="119"/>
      <c r="I21" s="119"/>
      <c r="J21" s="129"/>
      <c r="K21" s="2">
        <f t="shared" si="61"/>
        <v>84.545999999999992</v>
      </c>
      <c r="L21" s="1">
        <f t="shared" si="62"/>
        <v>89</v>
      </c>
      <c r="M21" s="1">
        <f t="shared" si="63"/>
        <v>4.4886363697321396</v>
      </c>
      <c r="N21" s="3">
        <f t="shared" si="64"/>
        <v>568.18181818181813</v>
      </c>
      <c r="O21" s="3"/>
      <c r="P21" s="3">
        <f t="shared" si="65"/>
        <v>34090.909090909088</v>
      </c>
      <c r="Q21" s="3"/>
      <c r="R21" s="3">
        <f t="shared" si="66"/>
        <v>73.390151515151516</v>
      </c>
      <c r="S21" s="3"/>
      <c r="T21" s="3">
        <f t="shared" si="67"/>
        <v>89</v>
      </c>
      <c r="U21" s="4">
        <f t="shared" si="68"/>
        <v>84.545999999999992</v>
      </c>
      <c r="V21">
        <f t="shared" si="69"/>
        <v>0.11337804601199999</v>
      </c>
      <c r="W21">
        <f t="shared" si="70"/>
        <v>1.7466870597880702E-2</v>
      </c>
      <c r="X21">
        <f t="shared" si="71"/>
        <v>-2.5618076876891696E-7</v>
      </c>
      <c r="Y21">
        <v>0.18</v>
      </c>
      <c r="Z21">
        <f t="shared" si="72"/>
        <v>4.611253837840505E-8</v>
      </c>
      <c r="AA21">
        <f t="shared" si="73"/>
        <v>1.4183413643868279E-5</v>
      </c>
      <c r="AB21">
        <f t="shared" si="74"/>
        <v>2.0424115647170323E-3</v>
      </c>
      <c r="AC21" s="97">
        <f t="shared" si="75"/>
        <v>87.250679960713484</v>
      </c>
      <c r="AD21" s="97">
        <f t="shared" si="76"/>
        <v>97.858911712085671</v>
      </c>
      <c r="AE21" s="97">
        <f t="shared" si="77"/>
        <v>10.608231751372188</v>
      </c>
      <c r="AF21" s="96">
        <f t="shared" si="78"/>
        <v>1.6342900393073976</v>
      </c>
    </row>
    <row r="22" spans="1:33" ht="13.95" customHeight="1" x14ac:dyDescent="0.3">
      <c r="B22" s="120">
        <f t="shared" si="22"/>
        <v>1.7944444444444443</v>
      </c>
      <c r="C22" s="73">
        <v>143</v>
      </c>
      <c r="D22" s="119"/>
      <c r="E22" s="73">
        <v>13.1</v>
      </c>
      <c r="F22" s="73">
        <v>11.7</v>
      </c>
      <c r="G22" s="73">
        <v>1430</v>
      </c>
      <c r="H22" s="119"/>
      <c r="I22" s="119"/>
      <c r="J22" s="129"/>
      <c r="K22" s="2">
        <f t="shared" si="61"/>
        <v>153.26999999999998</v>
      </c>
      <c r="L22" s="1">
        <f t="shared" si="62"/>
        <v>143</v>
      </c>
      <c r="M22" s="1">
        <f t="shared" si="63"/>
        <v>4.962844630259907</v>
      </c>
      <c r="N22" s="3">
        <f t="shared" si="64"/>
        <v>699.30069930069931</v>
      </c>
      <c r="O22" s="3"/>
      <c r="P22" s="3">
        <f t="shared" si="65"/>
        <v>41958.041958041955</v>
      </c>
      <c r="Q22" s="3"/>
      <c r="R22" s="3">
        <f t="shared" si="66"/>
        <v>90.326340326340329</v>
      </c>
      <c r="S22" s="3"/>
      <c r="T22" s="3">
        <f t="shared" si="67"/>
        <v>143</v>
      </c>
      <c r="U22" s="4">
        <f t="shared" si="68"/>
        <v>153.26999999999998</v>
      </c>
      <c r="V22">
        <f t="shared" si="69"/>
        <v>0.20553844193999998</v>
      </c>
      <c r="W22">
        <f t="shared" si="70"/>
        <v>2.5727794880141638E-2</v>
      </c>
      <c r="X22">
        <f t="shared" si="71"/>
        <v>-3.0658955565502124E-7</v>
      </c>
      <c r="Y22">
        <v>0.18</v>
      </c>
      <c r="Z22">
        <f t="shared" si="72"/>
        <v>5.5186120017903822E-8</v>
      </c>
      <c r="AA22">
        <f t="shared" si="73"/>
        <v>1.6974289317819214E-5</v>
      </c>
      <c r="AB22">
        <f t="shared" si="74"/>
        <v>2.4442976617659669E-3</v>
      </c>
      <c r="AC22" s="97">
        <f t="shared" si="75"/>
        <v>156.58105321993372</v>
      </c>
      <c r="AD22" s="97">
        <f t="shared" si="76"/>
        <v>178.02882802314784</v>
      </c>
      <c r="AE22" s="97">
        <f t="shared" si="77"/>
        <v>21.447774803214116</v>
      </c>
      <c r="AF22" s="96">
        <f t="shared" si="78"/>
        <v>2.6846751661844532</v>
      </c>
      <c r="AG22" s="97"/>
    </row>
    <row r="23" spans="1:33" ht="13.95" customHeight="1" x14ac:dyDescent="0.3">
      <c r="B23" s="120">
        <f t="shared" si="22"/>
        <v>1.9166666666666665</v>
      </c>
      <c r="C23" s="73">
        <v>165</v>
      </c>
      <c r="D23" s="119"/>
      <c r="E23" s="73">
        <v>12.72</v>
      </c>
      <c r="F23" s="73">
        <v>16.86</v>
      </c>
      <c r="G23" s="73">
        <v>1280</v>
      </c>
      <c r="H23" s="119"/>
      <c r="I23" s="119"/>
      <c r="J23" s="129"/>
      <c r="K23" s="2">
        <f t="shared" si="61"/>
        <v>214.45920000000001</v>
      </c>
      <c r="L23" s="1">
        <f t="shared" si="62"/>
        <v>165</v>
      </c>
      <c r="M23" s="1">
        <f t="shared" si="63"/>
        <v>5.1059454739005803</v>
      </c>
      <c r="N23" s="3">
        <f t="shared" si="64"/>
        <v>781.25000000000011</v>
      </c>
      <c r="O23" s="3"/>
      <c r="P23" s="3">
        <f t="shared" si="65"/>
        <v>46875.000000000007</v>
      </c>
      <c r="Q23" s="3"/>
      <c r="R23" s="3">
        <f t="shared" si="66"/>
        <v>100.91145833333334</v>
      </c>
      <c r="S23" s="3"/>
      <c r="T23" s="3">
        <f t="shared" si="67"/>
        <v>165</v>
      </c>
      <c r="U23" s="4">
        <f t="shared" si="68"/>
        <v>214.45920000000001</v>
      </c>
      <c r="V23">
        <f t="shared" si="69"/>
        <v>0.28759450530240005</v>
      </c>
      <c r="W23">
        <f t="shared" si="70"/>
        <v>3.2222855292761705E-2</v>
      </c>
      <c r="X23">
        <f t="shared" si="71"/>
        <v>-3.4371045645612482E-7</v>
      </c>
      <c r="Y23">
        <v>0.18</v>
      </c>
      <c r="Z23">
        <f t="shared" si="72"/>
        <v>6.1867882162102469E-8</v>
      </c>
      <c r="AA23">
        <f t="shared" si="73"/>
        <v>1.9029482974334368E-5</v>
      </c>
      <c r="AB23">
        <f t="shared" si="74"/>
        <v>2.7402455483041491E-3</v>
      </c>
      <c r="AC23" s="97">
        <f t="shared" si="75"/>
        <v>210.83327358395567</v>
      </c>
      <c r="AD23" s="97">
        <f t="shared" si="76"/>
        <v>240.94727124611853</v>
      </c>
      <c r="AE23" s="97">
        <f t="shared" si="77"/>
        <v>30.113997662162859</v>
      </c>
      <c r="AF23" s="96">
        <f t="shared" si="78"/>
        <v>3.3740526020624921</v>
      </c>
    </row>
    <row r="24" spans="1:33" ht="13.95" customHeight="1" x14ac:dyDescent="0.3">
      <c r="B24" s="5"/>
      <c r="C24" s="6"/>
      <c r="D24" s="6"/>
      <c r="E24" s="6"/>
      <c r="F24" s="6"/>
      <c r="G24" s="6"/>
      <c r="H24" s="6"/>
      <c r="I24" s="6"/>
      <c r="J24" s="6"/>
      <c r="K24" s="2"/>
      <c r="N24" s="3"/>
      <c r="O24" s="3"/>
      <c r="P24" s="3"/>
      <c r="Q24" s="3"/>
      <c r="R24" s="3"/>
      <c r="S24" s="3"/>
      <c r="T24" s="3"/>
      <c r="U24" s="4"/>
    </row>
    <row r="25" spans="1:33" ht="13.95" customHeight="1" thickBot="1" x14ac:dyDescent="0.35">
      <c r="B25" s="5"/>
      <c r="C25" s="6"/>
      <c r="D25" s="6"/>
      <c r="E25" s="6"/>
      <c r="F25" s="6"/>
      <c r="G25" s="6"/>
      <c r="H25" s="6"/>
      <c r="I25" s="6"/>
      <c r="J25" s="6"/>
      <c r="K25" s="2"/>
      <c r="N25" s="3"/>
      <c r="O25" s="3"/>
      <c r="P25" s="3"/>
      <c r="Q25" s="3"/>
      <c r="R25" s="3"/>
      <c r="S25" s="3"/>
      <c r="T25" s="3"/>
      <c r="U25" s="3"/>
      <c r="W25" t="s">
        <v>44</v>
      </c>
      <c r="Z25" t="s">
        <v>45</v>
      </c>
      <c r="AC25" s="30"/>
      <c r="AD25" s="5" t="s">
        <v>74</v>
      </c>
      <c r="AE25" s="5"/>
      <c r="AF25" s="5"/>
      <c r="AG25" s="5"/>
    </row>
    <row r="26" spans="1:33" ht="13.95" customHeight="1" x14ac:dyDescent="0.3">
      <c r="A26" s="3" t="s">
        <v>40</v>
      </c>
      <c r="B26" s="11" t="s">
        <v>41</v>
      </c>
      <c r="C26" s="12"/>
      <c r="D26" s="12"/>
      <c r="E26" s="6"/>
      <c r="F26" s="6"/>
      <c r="G26" s="6"/>
      <c r="H26" s="6"/>
      <c r="I26" s="6"/>
      <c r="J26" s="6"/>
      <c r="K26" s="2"/>
      <c r="N26" s="3"/>
      <c r="O26" s="3"/>
      <c r="P26" s="3"/>
      <c r="Q26" s="3"/>
      <c r="R26" s="3"/>
      <c r="S26" s="3"/>
      <c r="T26" s="3"/>
      <c r="U26" s="3"/>
      <c r="W26" s="17" t="s">
        <v>100</v>
      </c>
      <c r="X26" s="18">
        <v>1</v>
      </c>
      <c r="Z26" s="17"/>
      <c r="AA26" s="23" t="s">
        <v>32</v>
      </c>
      <c r="AB26" s="7"/>
      <c r="AC26" s="30"/>
      <c r="AD26" s="62" t="s">
        <v>24</v>
      </c>
      <c r="AE26" s="63">
        <f>X39</f>
        <v>5</v>
      </c>
      <c r="AF26" s="64"/>
      <c r="AG26" s="29"/>
    </row>
    <row r="27" spans="1:33" x14ac:dyDescent="0.3">
      <c r="A27" s="3"/>
      <c r="B27" s="13" t="s">
        <v>42</v>
      </c>
      <c r="C27" s="14"/>
      <c r="D27" s="14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3"/>
      <c r="W27" s="19" t="s">
        <v>4</v>
      </c>
      <c r="X27" s="20">
        <v>4800</v>
      </c>
      <c r="Z27" s="24" t="s">
        <v>25</v>
      </c>
      <c r="AA27" s="25">
        <v>0</v>
      </c>
      <c r="AC27" s="30"/>
      <c r="AD27" s="65" t="s">
        <v>23</v>
      </c>
      <c r="AE27" s="66">
        <f>X38</f>
        <v>0</v>
      </c>
      <c r="AF27" s="45"/>
      <c r="AG27" s="31"/>
    </row>
    <row r="28" spans="1:33" ht="13.95" customHeight="1" thickBot="1" x14ac:dyDescent="0.35">
      <c r="A28" s="3"/>
      <c r="B28" s="15" t="s">
        <v>43</v>
      </c>
      <c r="C28" s="16"/>
      <c r="D28" s="16"/>
      <c r="E28" s="6"/>
      <c r="F28" s="6"/>
      <c r="G28" s="6"/>
      <c r="H28" s="6"/>
      <c r="I28" s="6"/>
      <c r="J28" s="6"/>
      <c r="K28" s="2"/>
      <c r="N28" s="3"/>
      <c r="O28" s="3"/>
      <c r="P28" s="3"/>
      <c r="Q28" s="2"/>
      <c r="R28" s="3"/>
      <c r="S28" s="3"/>
      <c r="T28" s="3"/>
      <c r="U28" s="3"/>
      <c r="W28" s="21" t="s">
        <v>5</v>
      </c>
      <c r="X28" s="22">
        <v>12</v>
      </c>
      <c r="Z28" s="26" t="s">
        <v>26</v>
      </c>
      <c r="AA28" s="27">
        <v>5</v>
      </c>
      <c r="AC28" s="30"/>
      <c r="AD28" s="65" t="s">
        <v>26</v>
      </c>
      <c r="AE28" s="66">
        <f>AA28</f>
        <v>5</v>
      </c>
      <c r="AF28" s="30"/>
      <c r="AG28" s="31"/>
    </row>
    <row r="29" spans="1:33" ht="13.95" customHeight="1" x14ac:dyDescent="0.3">
      <c r="B29" s="5"/>
      <c r="C29" s="6"/>
      <c r="D29" s="6"/>
      <c r="E29" s="6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AC29" s="30"/>
      <c r="AD29" s="65" t="s">
        <v>25</v>
      </c>
      <c r="AE29" s="66">
        <f>AA27</f>
        <v>0</v>
      </c>
      <c r="AF29" s="30"/>
      <c r="AG29" s="31"/>
    </row>
    <row r="30" spans="1:33" ht="24" thickBot="1" x14ac:dyDescent="0.5">
      <c r="B30" s="5"/>
      <c r="C30" s="6"/>
      <c r="D30" s="6"/>
      <c r="E30" s="6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W30" t="s">
        <v>47</v>
      </c>
      <c r="AC30" s="94" t="s">
        <v>71</v>
      </c>
      <c r="AD30" s="65" t="s">
        <v>39</v>
      </c>
      <c r="AE30" s="66">
        <f>X34/100</f>
        <v>464.51612903225805</v>
      </c>
      <c r="AF30" s="30"/>
      <c r="AG30" s="31"/>
    </row>
    <row r="31" spans="1:33" ht="15" thickBot="1" x14ac:dyDescent="0.35">
      <c r="B31" s="5"/>
      <c r="C31" s="6"/>
      <c r="D31" s="6"/>
      <c r="E31" s="6"/>
      <c r="F31" s="6"/>
      <c r="G31" s="6"/>
      <c r="H31" s="6"/>
      <c r="I31" s="6"/>
      <c r="J31" s="6"/>
      <c r="K31" s="2"/>
      <c r="N31" s="3"/>
      <c r="O31" s="3"/>
      <c r="P31" s="3"/>
      <c r="Q31" s="3"/>
      <c r="R31" s="3"/>
      <c r="S31" s="3"/>
      <c r="T31" s="3"/>
      <c r="U31" s="3"/>
      <c r="W31" s="34">
        <v>240</v>
      </c>
      <c r="X31" s="35" t="s">
        <v>46</v>
      </c>
      <c r="Y31" s="36"/>
      <c r="Z31" s="35"/>
      <c r="AA31" s="35"/>
      <c r="AB31" s="37"/>
      <c r="AD31" s="65" t="s">
        <v>27</v>
      </c>
      <c r="AE31" s="66">
        <f>Z39</f>
        <v>180</v>
      </c>
      <c r="AF31" s="30"/>
      <c r="AG31" s="31"/>
    </row>
    <row r="32" spans="1:33" x14ac:dyDescent="0.3">
      <c r="B32" s="5"/>
      <c r="C32" s="6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W32" s="8"/>
      <c r="Y32" s="8"/>
      <c r="Z32" s="8"/>
      <c r="AD32" s="65" t="s">
        <v>22</v>
      </c>
      <c r="AE32" s="66">
        <f>Z38</f>
        <v>0</v>
      </c>
      <c r="AF32" s="30"/>
      <c r="AG32" s="31"/>
    </row>
    <row r="33" spans="2:42" ht="15" thickBot="1" x14ac:dyDescent="0.35">
      <c r="C33" s="6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W33" t="s">
        <v>48</v>
      </c>
      <c r="AD33" s="65" t="s">
        <v>18</v>
      </c>
      <c r="AE33" s="66">
        <f>X47</f>
        <v>0</v>
      </c>
      <c r="AF33" s="67">
        <f>X46</f>
        <v>15077.422394393092</v>
      </c>
      <c r="AG33" s="68">
        <f>X45</f>
        <v>-793.67746909116534</v>
      </c>
    </row>
    <row r="34" spans="2:42" ht="15" thickBot="1" x14ac:dyDescent="0.35">
      <c r="W34" s="38" t="s">
        <v>6</v>
      </c>
      <c r="X34" s="39">
        <f>X27*X28/Y34*2</f>
        <v>46451.612903225803</v>
      </c>
      <c r="Y34" s="40">
        <v>2.48</v>
      </c>
      <c r="Z34" s="35" t="s">
        <v>14</v>
      </c>
      <c r="AA34" s="41"/>
      <c r="AD34" s="65" t="s">
        <v>30</v>
      </c>
      <c r="AE34" s="66">
        <f>X49</f>
        <v>-18411.607189212871</v>
      </c>
      <c r="AF34" s="67">
        <f>X48</f>
        <v>11950.74405383522</v>
      </c>
      <c r="AG34" s="31"/>
    </row>
    <row r="35" spans="2:42" x14ac:dyDescent="0.3">
      <c r="AD35" s="65" t="s">
        <v>20</v>
      </c>
      <c r="AE35" s="66">
        <f>AA48</f>
        <v>-10222.520712018912</v>
      </c>
      <c r="AF35" s="69">
        <f>AA47</f>
        <v>1.0238441352501362</v>
      </c>
      <c r="AG35" s="31"/>
    </row>
    <row r="36" spans="2:42" ht="15" thickBot="1" x14ac:dyDescent="0.35">
      <c r="C36" s="6"/>
      <c r="D36" s="6"/>
      <c r="E36" s="6"/>
      <c r="F36" s="6"/>
      <c r="G36" s="6"/>
      <c r="H36" s="6"/>
      <c r="I36" s="6"/>
      <c r="J36" s="6"/>
      <c r="K36" s="9"/>
      <c r="L36" s="6"/>
      <c r="M36" s="6"/>
      <c r="N36" s="10"/>
      <c r="O36" s="10"/>
      <c r="P36" s="10"/>
      <c r="Q36" s="10"/>
      <c r="R36" s="10"/>
      <c r="S36" s="10"/>
      <c r="T36" s="10"/>
      <c r="U36" s="10"/>
      <c r="W36" t="s">
        <v>49</v>
      </c>
      <c r="AD36" s="70" t="s">
        <v>21</v>
      </c>
      <c r="AE36" s="71">
        <f>AA46</f>
        <v>10156.837922926017</v>
      </c>
      <c r="AF36" s="72">
        <f>AA45</f>
        <v>0.96677372377219584</v>
      </c>
      <c r="AG36" s="33"/>
    </row>
    <row r="37" spans="2:42" x14ac:dyDescent="0.3">
      <c r="C37" s="6"/>
      <c r="D37" s="6"/>
      <c r="E37" s="6"/>
      <c r="F37" s="6"/>
      <c r="G37" s="6"/>
      <c r="H37" s="6"/>
      <c r="I37" s="6"/>
      <c r="J37" s="6"/>
      <c r="K37" s="9"/>
      <c r="L37" s="6"/>
      <c r="M37" s="6"/>
      <c r="N37" s="10"/>
      <c r="O37" s="10"/>
      <c r="P37" s="10"/>
      <c r="Q37" s="10"/>
      <c r="R37" s="10"/>
      <c r="S37" s="10"/>
      <c r="T37" s="10"/>
      <c r="U37" s="10"/>
      <c r="W37" s="17"/>
      <c r="X37" s="42" t="s">
        <v>28</v>
      </c>
      <c r="Y37" s="28"/>
      <c r="Z37" s="42" t="s">
        <v>29</v>
      </c>
      <c r="AA37" s="29" t="s">
        <v>50</v>
      </c>
    </row>
    <row r="38" spans="2:42" x14ac:dyDescent="0.3">
      <c r="C38" s="6"/>
      <c r="D38" s="6"/>
      <c r="E38" s="6"/>
      <c r="F38" s="6"/>
      <c r="G38" s="6"/>
      <c r="H38" s="6"/>
      <c r="I38" s="6"/>
      <c r="J38" s="6"/>
      <c r="K38" s="9"/>
      <c r="L38" s="6"/>
      <c r="M38" s="6"/>
      <c r="N38" s="10"/>
      <c r="O38" s="10"/>
      <c r="P38" s="10"/>
      <c r="Q38" s="10"/>
      <c r="R38" s="10"/>
      <c r="S38" s="10"/>
      <c r="T38" s="10"/>
      <c r="U38" s="10"/>
      <c r="W38" s="57" t="s">
        <v>23</v>
      </c>
      <c r="X38" s="58">
        <v>0</v>
      </c>
      <c r="Y38" s="45" t="s">
        <v>22</v>
      </c>
      <c r="Z38" s="59">
        <v>0</v>
      </c>
      <c r="AA38" s="89">
        <f>AA48/X34*100</f>
        <v>-22.006815421707383</v>
      </c>
      <c r="AB38" t="s">
        <v>70</v>
      </c>
    </row>
    <row r="39" spans="2:42" x14ac:dyDescent="0.3">
      <c r="B39" t="s">
        <v>72</v>
      </c>
      <c r="C39" s="6"/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W39" s="57" t="s">
        <v>24</v>
      </c>
      <c r="X39" s="58">
        <v>5</v>
      </c>
      <c r="Y39" s="45" t="s">
        <v>27</v>
      </c>
      <c r="Z39" s="59">
        <v>180</v>
      </c>
      <c r="AA39" s="60">
        <v>77</v>
      </c>
    </row>
    <row r="40" spans="2:42" x14ac:dyDescent="0.3">
      <c r="B40" t="s">
        <v>67</v>
      </c>
      <c r="C40" s="6" t="s">
        <v>68</v>
      </c>
      <c r="D40" s="6" t="s">
        <v>69</v>
      </c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W40" s="19"/>
      <c r="X40" s="30" t="s">
        <v>53</v>
      </c>
      <c r="Y40" s="30"/>
      <c r="Z40" s="61"/>
      <c r="AA40" s="89">
        <f>(AA39-AA38)/(X39-X38)</f>
        <v>19.801363084341478</v>
      </c>
    </row>
    <row r="41" spans="2:42" x14ac:dyDescent="0.3">
      <c r="B41" s="73">
        <v>87</v>
      </c>
      <c r="C41" s="6">
        <f>B41/180*(2.4-0.53)+0.53</f>
        <v>1.4338333333333333</v>
      </c>
      <c r="D41" s="88">
        <f>(C41-1)*180</f>
        <v>78.089999999999989</v>
      </c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W41" s="19"/>
      <c r="X41" s="30"/>
      <c r="Y41" s="30"/>
      <c r="Z41" s="61"/>
      <c r="AA41" s="89">
        <f>AA39-AA40*(X39-X38)</f>
        <v>-22.006815421707387</v>
      </c>
    </row>
    <row r="42" spans="2:42" ht="15" thickBot="1" x14ac:dyDescent="0.35">
      <c r="B42" s="73">
        <v>90</v>
      </c>
      <c r="C42" s="6">
        <f t="shared" ref="C42:C47" si="79">B42/180*(2.4-0.53)+0.53</f>
        <v>1.4649999999999999</v>
      </c>
      <c r="D42" s="88">
        <f t="shared" ref="D42:D47" si="80">(C42-1)*180</f>
        <v>83.699999999999974</v>
      </c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W42" s="21"/>
      <c r="X42" s="32"/>
      <c r="Y42" s="32"/>
      <c r="Z42" s="47"/>
      <c r="AA42" s="48" t="s">
        <v>19</v>
      </c>
    </row>
    <row r="43" spans="2:42" x14ac:dyDescent="0.3">
      <c r="B43" s="73">
        <v>100</v>
      </c>
      <c r="C43" s="6">
        <f t="shared" si="79"/>
        <v>1.568888888888889</v>
      </c>
      <c r="D43" s="88">
        <f t="shared" si="80"/>
        <v>102.40000000000002</v>
      </c>
      <c r="E43" s="6"/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</row>
    <row r="44" spans="2:42" ht="15" thickBot="1" x14ac:dyDescent="0.35">
      <c r="B44" s="73">
        <v>110</v>
      </c>
      <c r="C44" s="6">
        <f t="shared" si="79"/>
        <v>1.6727777777777779</v>
      </c>
      <c r="D44" s="88">
        <f t="shared" si="80"/>
        <v>121.10000000000002</v>
      </c>
      <c r="E44" s="6"/>
      <c r="F44" s="6"/>
      <c r="G44" s="6"/>
      <c r="H44" s="6"/>
      <c r="I44" s="6"/>
      <c r="J44" s="6"/>
      <c r="K44" s="2"/>
      <c r="N44" s="3"/>
      <c r="O44" s="3"/>
      <c r="P44" s="3"/>
      <c r="Q44" s="3"/>
      <c r="R44" s="3"/>
      <c r="S44" s="3"/>
      <c r="T44" s="3"/>
      <c r="U44" s="3"/>
      <c r="W44" t="s">
        <v>51</v>
      </c>
    </row>
    <row r="45" spans="2:42" x14ac:dyDescent="0.3">
      <c r="B45" s="73">
        <v>114</v>
      </c>
      <c r="C45" s="6">
        <f t="shared" si="79"/>
        <v>1.7143333333333333</v>
      </c>
      <c r="D45" s="88">
        <f t="shared" si="80"/>
        <v>128.57999999999998</v>
      </c>
      <c r="W45" s="49" t="s">
        <v>18</v>
      </c>
      <c r="X45" s="50">
        <f>INDEX(LINEST($Q$4:$Q$12,$D$4:$D$12^{1,2},FALSE,FALSE),1)</f>
        <v>-793.67746909116534</v>
      </c>
      <c r="Y45" s="28"/>
      <c r="Z45" s="51" t="s">
        <v>21</v>
      </c>
      <c r="AA45" s="52">
        <f>INDEX(LINEST($P$4:$P$12,$Q$4:$Q$12),1)</f>
        <v>0.96677372377219584</v>
      </c>
      <c r="AH45" s="104"/>
      <c r="AI45" s="104"/>
      <c r="AO45" s="3"/>
      <c r="AP45" s="3"/>
    </row>
    <row r="46" spans="2:42" x14ac:dyDescent="0.3">
      <c r="B46" s="73">
        <v>127.5</v>
      </c>
      <c r="C46" s="6">
        <f t="shared" si="79"/>
        <v>1.8545833333333333</v>
      </c>
      <c r="D46" s="88">
        <f t="shared" si="80"/>
        <v>153.82499999999999</v>
      </c>
      <c r="W46" s="43"/>
      <c r="X46" s="54">
        <f>INDEX(LINEST($Q$4:$Q$12,$D$4:$D$12^{1,2},FALSE,FALSE),2)</f>
        <v>15077.422394393092</v>
      </c>
      <c r="Y46" s="30"/>
      <c r="Z46" s="44"/>
      <c r="AA46" s="46">
        <f>INDEX(LINEST($P$4:$P$12,$Q$4:$Q$12),2)</f>
        <v>10156.837922926017</v>
      </c>
    </row>
    <row r="47" spans="2:42" ht="15" thickBot="1" x14ac:dyDescent="0.35">
      <c r="B47" s="80">
        <v>136.4</v>
      </c>
      <c r="C47" s="6">
        <f t="shared" si="79"/>
        <v>1.9470444444444444</v>
      </c>
      <c r="D47" s="88">
        <f t="shared" si="80"/>
        <v>170.46799999999999</v>
      </c>
      <c r="W47" s="43"/>
      <c r="X47" s="54">
        <f>INDEX(LINEST($Q$4:$Q$12,$D$4:$D$12^{1,2},FALSE,FALSE),3)</f>
        <v>0</v>
      </c>
      <c r="Y47" s="30"/>
      <c r="Z47" s="44" t="s">
        <v>20</v>
      </c>
      <c r="AA47" s="46">
        <f>INDEX(LINEST($Q$4:$Q$12,$P$4:$P$12),1)</f>
        <v>1.0238441352501362</v>
      </c>
    </row>
    <row r="48" spans="2:42" x14ac:dyDescent="0.3">
      <c r="W48" s="43" t="s">
        <v>30</v>
      </c>
      <c r="X48" s="54">
        <f>INDEX(LINEST($P$4:$P$12,$M$4:$M$12),1)</f>
        <v>11950.74405383522</v>
      </c>
      <c r="Y48" s="30"/>
      <c r="Z48" s="44"/>
      <c r="AA48" s="46">
        <f>INDEX(LINEST($Q$4:$Q$12,$P$4:$P$12),2)</f>
        <v>-10222.520712018912</v>
      </c>
      <c r="AB48" t="s">
        <v>78</v>
      </c>
    </row>
    <row r="49" spans="23:28" x14ac:dyDescent="0.3">
      <c r="W49" s="43"/>
      <c r="X49" s="54">
        <f>INDEX(LINEST($P$4:$P$12,$M$4:$M$12),2)</f>
        <v>-18411.607189212871</v>
      </c>
      <c r="Y49" s="30"/>
      <c r="Z49" s="30"/>
      <c r="AA49" s="31"/>
    </row>
    <row r="50" spans="23:28" x14ac:dyDescent="0.3">
      <c r="W50" s="19"/>
      <c r="X50" s="30"/>
      <c r="Y50" s="30"/>
      <c r="Z50" s="30"/>
      <c r="AA50" s="31"/>
    </row>
    <row r="51" spans="23:28" ht="15" thickBot="1" x14ac:dyDescent="0.35">
      <c r="W51" s="107" t="s">
        <v>80</v>
      </c>
      <c r="X51" s="108">
        <f>EXP((0-$AE$34)/$AF$34)</f>
        <v>4.6675034779253295</v>
      </c>
      <c r="Y51" s="32"/>
      <c r="Z51" s="32"/>
      <c r="AA51" s="33"/>
      <c r="AB51" t="s">
        <v>86</v>
      </c>
    </row>
    <row r="63" spans="23:28" ht="15" thickBot="1" x14ac:dyDescent="0.35"/>
    <row r="64" spans="23:28" x14ac:dyDescent="0.3">
      <c r="W64" s="122" t="s">
        <v>90</v>
      </c>
      <c r="X64" s="124">
        <f>INDEX(LINEST($U$15:$U$23,$P$15:$P$23^{1,2}),3)</f>
        <v>35.326501767589406</v>
      </c>
      <c r="Y64" s="123">
        <f>INDEX(LINEST($U$15:$U$23,$P$15:$P$23^{1,2}),2)</f>
        <v>-4.3996514087817056E-3</v>
      </c>
      <c r="Z64" s="128">
        <f>INDEX(LINEST($U$15:$U$23,$P$15:$P$23^{1,2}),1)</f>
        <v>1.7373431198288038E-7</v>
      </c>
    </row>
    <row r="65" spans="1:26" ht="15" thickBot="1" x14ac:dyDescent="0.35">
      <c r="W65" s="125" t="s">
        <v>92</v>
      </c>
      <c r="X65" s="126">
        <f>INDEX(LINEST($U$4:$U$12,$P$4:$P$12^{1,2}),3)</f>
        <v>42.005705947307973</v>
      </c>
      <c r="Y65" s="127">
        <f>INDEX(LINEST($U$4:$U$12,$P$4:$P$12^{1,2}),2)</f>
        <v>-5.3102420280762355E-3</v>
      </c>
      <c r="Z65" s="121">
        <f>INDEX(LINEST($U$4:$U$12,$P$4:$P$12^{1,2}),1)</f>
        <v>2.0382568009495167E-7</v>
      </c>
    </row>
    <row r="66" spans="1:26" x14ac:dyDescent="0.3">
      <c r="W66" s="45"/>
      <c r="X66" s="30"/>
      <c r="Y66" s="30"/>
      <c r="Z66" s="30"/>
    </row>
    <row r="79" spans="1:26" x14ac:dyDescent="0.3">
      <c r="A79" s="1"/>
    </row>
    <row r="80" spans="1:26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2016-10-17T23:44:46Z</dcterms:modified>
</cp:coreProperties>
</file>