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CalArduino" sheetId="1" r:id="rId1"/>
    <sheet name="CalPhoton" sheetId="2" r:id="rId2"/>
  </sheets>
  <calcPr calcId="152511"/>
</workbook>
</file>

<file path=xl/calcChain.xml><?xml version="1.0" encoding="utf-8"?>
<calcChain xmlns="http://schemas.openxmlformats.org/spreadsheetml/2006/main">
  <c r="C27" i="2" l="1"/>
  <c r="D27" i="2" s="1"/>
  <c r="C28" i="2"/>
  <c r="D28" i="2"/>
  <c r="C29" i="2"/>
  <c r="D29" i="2" s="1"/>
  <c r="C30" i="2"/>
  <c r="D30" i="2"/>
  <c r="C31" i="2"/>
  <c r="D31" i="2" s="1"/>
  <c r="C32" i="2"/>
  <c r="D32" i="2"/>
  <c r="C33" i="2"/>
  <c r="D33" i="2" s="1"/>
  <c r="D28" i="1"/>
  <c r="D29" i="1"/>
  <c r="D30" i="1"/>
  <c r="D31" i="1"/>
  <c r="D32" i="1"/>
  <c r="D33" i="1"/>
  <c r="D27" i="1"/>
  <c r="C28" i="1"/>
  <c r="C29" i="1"/>
  <c r="C30" i="1"/>
  <c r="C31" i="1"/>
  <c r="C32" i="1"/>
  <c r="C33" i="1"/>
  <c r="C27" i="1"/>
  <c r="AB23" i="2" l="1"/>
  <c r="AB22" i="2"/>
  <c r="AB20" i="2"/>
  <c r="AB19" i="2"/>
  <c r="AB18" i="2"/>
  <c r="AB17" i="2"/>
  <c r="AK13" i="2"/>
  <c r="AK14" i="2" s="1"/>
  <c r="AB26" i="2" s="1"/>
  <c r="N8" i="2"/>
  <c r="P8" i="2" s="1"/>
  <c r="M8" i="2"/>
  <c r="O8" i="2" s="1"/>
  <c r="K8" i="2"/>
  <c r="L8" i="2" s="1"/>
  <c r="Y8" i="2"/>
  <c r="AB7" i="2"/>
  <c r="AB21" i="2" s="1"/>
  <c r="N7" i="2"/>
  <c r="P7" i="2" s="1"/>
  <c r="M7" i="2"/>
  <c r="O7" i="2" s="1"/>
  <c r="K7" i="2"/>
  <c r="T7" i="2" s="1"/>
  <c r="J7" i="2"/>
  <c r="Y7" i="2" s="1"/>
  <c r="N6" i="2"/>
  <c r="P6" i="2" s="1"/>
  <c r="M6" i="2"/>
  <c r="O6" i="2" s="1"/>
  <c r="K6" i="2"/>
  <c r="T6" i="2" s="1"/>
  <c r="J6" i="2"/>
  <c r="Y6" i="2" s="1"/>
  <c r="N5" i="2"/>
  <c r="P5" i="2" s="1"/>
  <c r="M5" i="2"/>
  <c r="O5" i="2" s="1"/>
  <c r="K5" i="2"/>
  <c r="T5" i="2" s="1"/>
  <c r="J5" i="2"/>
  <c r="Y5" i="2" s="1"/>
  <c r="N4" i="2"/>
  <c r="P4" i="2" s="1"/>
  <c r="M4" i="2"/>
  <c r="O4" i="2" s="1"/>
  <c r="Q4" i="2" s="1"/>
  <c r="K4" i="2"/>
  <c r="T4" i="2" s="1"/>
  <c r="J4" i="2"/>
  <c r="Y4" i="2" s="1"/>
  <c r="N3" i="2"/>
  <c r="P3" i="2" s="1"/>
  <c r="M3" i="2"/>
  <c r="O3" i="2" s="1"/>
  <c r="Q3" i="2" s="1"/>
  <c r="K3" i="2"/>
  <c r="T3" i="2" s="1"/>
  <c r="J3" i="2"/>
  <c r="Y3" i="2" s="1"/>
  <c r="N2" i="2"/>
  <c r="P2" i="2" s="1"/>
  <c r="M2" i="2"/>
  <c r="O2" i="2" s="1"/>
  <c r="K2" i="2"/>
  <c r="T2" i="2" s="1"/>
  <c r="J2" i="2"/>
  <c r="Y2" i="2" s="1"/>
  <c r="Y1" i="2"/>
  <c r="Q5" i="2" l="1"/>
  <c r="Q6" i="2"/>
  <c r="Q7" i="2"/>
  <c r="T8" i="2"/>
  <c r="Q8" i="2"/>
  <c r="R5" i="2"/>
  <c r="AB12" i="2"/>
  <c r="AB24" i="2" s="1"/>
  <c r="AB11" i="2"/>
  <c r="AC24" i="2" s="1"/>
  <c r="AB10" i="2"/>
  <c r="R2" i="2"/>
  <c r="R7" i="2"/>
  <c r="R4" i="2"/>
  <c r="Q2" i="2"/>
  <c r="R6" i="2"/>
  <c r="R3" i="2"/>
  <c r="R8" i="2"/>
  <c r="AC26" i="2"/>
  <c r="L2" i="2"/>
  <c r="L3" i="2"/>
  <c r="L4" i="2"/>
  <c r="L5" i="2"/>
  <c r="L6" i="2"/>
  <c r="L7" i="2"/>
  <c r="AD24" i="2" l="1"/>
  <c r="W8" i="2"/>
  <c r="X8" i="2" s="1"/>
  <c r="W7" i="2"/>
  <c r="X7" i="2" s="1"/>
  <c r="W6" i="2"/>
  <c r="X6" i="2" s="1"/>
  <c r="W5" i="2"/>
  <c r="X5" i="2" s="1"/>
  <c r="W4" i="2"/>
  <c r="X4" i="2" s="1"/>
  <c r="W3" i="2"/>
  <c r="X3" i="2" s="1"/>
  <c r="W2" i="2"/>
  <c r="X2" i="2" s="1"/>
  <c r="AB28" i="1" l="1"/>
  <c r="AB27" i="1"/>
  <c r="AB33" i="1"/>
  <c r="AB32" i="1"/>
  <c r="AB29" i="1"/>
  <c r="AB30" i="1"/>
  <c r="Y1" i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2" i="1"/>
  <c r="O2" i="1" s="1"/>
  <c r="AK23" i="1" l="1"/>
  <c r="AK24" i="1" l="1"/>
  <c r="AB36" i="1" s="1"/>
  <c r="AC36" i="1"/>
  <c r="K3" i="1" l="1"/>
  <c r="K4" i="1"/>
  <c r="K5" i="1"/>
  <c r="K6" i="1"/>
  <c r="K7" i="1"/>
  <c r="K8" i="1"/>
  <c r="K2" i="1"/>
  <c r="AB17" i="1"/>
  <c r="AB31" i="1" s="1"/>
  <c r="Q5" i="1" l="1"/>
  <c r="Q2" i="1"/>
  <c r="Q8" i="1"/>
  <c r="Q7" i="1"/>
  <c r="Q6" i="1"/>
  <c r="Q4" i="1"/>
  <c r="Q3" i="1"/>
  <c r="L3" i="1"/>
  <c r="T3" i="1"/>
  <c r="L2" i="1"/>
  <c r="T2" i="1"/>
  <c r="L4" i="1"/>
  <c r="T4" i="1"/>
  <c r="L8" i="1"/>
  <c r="T8" i="1"/>
  <c r="L5" i="1"/>
  <c r="T5" i="1"/>
  <c r="L7" i="1"/>
  <c r="T7" i="1"/>
  <c r="L6" i="1"/>
  <c r="T6" i="1"/>
  <c r="J3" i="1"/>
  <c r="J4" i="1"/>
  <c r="J5" i="1"/>
  <c r="J6" i="1"/>
  <c r="J7" i="1"/>
  <c r="J8" i="1"/>
  <c r="J2" i="1"/>
  <c r="Y2" i="1" l="1"/>
  <c r="Z2" i="1" s="1"/>
  <c r="AA2" i="1" s="1"/>
  <c r="AB2" i="1" s="1"/>
  <c r="Y8" i="1"/>
  <c r="Z8" i="1" s="1"/>
  <c r="AA8" i="1" s="1"/>
  <c r="AB8" i="1" s="1"/>
  <c r="Y4" i="1"/>
  <c r="Z4" i="1" s="1"/>
  <c r="AA4" i="1" s="1"/>
  <c r="AB4" i="1" s="1"/>
  <c r="AD4" i="1" s="1"/>
  <c r="AE4" i="1" s="1"/>
  <c r="AF4" i="1" s="1"/>
  <c r="Y3" i="1"/>
  <c r="Z3" i="1" s="1"/>
  <c r="AA3" i="1" s="1"/>
  <c r="AB3" i="1" s="1"/>
  <c r="AD3" i="1" s="1"/>
  <c r="Y5" i="1"/>
  <c r="Z5" i="1" s="1"/>
  <c r="AA5" i="1" s="1"/>
  <c r="AB5" i="1" s="1"/>
  <c r="AD5" i="1" s="1"/>
  <c r="AE5" i="1" s="1"/>
  <c r="AF5" i="1" s="1"/>
  <c r="Y7" i="1"/>
  <c r="Z7" i="1" s="1"/>
  <c r="AA7" i="1" s="1"/>
  <c r="AB7" i="1" s="1"/>
  <c r="Y6" i="1"/>
  <c r="Z6" i="1" s="1"/>
  <c r="AA6" i="1" s="1"/>
  <c r="AB6" i="1" s="1"/>
  <c r="AD6" i="1" s="1"/>
  <c r="AE6" i="1" s="1"/>
  <c r="AF6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2" i="1"/>
  <c r="P2" i="1" s="1"/>
  <c r="AD9" i="1" l="1"/>
  <c r="AE3" i="1"/>
  <c r="AE21" i="1"/>
  <c r="AE20" i="1"/>
  <c r="AE23" i="1"/>
  <c r="AE22" i="1"/>
  <c r="AB20" i="1"/>
  <c r="AD34" i="1" s="1"/>
  <c r="AB21" i="1"/>
  <c r="AC34" i="1" s="1"/>
  <c r="AB22" i="1"/>
  <c r="AB34" i="1" s="1"/>
  <c r="R2" i="1"/>
  <c r="R4" i="1"/>
  <c r="R3" i="1"/>
  <c r="R7" i="1"/>
  <c r="R8" i="1"/>
  <c r="R6" i="1"/>
  <c r="R5" i="1"/>
  <c r="AE9" i="1" l="1"/>
  <c r="AF3" i="1"/>
  <c r="AF9" i="1" s="1"/>
  <c r="AC37" i="1"/>
  <c r="AE12" i="2"/>
  <c r="AC27" i="2" s="1"/>
  <c r="AB37" i="1"/>
  <c r="AE13" i="2"/>
  <c r="AB27" i="2" s="1"/>
  <c r="AC38" i="1"/>
  <c r="P18" i="2"/>
  <c r="Q18" i="2" s="1"/>
  <c r="R18" i="2" s="1"/>
  <c r="P15" i="2"/>
  <c r="Q15" i="2" s="1"/>
  <c r="R15" i="2" s="1"/>
  <c r="P12" i="2"/>
  <c r="Q12" i="2" s="1"/>
  <c r="R12" i="2" s="1"/>
  <c r="P13" i="2"/>
  <c r="Q13" i="2" s="1"/>
  <c r="R13" i="2" s="1"/>
  <c r="P14" i="2"/>
  <c r="Q14" i="2" s="1"/>
  <c r="R14" i="2" s="1"/>
  <c r="P17" i="2"/>
  <c r="Q17" i="2" s="1"/>
  <c r="R17" i="2" s="1"/>
  <c r="AE10" i="2"/>
  <c r="P16" i="2"/>
  <c r="Q16" i="2" s="1"/>
  <c r="R16" i="2" s="1"/>
  <c r="AB38" i="1"/>
  <c r="AE11" i="2"/>
  <c r="AB28" i="2" s="1"/>
  <c r="S6" i="1"/>
  <c r="U6" i="1" s="1"/>
  <c r="S5" i="1"/>
  <c r="U5" i="1" s="1"/>
  <c r="S3" i="1"/>
  <c r="U3" i="1" s="1"/>
  <c r="S7" i="1"/>
  <c r="U7" i="1" s="1"/>
  <c r="S2" i="1"/>
  <c r="U2" i="1" s="1"/>
  <c r="S4" i="1"/>
  <c r="U4" i="1" s="1"/>
  <c r="S8" i="1"/>
  <c r="U8" i="1" s="1"/>
  <c r="AC28" i="2" l="1"/>
  <c r="S2" i="2"/>
  <c r="S4" i="2"/>
  <c r="U4" i="2" s="1"/>
  <c r="S3" i="2"/>
  <c r="U3" i="2" s="1"/>
  <c r="S8" i="2"/>
  <c r="U8" i="2" s="1"/>
  <c r="S6" i="2"/>
  <c r="U6" i="2" s="1"/>
  <c r="S7" i="2"/>
  <c r="U7" i="2" s="1"/>
  <c r="S5" i="2"/>
  <c r="U5" i="2" s="1"/>
  <c r="AB24" i="1"/>
  <c r="AB35" i="1" s="1"/>
  <c r="AB23" i="1"/>
  <c r="AC35" i="1" s="1"/>
  <c r="W6" i="1"/>
  <c r="X6" i="1" s="1"/>
  <c r="W3" i="1"/>
  <c r="X3" i="1" s="1"/>
  <c r="W7" i="1"/>
  <c r="X7" i="1" s="1"/>
  <c r="W4" i="1"/>
  <c r="X4" i="1" s="1"/>
  <c r="W8" i="1"/>
  <c r="X8" i="1" s="1"/>
  <c r="W5" i="1"/>
  <c r="X5" i="1" s="1"/>
  <c r="W2" i="1"/>
  <c r="X2" i="1" s="1"/>
  <c r="U2" i="2" l="1"/>
  <c r="AB13" i="2"/>
  <c r="AB14" i="2"/>
  <c r="AB25" i="2" s="1"/>
  <c r="V4" i="1"/>
  <c r="V6" i="1"/>
  <c r="V2" i="1"/>
  <c r="V5" i="1"/>
  <c r="V7" i="1"/>
  <c r="V8" i="1"/>
  <c r="V3" i="1"/>
  <c r="AC25" i="2" l="1"/>
  <c r="V6" i="2"/>
  <c r="V7" i="2"/>
  <c r="V4" i="2"/>
  <c r="V8" i="2"/>
  <c r="V3" i="2"/>
  <c r="V5" i="2"/>
  <c r="V2" i="2"/>
</calcChain>
</file>

<file path=xl/sharedStrings.xml><?xml version="1.0" encoding="utf-8"?>
<sst xmlns="http://schemas.openxmlformats.org/spreadsheetml/2006/main" count="166" uniqueCount="77">
  <si>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</si>
  <si>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</si>
  <si>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</si>
  <si>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</si>
  <si>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</si>
  <si>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</si>
  <si>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</si>
  <si>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</si>
  <si>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</si>
  <si>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</si>
  <si>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</si>
  <si>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</si>
  <si>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</si>
  <si>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</si>
  <si>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</si>
  <si>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ln(throttle)</t>
  </si>
  <si>
    <t>pot --&gt; pcnfRef</t>
  </si>
  <si>
    <t>v4 --&gt; nf --&gt; pcnf</t>
  </si>
  <si>
    <t>Charger V, vdc</t>
  </si>
  <si>
    <t>Charger I, A</t>
  </si>
  <si>
    <t>Charger Pwr, W</t>
  </si>
  <si>
    <t>open loop: pot --&gt;  pcnfRef --&gt; nfRef --&gt; ngRef -ln-&gt; throttle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</si>
  <si>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</si>
  <si>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</si>
  <si>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</si>
  <si>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</si>
  <si>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</si>
  <si>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</si>
  <si>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</si>
  <si>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</si>
  <si>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</si>
  <si>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</si>
  <si>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</si>
  <si>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</si>
  <si>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</si>
  <si>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</si>
  <si>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</si>
  <si>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</si>
  <si>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</si>
  <si>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</si>
  <si>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</si>
  <si>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</si>
  <si>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</si>
  <si>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</si>
  <si>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</si>
  <si>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</si>
  <si>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</si>
  <si>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</si>
  <si>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</si>
  <si>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</si>
  <si>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Strategy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</si>
  <si>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</si>
  <si>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</si>
  <si>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</si>
  <si>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</si>
  <si>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</si>
  <si>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</si>
  <si>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Entries for potESC.ino</t>
  </si>
  <si>
    <t>Test Data</t>
  </si>
  <si>
    <t>cover observed Nf,% and Throttle, deg ranges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</si>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</sst>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1" fontId="0" fillId="0" borderId="8" xfId="0" applyNumberFormat="1" applyFill="1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CalArduino!$J$2:$J$30</c:f>
              <c:numCache>
                <c:formatCode>0.0</c:formatCode>
                <c:ptCount val="29"/>
                <c:pt idx="0">
                  <c:v>11.64</c:v>
                </c:pt>
                <c:pt idx="1">
                  <c:v>18.12</c:v>
                </c:pt>
                <c:pt idx="2">
                  <c:v>36</c:v>
                </c:pt>
                <c:pt idx="3">
                  <c:v>55.199999999999996</c:v>
                </c:pt>
                <c:pt idx="4">
                  <c:v>64.800000000000011</c:v>
                </c:pt>
                <c:pt idx="5">
                  <c:v>104.39999999999999</c:v>
                </c:pt>
                <c:pt idx="6">
                  <c:v>156</c:v>
                </c:pt>
              </c:numCache>
            </c:numRef>
          </c:xVal>
          <c:yVal>
            <c:numRef>
              <c:f>CalArduino!$Q$2:$Q$30</c:f>
              <c:numCache>
                <c:formatCode>0</c:formatCode>
                <c:ptCount val="29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8976"/>
        <c:axId val="80791328"/>
      </c:scatterChart>
      <c:valAx>
        <c:axId val="807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1328"/>
        <c:crosses val="autoZero"/>
        <c:crossBetween val="midCat"/>
      </c:valAx>
      <c:valAx>
        <c:axId val="807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CalArduino!$O$2:$O$8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CalArduino!$P$2:$P$8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4272"/>
        <c:axId val="80784664"/>
      </c:scatterChart>
      <c:valAx>
        <c:axId val="807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4664"/>
        <c:crosses val="autoZero"/>
        <c:crossBetween val="midCat"/>
      </c:valAx>
      <c:valAx>
        <c:axId val="8078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0"/>
          </c:trendline>
          <c:xVal>
            <c:numRef>
              <c:f>CalArduino!$K$2:$K$8</c:f>
              <c:numCache>
                <c:formatCode>General</c:formatCode>
                <c:ptCount val="7"/>
                <c:pt idx="0">
                  <c:v>78.089999999999989</c:v>
                </c:pt>
                <c:pt idx="1">
                  <c:v>83.699999999999974</c:v>
                </c:pt>
                <c:pt idx="2">
                  <c:v>102.40000000000002</c:v>
                </c:pt>
                <c:pt idx="3">
                  <c:v>121.10000000000002</c:v>
                </c:pt>
                <c:pt idx="4">
                  <c:v>128.57999999999998</c:v>
                </c:pt>
                <c:pt idx="5">
                  <c:v>153.82499999999999</c:v>
                </c:pt>
                <c:pt idx="6">
                  <c:v>170.46799999999999</c:v>
                </c:pt>
              </c:numCache>
            </c:numRef>
          </c:xVal>
          <c:y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31744"/>
        <c:axId val="225401784"/>
      </c:scatterChart>
      <c:valAx>
        <c:axId val="21973174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ln(Throttle)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01784"/>
        <c:crosses val="autoZero"/>
        <c:crossBetween val="midCat"/>
      </c:valAx>
      <c:valAx>
        <c:axId val="2254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CalArduino!$Y$1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CalArduino!$Y$2:$Y$8</c:f>
              <c:numCache>
                <c:formatCode>General</c:formatCode>
                <c:ptCount val="7"/>
                <c:pt idx="0">
                  <c:v>11.64</c:v>
                </c:pt>
                <c:pt idx="1">
                  <c:v>18.12</c:v>
                </c:pt>
                <c:pt idx="2">
                  <c:v>36</c:v>
                </c:pt>
                <c:pt idx="3">
                  <c:v>55.199999999999996</c:v>
                </c:pt>
                <c:pt idx="4">
                  <c:v>64.800000000000011</c:v>
                </c:pt>
                <c:pt idx="5">
                  <c:v>104.39999999999999</c:v>
                </c:pt>
                <c:pt idx="6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98648"/>
        <c:axId val="225401000"/>
      </c:scatterChart>
      <c:valAx>
        <c:axId val="225398648"/>
        <c:scaling>
          <c:orientation val="minMax"/>
          <c:min val="20"/>
        </c:scaling>
        <c:delete val="0"/>
        <c:axPos val="b"/>
        <c:numFmt formatCode="0" sourceLinked="1"/>
        <c:majorTickMark val="out"/>
        <c:minorTickMark val="none"/>
        <c:tickLblPos val="nextTo"/>
        <c:crossAx val="225401000"/>
        <c:crosses val="autoZero"/>
        <c:crossBetween val="midCat"/>
      </c:valAx>
      <c:valAx>
        <c:axId val="22540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398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CalArduino!$AC$1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CalArduino!$AC$2:$AC$8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01392"/>
        <c:axId val="225397472"/>
      </c:scatterChart>
      <c:valAx>
        <c:axId val="225401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5397472"/>
        <c:crosses val="autoZero"/>
        <c:crossBetween val="midCat"/>
      </c:valAx>
      <c:valAx>
        <c:axId val="2253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0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CalPhoton!$J$2:$J$30</c:f>
              <c:numCache>
                <c:formatCode>0.0</c:formatCode>
                <c:ptCount val="29"/>
                <c:pt idx="0">
                  <c:v>18.954000000000001</c:v>
                </c:pt>
                <c:pt idx="1">
                  <c:v>23.065999999999999</c:v>
                </c:pt>
                <c:pt idx="2">
                  <c:v>44.176200000000001</c:v>
                </c:pt>
                <c:pt idx="3">
                  <c:v>77.8596</c:v>
                </c:pt>
                <c:pt idx="4">
                  <c:v>100.6914</c:v>
                </c:pt>
                <c:pt idx="5">
                  <c:v>155.69400000000002</c:v>
                </c:pt>
              </c:numCache>
            </c:numRef>
          </c:xVal>
          <c:yVal>
            <c:numRef>
              <c:f>CalPhoton!$Q$2:$Q$30</c:f>
              <c:numCache>
                <c:formatCode>0</c:formatCode>
                <c:ptCount val="29"/>
                <c:pt idx="0">
                  <c:v>35.535006556692458</c:v>
                </c:pt>
                <c:pt idx="1">
                  <c:v>41.694986197572746</c:v>
                </c:pt>
                <c:pt idx="2">
                  <c:v>58.497191347429769</c:v>
                </c:pt>
                <c:pt idx="3">
                  <c:v>71.633456576421381</c:v>
                </c:pt>
                <c:pt idx="4">
                  <c:v>78.025081169228997</c:v>
                </c:pt>
                <c:pt idx="5">
                  <c:v>87.695216353429245</c:v>
                </c:pt>
                <c:pt idx="6">
                  <c:v>99.436452599869568</c:v>
                </c:pt>
                <c:pt idx="9">
                  <c:v>0</c:v>
                </c:pt>
                <c:pt idx="10">
                  <c:v>262.41235611095965</c:v>
                </c:pt>
                <c:pt idx="11">
                  <c:v>307.90143653592179</c:v>
                </c:pt>
                <c:pt idx="12">
                  <c:v>431.97925918101981</c:v>
                </c:pt>
                <c:pt idx="13">
                  <c:v>528.98552548741941</c:v>
                </c:pt>
                <c:pt idx="14">
                  <c:v>576.18521478815251</c:v>
                </c:pt>
                <c:pt idx="15">
                  <c:v>647.59544384070819</c:v>
                </c:pt>
                <c:pt idx="16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99040"/>
        <c:axId val="225402568"/>
      </c:scatterChart>
      <c:valAx>
        <c:axId val="2253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02568"/>
        <c:crosses val="autoZero"/>
        <c:crossBetween val="midCat"/>
      </c:valAx>
      <c:valAx>
        <c:axId val="225402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9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10</xdr:row>
      <xdr:rowOff>60960</xdr:rowOff>
    </xdr:from>
    <xdr:to>
      <xdr:col>12</xdr:col>
      <xdr:colOff>358140</xdr:colOff>
      <xdr:row>24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10</xdr:row>
      <xdr:rowOff>22860</xdr:rowOff>
    </xdr:from>
    <xdr:to>
      <xdr:col>19</xdr:col>
      <xdr:colOff>76200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422910</xdr:colOff>
      <xdr:row>21</xdr:row>
      <xdr:rowOff>53346</xdr:rowOff>
    </xdr:from>
    <xdr:to>
      <xdr:col>23</xdr:col>
      <xdr:colOff>102870</xdr:colOff>
      <xdr:row>36</xdr:row>
      <xdr:rowOff>45726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280035</xdr:colOff>
      <xdr:row>37</xdr:row>
      <xdr:rowOff>62871</xdr:rowOff>
    </xdr:from>
    <xdr:to>
      <xdr:col>23</xdr:col>
      <xdr:colOff>80010</xdr:colOff>
      <xdr:row>51</xdr:row>
      <xdr:rowOff>131451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11</xdr:row>
      <xdr:rowOff>76206</xdr:rowOff>
    </xdr:from>
    <xdr:to>
      <xdr:col>25</xdr:col>
      <xdr:colOff>114300</xdr:colOff>
      <xdr:row>24</xdr:row>
      <xdr:rowOff>161931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10</xdr:row>
      <xdr:rowOff>60960</xdr:rowOff>
    </xdr:from>
    <xdr:to>
      <xdr:col>12</xdr:col>
      <xdr:colOff>358140</xdr:colOff>
      <xdr:row>24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tabSelected="1" topLeftCell="M1" workbookViewId="0">
      <pane ySplit="2" topLeftCell="A3" activePane="bottomLeft" state="frozen"/>
      <selection pane="bottomLeft" activeCell="X2" sqref="X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6640625" style="1" customWidth="1"/>
    <col min="14" max="14" width="4.332031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7.6640625" style="1" customWidth="1"/>
    <col min="20" max="20" width="8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10.6640625" customWidth="1"/>
    <col min="29" max="29" width="6.5546875" bestFit="1" customWidth="1"/>
    <col min="30" max="30" width="9.6640625" customWidth="1"/>
    <col min="31" max="31" width="8.5546875" bestFit="1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38" ht="57.6" x14ac:dyDescent="0.3">
      <c r="A1" t="s">
        <v>58</v>
      </c>
      <c r="B1" s="77" t="s">
        <v>73</v>
      </c>
      <c r="C1" s="78" t="s">
        <v>0</v>
      </c>
      <c r="D1" s="78" t="s">
        <v>1</v>
      </c>
      <c r="E1" s="78" t="s">
        <v>18</v>
      </c>
      <c r="F1" s="78" t="s">
        <v>19</v>
      </c>
      <c r="G1" s="78" t="s">
        <v>38</v>
      </c>
      <c r="H1" s="78" t="s">
        <v>37</v>
      </c>
      <c r="I1" s="79" t="s">
        <v>2</v>
      </c>
      <c r="J1" s="4" t="s">
        <v>20</v>
      </c>
      <c r="K1" s="4" t="s">
        <v>10</v>
      </c>
      <c r="L1" s="4" t="s">
        <v>15</v>
      </c>
      <c r="M1" s="4" t="s">
        <v>40</v>
      </c>
      <c r="N1" s="4" t="s">
        <v>39</v>
      </c>
      <c r="O1" s="4" t="s">
        <v>41</v>
      </c>
      <c r="P1" s="4" t="s">
        <v>7</v>
      </c>
      <c r="Q1" s="4" t="s">
        <v>42</v>
      </c>
      <c r="R1" s="4" t="s">
        <v>8</v>
      </c>
      <c r="S1" s="4" t="s">
        <v>11</v>
      </c>
      <c r="T1" s="4" t="s">
        <v>10</v>
      </c>
      <c r="U1" s="4" t="s">
        <v>12</v>
      </c>
      <c r="V1" s="4" t="s">
        <v>13</v>
      </c>
      <c r="W1" s="4" t="s">
        <v>9</v>
      </c>
      <c r="X1" s="4" t="s">
        <v>35</v>
      </c>
      <c r="Y1" s="4" t="str">
        <f t="shared" ref="Y1:Y8" si="0">J1</f>
        <v>Charger Pwr, W</v>
      </c>
      <c r="Z1" s="4" t="s">
        <v>65</v>
      </c>
      <c r="AA1" s="4" t="s">
        <v>66</v>
      </c>
      <c r="AB1" s="4" t="s">
        <v>67</v>
      </c>
      <c r="AC1" s="4" t="s">
        <v>68</v>
      </c>
      <c r="AD1" s="4" t="s">
        <v>69</v>
      </c>
      <c r="AE1" s="4" t="s">
        <v>70</v>
      </c>
      <c r="AF1" s="4" t="s">
        <v>71</v>
      </c>
    </row>
    <row r="2" spans="1:38" x14ac:dyDescent="0.3">
      <c r="B2" s="80">
        <v>1.4338333333333333</v>
      </c>
      <c r="C2" s="76">
        <v>78.089999999999989</v>
      </c>
      <c r="D2" s="76">
        <v>0.5</v>
      </c>
      <c r="E2" s="76">
        <v>12</v>
      </c>
      <c r="F2" s="76">
        <v>0.97</v>
      </c>
      <c r="G2" s="76">
        <v>3840</v>
      </c>
      <c r="H2" s="76">
        <v>9150</v>
      </c>
      <c r="I2" s="81">
        <v>3.2</v>
      </c>
      <c r="J2" s="2">
        <f>E2*F2</f>
        <v>11.64</v>
      </c>
      <c r="K2" s="1">
        <f t="shared" ref="K2:K8" si="1">C2</f>
        <v>78.089999999999989</v>
      </c>
      <c r="L2" s="1">
        <f>LN(K2)</f>
        <v>4.3578620076745835</v>
      </c>
      <c r="M2" s="3">
        <f t="shared" ref="M2:N8" si="2">1/G2/0.000001</f>
        <v>260.41666666666669</v>
      </c>
      <c r="N2" s="3">
        <f t="shared" si="2"/>
        <v>109.2896174863388</v>
      </c>
      <c r="O2" s="3">
        <f t="shared" ref="O2:P8" si="3">M2*60/$AB$12</f>
        <v>7812.5000000000009</v>
      </c>
      <c r="P2" s="3">
        <f t="shared" si="3"/>
        <v>3278.688524590164</v>
      </c>
      <c r="Q2" s="3">
        <f t="shared" ref="Q2:R8" si="4">O2/$AB$17*100</f>
        <v>35.26475694444445</v>
      </c>
      <c r="R2" s="3">
        <f t="shared" si="4"/>
        <v>14.799635701275045</v>
      </c>
      <c r="S2" s="3">
        <f t="shared" ref="S2:S8" si="5">P2*$AE$20+$AE$21</f>
        <v>7656.5024245703744</v>
      </c>
      <c r="T2" s="3">
        <f t="shared" ref="T2:T8" si="6">K2</f>
        <v>78.089999999999989</v>
      </c>
      <c r="U2" s="3">
        <f t="shared" ref="U2:U8" si="7">S2/$AB$17*100</f>
        <v>34.560601222019052</v>
      </c>
      <c r="V2" s="3">
        <f t="shared" ref="V2:V8" si="8">$AB$23*LN(C2)+$AB$24</f>
        <v>7881.4473423580348</v>
      </c>
      <c r="W2" s="3">
        <f t="shared" ref="W2:W8" si="9">D2*D2*$AB$20+D2*$AB$21+$AB$22</f>
        <v>3494.6201834301496</v>
      </c>
      <c r="X2" s="3">
        <f t="shared" ref="X2:X8" si="10">W2/$AB$17*100</f>
        <v>15.774327216872205</v>
      </c>
      <c r="Y2" s="4">
        <f t="shared" si="0"/>
        <v>11.64</v>
      </c>
      <c r="Z2">
        <f>Y2*0.001341022</f>
        <v>1.5609496080000002E-2</v>
      </c>
      <c r="AA2">
        <f>Z2/O2*5252</f>
        <v>1.0493577396756479E-2</v>
      </c>
      <c r="AB2">
        <f>-AA2/2/O2</f>
        <v>-6.715889533924146E-7</v>
      </c>
    </row>
    <row r="3" spans="1:38" ht="13.95" customHeight="1" x14ac:dyDescent="0.3">
      <c r="B3" s="80">
        <v>1.4649999999999999</v>
      </c>
      <c r="C3" s="76">
        <v>83.699999999999974</v>
      </c>
      <c r="D3" s="76">
        <v>0.74199999999999999</v>
      </c>
      <c r="E3" s="76">
        <v>12</v>
      </c>
      <c r="F3" s="76">
        <v>1.51</v>
      </c>
      <c r="G3" s="76">
        <v>3180</v>
      </c>
      <c r="H3" s="76">
        <v>6060</v>
      </c>
      <c r="I3" s="81">
        <v>4.5999999999999996</v>
      </c>
      <c r="J3" s="2">
        <f t="shared" ref="J3:J8" si="11">E3*F3</f>
        <v>18.12</v>
      </c>
      <c r="K3" s="1">
        <f t="shared" si="1"/>
        <v>83.699999999999974</v>
      </c>
      <c r="L3" s="1">
        <f t="shared" ref="L3:L8" si="12">LN(K3)</f>
        <v>4.4272389774954295</v>
      </c>
      <c r="M3" s="3">
        <f t="shared" si="2"/>
        <v>314.46540880503147</v>
      </c>
      <c r="N3" s="3">
        <f t="shared" si="2"/>
        <v>165.01650165016503</v>
      </c>
      <c r="O3" s="3">
        <f t="shared" si="3"/>
        <v>9433.962264150945</v>
      </c>
      <c r="P3" s="3">
        <f t="shared" si="3"/>
        <v>4950.4950495049507</v>
      </c>
      <c r="Q3" s="3">
        <f t="shared" si="4"/>
        <v>42.58385744234802</v>
      </c>
      <c r="R3" s="3">
        <f t="shared" si="4"/>
        <v>22.345984598459847</v>
      </c>
      <c r="S3" s="3">
        <f t="shared" si="5"/>
        <v>9428.9612019182605</v>
      </c>
      <c r="T3" s="3">
        <f t="shared" si="6"/>
        <v>83.699999999999974</v>
      </c>
      <c r="U3" s="3">
        <f t="shared" si="7"/>
        <v>42.561283203103258</v>
      </c>
      <c r="V3" s="3">
        <f t="shared" si="8"/>
        <v>9017.3859752740245</v>
      </c>
      <c r="W3" s="3">
        <f t="shared" si="9"/>
        <v>5100.5484588755035</v>
      </c>
      <c r="X3" s="3">
        <f t="shared" si="10"/>
        <v>23.02330901575748</v>
      </c>
      <c r="Y3" s="4">
        <f t="shared" si="0"/>
        <v>18.12</v>
      </c>
      <c r="Z3">
        <f t="shared" ref="Z3:Z8" si="13">Y3*0.001341022</f>
        <v>2.4299318640000005E-2</v>
      </c>
      <c r="AA3">
        <f t="shared" ref="AA3:AA8" si="14">Z3/O3*5252</f>
        <v>1.3527722278711681E-2</v>
      </c>
      <c r="AB3">
        <f t="shared" ref="AB3:AB8" si="15">-AA3/2/O3</f>
        <v>-7.1696928077171894E-7</v>
      </c>
      <c r="AC3">
        <v>0.18</v>
      </c>
      <c r="AD3">
        <f t="shared" ref="AD3:AD6" si="16">-AC3*AB3</f>
        <v>1.2905447053890941E-7</v>
      </c>
      <c r="AE3">
        <f t="shared" ref="AE3:AE6" si="17">AD3/6.66*2048.5</f>
        <v>3.9694907342185574E-5</v>
      </c>
      <c r="AF3">
        <f t="shared" ref="AF3:AF6" si="18">AE3*144</f>
        <v>5.716066657274723E-3</v>
      </c>
    </row>
    <row r="4" spans="1:38" ht="13.95" customHeight="1" x14ac:dyDescent="0.3">
      <c r="B4" s="80">
        <v>1.568888888888889</v>
      </c>
      <c r="C4" s="76">
        <v>102.40000000000002</v>
      </c>
      <c r="D4" s="76">
        <v>1.17</v>
      </c>
      <c r="E4" s="76">
        <v>12</v>
      </c>
      <c r="F4" s="76">
        <v>3</v>
      </c>
      <c r="G4" s="76">
        <v>2450</v>
      </c>
      <c r="H4" s="76">
        <v>3840</v>
      </c>
      <c r="I4" s="81">
        <v>7.4</v>
      </c>
      <c r="J4" s="2">
        <f t="shared" si="11"/>
        <v>36</v>
      </c>
      <c r="K4" s="1">
        <f t="shared" si="1"/>
        <v>102.40000000000002</v>
      </c>
      <c r="L4" s="1">
        <f t="shared" si="12"/>
        <v>4.6288867126054072</v>
      </c>
      <c r="M4" s="3">
        <f t="shared" si="2"/>
        <v>408.16326530612247</v>
      </c>
      <c r="N4" s="3">
        <f t="shared" si="2"/>
        <v>260.41666666666669</v>
      </c>
      <c r="O4" s="3">
        <f t="shared" si="3"/>
        <v>12244.897959183674</v>
      </c>
      <c r="P4" s="3">
        <f t="shared" si="3"/>
        <v>7812.5000000000009</v>
      </c>
      <c r="Q4" s="3">
        <f t="shared" si="4"/>
        <v>55.272108843537424</v>
      </c>
      <c r="R4" s="3">
        <f t="shared" si="4"/>
        <v>35.26475694444445</v>
      </c>
      <c r="S4" s="3">
        <f t="shared" si="5"/>
        <v>12463.275113078895</v>
      </c>
      <c r="T4" s="3">
        <f t="shared" si="6"/>
        <v>102.40000000000002</v>
      </c>
      <c r="U4" s="3">
        <f t="shared" si="7"/>
        <v>56.257839052092237</v>
      </c>
      <c r="V4" s="3">
        <f t="shared" si="8"/>
        <v>12319.050103052141</v>
      </c>
      <c r="W4" s="3">
        <f t="shared" si="9"/>
        <v>7804.2947828053293</v>
      </c>
      <c r="X4" s="3">
        <f t="shared" si="10"/>
        <v>35.227719505718504</v>
      </c>
      <c r="Y4" s="4">
        <f t="shared" si="0"/>
        <v>36</v>
      </c>
      <c r="Z4">
        <f t="shared" si="13"/>
        <v>4.8276792000000006E-2</v>
      </c>
      <c r="AA4">
        <f t="shared" si="14"/>
        <v>2.070655977936E-2</v>
      </c>
      <c r="AB4">
        <f t="shared" si="15"/>
        <v>-8.4551785765719992E-7</v>
      </c>
      <c r="AC4">
        <v>0.18</v>
      </c>
      <c r="AD4">
        <f t="shared" si="16"/>
        <v>1.5219321437829598E-7</v>
      </c>
      <c r="AE4">
        <f t="shared" si="17"/>
        <v>4.6811981930020919E-5</v>
      </c>
      <c r="AF4">
        <f t="shared" si="18"/>
        <v>6.7409253979230123E-3</v>
      </c>
    </row>
    <row r="5" spans="1:38" ht="13.95" customHeight="1" x14ac:dyDescent="0.3">
      <c r="B5" s="80">
        <v>1.6727777777777779</v>
      </c>
      <c r="C5" s="76">
        <v>121.10000000000002</v>
      </c>
      <c r="D5" s="76">
        <v>1.52</v>
      </c>
      <c r="E5" s="76">
        <v>12</v>
      </c>
      <c r="F5" s="76">
        <v>4.5999999999999996</v>
      </c>
      <c r="G5" s="76">
        <v>2000</v>
      </c>
      <c r="H5" s="76">
        <v>2980</v>
      </c>
      <c r="I5" s="81">
        <v>9.4</v>
      </c>
      <c r="J5" s="2">
        <f t="shared" si="11"/>
        <v>55.199999999999996</v>
      </c>
      <c r="K5" s="1">
        <f t="shared" si="1"/>
        <v>121.10000000000002</v>
      </c>
      <c r="L5" s="1">
        <f t="shared" si="12"/>
        <v>4.7966166505590468</v>
      </c>
      <c r="M5" s="3">
        <f t="shared" si="2"/>
        <v>500.00000000000006</v>
      </c>
      <c r="N5" s="3">
        <f t="shared" si="2"/>
        <v>335.57046979865771</v>
      </c>
      <c r="O5" s="3">
        <f t="shared" si="3"/>
        <v>15000.000000000002</v>
      </c>
      <c r="P5" s="3">
        <f t="shared" si="3"/>
        <v>10067.114093959732</v>
      </c>
      <c r="Q5" s="3">
        <f t="shared" si="4"/>
        <v>67.708333333333343</v>
      </c>
      <c r="R5" s="3">
        <f t="shared" si="4"/>
        <v>45.44183445190157</v>
      </c>
      <c r="S5" s="3">
        <f t="shared" si="5"/>
        <v>14853.629786790238</v>
      </c>
      <c r="T5" s="3">
        <f t="shared" si="6"/>
        <v>121.10000000000002</v>
      </c>
      <c r="U5" s="3">
        <f t="shared" si="7"/>
        <v>67.047634454261498</v>
      </c>
      <c r="V5" s="3">
        <f t="shared" si="8"/>
        <v>15065.363712743565</v>
      </c>
      <c r="W5" s="3">
        <f t="shared" si="9"/>
        <v>9885.6944218814369</v>
      </c>
      <c r="X5" s="3">
        <f t="shared" si="10"/>
        <v>44.622926209881491</v>
      </c>
      <c r="Y5" s="4">
        <f t="shared" si="0"/>
        <v>55.199999999999996</v>
      </c>
      <c r="Z5">
        <f t="shared" si="13"/>
        <v>7.4024414400000002E-2</v>
      </c>
      <c r="AA5">
        <f t="shared" si="14"/>
        <v>2.5918414961919996E-2</v>
      </c>
      <c r="AB5">
        <f t="shared" si="15"/>
        <v>-8.6394716539733309E-7</v>
      </c>
      <c r="AC5">
        <v>0.14000000000000001</v>
      </c>
      <c r="AD5">
        <f t="shared" si="16"/>
        <v>1.2095260315562663E-7</v>
      </c>
      <c r="AE5">
        <f t="shared" si="17"/>
        <v>3.7202914048693865E-5</v>
      </c>
      <c r="AF5">
        <f t="shared" si="18"/>
        <v>5.3572196230119162E-3</v>
      </c>
    </row>
    <row r="6" spans="1:38" ht="13.95" customHeight="1" x14ac:dyDescent="0.3">
      <c r="B6" s="80">
        <v>1.7143333333333333</v>
      </c>
      <c r="C6" s="76">
        <v>128.57999999999998</v>
      </c>
      <c r="D6" s="76">
        <v>1.7</v>
      </c>
      <c r="E6" s="76">
        <v>12</v>
      </c>
      <c r="F6" s="76">
        <v>5.4</v>
      </c>
      <c r="G6" s="76">
        <v>1930</v>
      </c>
      <c r="H6" s="76">
        <v>2760</v>
      </c>
      <c r="I6" s="81">
        <v>10.4</v>
      </c>
      <c r="J6" s="2">
        <f t="shared" si="11"/>
        <v>64.800000000000011</v>
      </c>
      <c r="K6" s="1">
        <f t="shared" si="1"/>
        <v>128.57999999999998</v>
      </c>
      <c r="L6" s="1">
        <f t="shared" si="12"/>
        <v>4.8565512787135408</v>
      </c>
      <c r="M6" s="3">
        <f t="shared" si="2"/>
        <v>518.13471502590676</v>
      </c>
      <c r="N6" s="3">
        <f t="shared" si="2"/>
        <v>362.31884057971018</v>
      </c>
      <c r="O6" s="3">
        <f t="shared" si="3"/>
        <v>15544.041450777202</v>
      </c>
      <c r="P6" s="3">
        <f t="shared" si="3"/>
        <v>10869.565217391306</v>
      </c>
      <c r="Q6" s="3">
        <f t="shared" si="4"/>
        <v>70.164075993091544</v>
      </c>
      <c r="R6" s="3">
        <f t="shared" si="4"/>
        <v>49.064009661835762</v>
      </c>
      <c r="S6" s="3">
        <f t="shared" si="5"/>
        <v>15704.393027585378</v>
      </c>
      <c r="T6" s="3">
        <f t="shared" si="6"/>
        <v>128.57999999999998</v>
      </c>
      <c r="U6" s="3">
        <f t="shared" si="7"/>
        <v>70.887885193961779</v>
      </c>
      <c r="V6" s="3">
        <f t="shared" si="8"/>
        <v>16046.698869726548</v>
      </c>
      <c r="W6" s="3">
        <f t="shared" si="9"/>
        <v>10910.72055031222</v>
      </c>
      <c r="X6" s="3">
        <f t="shared" si="10"/>
        <v>49.249780261825997</v>
      </c>
      <c r="Y6" s="4">
        <f t="shared" si="0"/>
        <v>64.800000000000011</v>
      </c>
      <c r="Z6">
        <f t="shared" si="13"/>
        <v>8.6898225600000017E-2</v>
      </c>
      <c r="AA6">
        <f t="shared" si="14"/>
        <v>2.9361056601427207E-2</v>
      </c>
      <c r="AB6">
        <f t="shared" si="15"/>
        <v>-9.4444732067924179E-7</v>
      </c>
      <c r="AC6">
        <v>0.12</v>
      </c>
      <c r="AD6">
        <f t="shared" si="16"/>
        <v>1.1333367848150901E-7</v>
      </c>
      <c r="AE6">
        <f t="shared" si="17"/>
        <v>3.4859465520926602E-5</v>
      </c>
      <c r="AF6">
        <f t="shared" si="18"/>
        <v>5.0197630350134305E-3</v>
      </c>
    </row>
    <row r="7" spans="1:38" ht="13.95" customHeight="1" x14ac:dyDescent="0.3">
      <c r="B7" s="80">
        <v>1.8545833333333333</v>
      </c>
      <c r="C7" s="76">
        <v>153.82499999999999</v>
      </c>
      <c r="D7" s="76">
        <v>2.2000000000000002</v>
      </c>
      <c r="E7" s="76">
        <v>12</v>
      </c>
      <c r="F7" s="76">
        <v>8.6999999999999993</v>
      </c>
      <c r="G7" s="76">
        <v>1610</v>
      </c>
      <c r="H7" s="76">
        <v>2180</v>
      </c>
      <c r="I7" s="81">
        <v>13</v>
      </c>
      <c r="J7" s="2">
        <f t="shared" si="11"/>
        <v>104.39999999999999</v>
      </c>
      <c r="K7" s="1">
        <f t="shared" si="1"/>
        <v>153.82499999999999</v>
      </c>
      <c r="L7" s="1">
        <f t="shared" si="12"/>
        <v>5.0358155926265535</v>
      </c>
      <c r="M7" s="3">
        <f t="shared" si="2"/>
        <v>621.11801242236027</v>
      </c>
      <c r="N7" s="3">
        <f t="shared" si="2"/>
        <v>458.71559633027528</v>
      </c>
      <c r="O7" s="3">
        <f t="shared" si="3"/>
        <v>18633.540372670806</v>
      </c>
      <c r="P7" s="3">
        <f t="shared" si="3"/>
        <v>13761.467889908257</v>
      </c>
      <c r="Q7" s="3">
        <f t="shared" si="4"/>
        <v>84.10973084886129</v>
      </c>
      <c r="R7" s="3">
        <f t="shared" si="4"/>
        <v>62.117737003058117</v>
      </c>
      <c r="S7" s="3">
        <f t="shared" si="5"/>
        <v>18770.404673520155</v>
      </c>
      <c r="T7" s="3">
        <f t="shared" si="6"/>
        <v>153.82499999999999</v>
      </c>
      <c r="U7" s="3">
        <f t="shared" si="7"/>
        <v>84.727521095750703</v>
      </c>
      <c r="V7" s="3">
        <f t="shared" si="8"/>
        <v>18981.869722573203</v>
      </c>
      <c r="W7" s="3">
        <f t="shared" si="9"/>
        <v>13596.184005950465</v>
      </c>
      <c r="X7" s="3">
        <f t="shared" si="10"/>
        <v>61.371663915748634</v>
      </c>
      <c r="Y7" s="4">
        <f t="shared" si="0"/>
        <v>104.39999999999999</v>
      </c>
      <c r="Z7">
        <f t="shared" si="13"/>
        <v>0.14000269679999999</v>
      </c>
      <c r="AA7">
        <f t="shared" si="14"/>
        <v>3.9460786779523201E-2</v>
      </c>
      <c r="AB7">
        <f t="shared" si="15"/>
        <v>-1.0588644452505392E-6</v>
      </c>
    </row>
    <row r="8" spans="1:38" ht="13.95" customHeight="1" thickBot="1" x14ac:dyDescent="0.35">
      <c r="B8" s="82">
        <v>1.9470444444444444</v>
      </c>
      <c r="C8" s="83">
        <v>170.46799999999999</v>
      </c>
      <c r="D8" s="83">
        <v>2.71</v>
      </c>
      <c r="E8" s="83">
        <v>12</v>
      </c>
      <c r="F8" s="83">
        <v>13</v>
      </c>
      <c r="G8" s="83">
        <v>1408</v>
      </c>
      <c r="H8" s="83">
        <v>1880</v>
      </c>
      <c r="I8" s="84">
        <v>15</v>
      </c>
      <c r="J8" s="2">
        <f t="shared" si="11"/>
        <v>156</v>
      </c>
      <c r="K8" s="1">
        <f t="shared" si="1"/>
        <v>170.46799999999999</v>
      </c>
      <c r="L8" s="1">
        <f t="shared" si="12"/>
        <v>5.1385475958244022</v>
      </c>
      <c r="M8" s="3">
        <f t="shared" si="2"/>
        <v>710.22727272727275</v>
      </c>
      <c r="N8" s="3">
        <f t="shared" si="2"/>
        <v>531.91489361702133</v>
      </c>
      <c r="O8" s="3">
        <f t="shared" si="3"/>
        <v>21306.818181818184</v>
      </c>
      <c r="P8" s="3">
        <f t="shared" si="3"/>
        <v>15957.44680851064</v>
      </c>
      <c r="Q8" s="3">
        <f t="shared" si="4"/>
        <v>96.176609848484858</v>
      </c>
      <c r="R8" s="3">
        <f t="shared" si="4"/>
        <v>72.030141843971634</v>
      </c>
      <c r="S8" s="3">
        <f t="shared" si="5"/>
        <v>21098.594001137539</v>
      </c>
      <c r="T8" s="3">
        <f t="shared" si="6"/>
        <v>170.46799999999999</v>
      </c>
      <c r="U8" s="3">
        <f t="shared" si="7"/>
        <v>95.236709032912501</v>
      </c>
      <c r="V8" s="3">
        <f t="shared" si="8"/>
        <v>20663.944502873288</v>
      </c>
      <c r="W8" s="3">
        <f t="shared" si="9"/>
        <v>16090.182242180526</v>
      </c>
      <c r="X8" s="3">
        <f t="shared" si="10"/>
        <v>72.629294843175998</v>
      </c>
      <c r="Y8" s="4">
        <f t="shared" si="0"/>
        <v>156</v>
      </c>
      <c r="Z8">
        <f t="shared" si="13"/>
        <v>0.20919943200000002</v>
      </c>
      <c r="AA8">
        <f t="shared" si="14"/>
        <v>5.1566376898150398E-2</v>
      </c>
      <c r="AB8">
        <f t="shared" si="15"/>
        <v>-1.2100909778765959E-6</v>
      </c>
    </row>
    <row r="9" spans="1:38" ht="13.95" customHeight="1" x14ac:dyDescent="0.3">
      <c r="AC9" t="s">
        <v>72</v>
      </c>
      <c r="AD9">
        <f>AVERAGE(AD3:AD6)</f>
        <v>1.2888349163858527E-7</v>
      </c>
      <c r="AE9">
        <f>AVERAGE(AE3:AE6)</f>
        <v>3.9642317210456738E-5</v>
      </c>
      <c r="AF9">
        <f>AVERAGE(AF3:AF6)</f>
        <v>5.7084936783057703E-3</v>
      </c>
    </row>
    <row r="10" spans="1:38" ht="13.95" customHeight="1" x14ac:dyDescent="0.3">
      <c r="B10" s="5"/>
      <c r="C10" s="6"/>
      <c r="D10" s="6"/>
      <c r="E10" s="6"/>
      <c r="F10" s="6"/>
      <c r="G10" s="6"/>
      <c r="H10" s="6"/>
      <c r="I10" s="6"/>
      <c r="J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8" ht="13.95" customHeight="1" thickBot="1" x14ac:dyDescent="0.35">
      <c r="B11" s="5"/>
      <c r="C11" s="6"/>
      <c r="D11" s="6"/>
      <c r="E11" s="6"/>
      <c r="F11" s="6"/>
      <c r="G11" s="6"/>
      <c r="H11" s="6"/>
      <c r="I11" s="6"/>
      <c r="J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AA11" t="s">
        <v>48</v>
      </c>
      <c r="AD11" t="s">
        <v>49</v>
      </c>
      <c r="AG11" t="s">
        <v>50</v>
      </c>
    </row>
    <row r="12" spans="1:38" ht="13.95" customHeight="1" x14ac:dyDescent="0.3">
      <c r="B12" s="5"/>
      <c r="C12" s="6"/>
      <c r="D12" s="6"/>
      <c r="E12" s="6"/>
      <c r="F12" s="6"/>
      <c r="G12" s="6"/>
      <c r="H12" s="6"/>
      <c r="I12" s="6"/>
      <c r="J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AA12" s="17" t="s">
        <v>3</v>
      </c>
      <c r="AB12" s="18">
        <v>2</v>
      </c>
      <c r="AD12" s="17"/>
      <c r="AE12" s="23" t="s">
        <v>36</v>
      </c>
      <c r="AF12" s="7"/>
      <c r="AG12" s="17" t="s">
        <v>17</v>
      </c>
      <c r="AH12" s="28"/>
      <c r="AI12" s="28"/>
      <c r="AJ12" s="28"/>
      <c r="AK12" s="28"/>
      <c r="AL12" s="29"/>
    </row>
    <row r="13" spans="1:38" x14ac:dyDescent="0.3">
      <c r="B13" s="5"/>
      <c r="C13" s="6"/>
      <c r="D13" s="6"/>
      <c r="E13" s="6"/>
      <c r="F13" s="6"/>
      <c r="G13" s="6"/>
      <c r="H13" s="6"/>
      <c r="I13" s="6"/>
      <c r="J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AA13" s="19" t="s">
        <v>4</v>
      </c>
      <c r="AB13" s="20">
        <v>4800</v>
      </c>
      <c r="AD13" s="24" t="s">
        <v>29</v>
      </c>
      <c r="AE13" s="25">
        <v>0</v>
      </c>
      <c r="AG13" s="19" t="s">
        <v>16</v>
      </c>
      <c r="AH13" s="30"/>
      <c r="AI13" s="30"/>
      <c r="AJ13" s="30"/>
      <c r="AK13" s="30"/>
      <c r="AL13" s="31"/>
    </row>
    <row r="14" spans="1:38" ht="13.95" customHeight="1" thickBot="1" x14ac:dyDescent="0.35">
      <c r="B14" s="5"/>
      <c r="C14" s="6"/>
      <c r="D14" s="6"/>
      <c r="E14" s="6"/>
      <c r="F14" s="6"/>
      <c r="G14" s="6"/>
      <c r="H14" s="6"/>
      <c r="I14" s="6"/>
      <c r="J14" s="2"/>
      <c r="M14" s="3"/>
      <c r="N14" s="3"/>
      <c r="O14" s="3"/>
      <c r="P14" s="2"/>
      <c r="Q14" s="3"/>
      <c r="R14" s="3"/>
      <c r="S14" s="3"/>
      <c r="T14" s="3"/>
      <c r="U14" s="3" t="s">
        <v>44</v>
      </c>
      <c r="V14" s="11" t="s">
        <v>45</v>
      </c>
      <c r="W14" s="12"/>
      <c r="X14" s="12"/>
      <c r="Y14" s="3"/>
      <c r="AA14" s="21" t="s">
        <v>5</v>
      </c>
      <c r="AB14" s="22">
        <v>12</v>
      </c>
      <c r="AD14" s="26" t="s">
        <v>30</v>
      </c>
      <c r="AE14" s="27">
        <v>5</v>
      </c>
      <c r="AG14" s="21" t="s">
        <v>21</v>
      </c>
      <c r="AH14" s="32"/>
      <c r="AI14" s="33"/>
      <c r="AJ14" s="33"/>
      <c r="AK14" s="32"/>
      <c r="AL14" s="34"/>
    </row>
    <row r="15" spans="1:38" ht="13.95" customHeight="1" x14ac:dyDescent="0.3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/>
      <c r="P15" s="3"/>
      <c r="Q15" s="3"/>
      <c r="R15" s="3"/>
      <c r="S15" s="3"/>
      <c r="T15" s="3"/>
      <c r="U15" s="3"/>
      <c r="V15" s="13" t="s">
        <v>46</v>
      </c>
      <c r="W15" s="14"/>
      <c r="X15" s="14"/>
      <c r="Y15" s="3"/>
    </row>
    <row r="16" spans="1:38" ht="15" thickBot="1" x14ac:dyDescent="0.3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/>
      <c r="P16" s="3"/>
      <c r="Q16" s="3"/>
      <c r="R16" s="3"/>
      <c r="S16" s="3"/>
      <c r="T16" s="3"/>
      <c r="U16" s="3"/>
      <c r="V16" s="15" t="s">
        <v>47</v>
      </c>
      <c r="W16" s="16"/>
      <c r="X16" s="16"/>
      <c r="Y16" s="3"/>
      <c r="AA16" t="s">
        <v>53</v>
      </c>
      <c r="AG16" t="s">
        <v>52</v>
      </c>
    </row>
    <row r="17" spans="2:41" ht="15" thickBot="1" x14ac:dyDescent="0.35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/>
      <c r="P17" s="3"/>
      <c r="Q17" s="3"/>
      <c r="R17" s="3"/>
      <c r="S17" s="3"/>
      <c r="T17" s="3"/>
      <c r="U17" s="3"/>
      <c r="W17" s="3"/>
      <c r="X17" s="3"/>
      <c r="Y17" s="3"/>
      <c r="AA17" s="39" t="s">
        <v>6</v>
      </c>
      <c r="AB17" s="40">
        <f>AB13*AB14/AC17</f>
        <v>22153.846153846152</v>
      </c>
      <c r="AC17" s="41">
        <v>2.6</v>
      </c>
      <c r="AD17" s="36" t="s">
        <v>14</v>
      </c>
      <c r="AE17" s="42"/>
      <c r="AF17" s="8"/>
      <c r="AG17" s="35">
        <v>210</v>
      </c>
      <c r="AH17" s="36" t="s">
        <v>51</v>
      </c>
      <c r="AI17" s="37"/>
      <c r="AJ17" s="36"/>
      <c r="AK17" s="36"/>
      <c r="AL17" s="38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AF18" s="8"/>
      <c r="AG18" s="8"/>
      <c r="AI18" s="8"/>
      <c r="AJ18" s="8"/>
    </row>
    <row r="19" spans="2:41" ht="15" thickBot="1" x14ac:dyDescent="0.35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t="s">
        <v>56</v>
      </c>
      <c r="AG19" t="s">
        <v>54</v>
      </c>
    </row>
    <row r="20" spans="2:41" ht="28.8" x14ac:dyDescent="0.3">
      <c r="AA20" s="50" t="s">
        <v>22</v>
      </c>
      <c r="AB20" s="51">
        <f>INDEX(LINEST($P$2:$P$8,$D$2:$D$8^{1,2},FALSE,FALSE),1)</f>
        <v>-475.97454575994487</v>
      </c>
      <c r="AC20" s="28"/>
      <c r="AD20" s="52" t="s">
        <v>25</v>
      </c>
      <c r="AE20" s="53">
        <f>INDEX(LINEST($O$2:$O$8,$P$2:$P$8),1)</f>
        <v>1.0602056822563426</v>
      </c>
      <c r="AF20" s="8"/>
      <c r="AG20" s="17"/>
      <c r="AH20" s="43" t="s">
        <v>32</v>
      </c>
      <c r="AI20" s="28"/>
      <c r="AJ20" s="43" t="s">
        <v>33</v>
      </c>
      <c r="AK20" s="29" t="s">
        <v>55</v>
      </c>
    </row>
    <row r="21" spans="2:41" x14ac:dyDescent="0.3">
      <c r="AA21" s="44"/>
      <c r="AB21" s="54">
        <f>INDEX(LINEST($P$2:$P$8,$D$2:$D$8^{1,2},FALSE,FALSE),2)</f>
        <v>7227.227639740272</v>
      </c>
      <c r="AC21" s="30"/>
      <c r="AD21" s="45"/>
      <c r="AE21" s="47">
        <f>INDEX(LINEST($O$2:$O$8,$P$2:$P$8),2)</f>
        <v>4180.4182204512181</v>
      </c>
      <c r="AF21" s="8"/>
      <c r="AG21" s="58" t="s">
        <v>27</v>
      </c>
      <c r="AH21" s="59">
        <v>0</v>
      </c>
      <c r="AI21" s="46" t="s">
        <v>26</v>
      </c>
      <c r="AJ21" s="60">
        <v>0</v>
      </c>
      <c r="AK21" s="61">
        <v>-5</v>
      </c>
      <c r="AL21" t="s">
        <v>59</v>
      </c>
    </row>
    <row r="22" spans="2:41" x14ac:dyDescent="0.3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44"/>
      <c r="AB22" s="45">
        <f>INDEX(LINEST($P$2:$P$8,$D$2:$D$8^{1,2},FALSE,FALSE),3)</f>
        <v>0</v>
      </c>
      <c r="AC22" s="30"/>
      <c r="AD22" s="45" t="s">
        <v>24</v>
      </c>
      <c r="AE22" s="47">
        <f>INDEX(LINEST($P$2:$P$8,$O$2:$O$8),1)</f>
        <v>0.94199104022164515</v>
      </c>
      <c r="AG22" s="58" t="s">
        <v>28</v>
      </c>
      <c r="AH22" s="59">
        <v>5</v>
      </c>
      <c r="AI22" s="46" t="s">
        <v>31</v>
      </c>
      <c r="AJ22" s="60">
        <v>180</v>
      </c>
      <c r="AK22" s="61">
        <v>70</v>
      </c>
    </row>
    <row r="23" spans="2:41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44" t="s">
        <v>34</v>
      </c>
      <c r="AB23" s="55">
        <f>INDEX(LINEST($S$2:$S$8,$L$2:$L$8),1)</f>
        <v>16373.425300201903</v>
      </c>
      <c r="AC23" s="30"/>
      <c r="AD23" s="45"/>
      <c r="AE23" s="47">
        <f>INDEX(LINEST($P$2:$P$8,$O$2:$O$8),2)</f>
        <v>-3925.570398689204</v>
      </c>
      <c r="AG23" s="19"/>
      <c r="AH23" s="30" t="s">
        <v>60</v>
      </c>
      <c r="AI23" s="30"/>
      <c r="AJ23" s="62"/>
      <c r="AK23" s="63">
        <f>(AK22-AK21)/(AH22-AH21)</f>
        <v>15</v>
      </c>
    </row>
    <row r="24" spans="2:41" ht="15" thickBot="1" x14ac:dyDescent="0.35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56"/>
      <c r="AB24" s="57">
        <f>INDEX(LINEST($S$2:$S$8,$L$2:$L$8),2)</f>
        <v>-63471.680708889646</v>
      </c>
      <c r="AC24" s="32"/>
      <c r="AD24" s="32"/>
      <c r="AE24" s="34"/>
      <c r="AG24" s="19"/>
      <c r="AH24" s="30"/>
      <c r="AI24" s="30"/>
      <c r="AJ24" s="62"/>
      <c r="AK24" s="63">
        <f>AK22-AK23*(AH22-AH21)</f>
        <v>-5</v>
      </c>
    </row>
    <row r="25" spans="2:41" ht="15" thickBot="1" x14ac:dyDescent="0.35"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G25" s="21"/>
      <c r="AH25" s="32"/>
      <c r="AI25" s="32"/>
      <c r="AJ25" s="48"/>
      <c r="AK25" s="49" t="s">
        <v>23</v>
      </c>
    </row>
    <row r="26" spans="2:41" ht="15" thickBot="1" x14ac:dyDescent="0.35">
      <c r="B26" t="s">
        <v>74</v>
      </c>
      <c r="C26" s="6" t="s">
        <v>75</v>
      </c>
      <c r="D26" s="6" t="s">
        <v>76</v>
      </c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5" t="s">
        <v>57</v>
      </c>
      <c r="AB26" s="5"/>
      <c r="AC26" s="5"/>
    </row>
    <row r="27" spans="2:41" x14ac:dyDescent="0.3">
      <c r="B27" s="76">
        <v>87</v>
      </c>
      <c r="C27" s="6">
        <f>B27/180*(2.4-0.53)+0.53</f>
        <v>1.4338333333333333</v>
      </c>
      <c r="D27" s="91">
        <f>(C27-1)*180</f>
        <v>78.089999999999989</v>
      </c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64" t="s">
        <v>28</v>
      </c>
      <c r="AB27" s="65">
        <f>AH22</f>
        <v>5</v>
      </c>
      <c r="AC27" s="66"/>
      <c r="AD27" s="29"/>
    </row>
    <row r="28" spans="2:41" x14ac:dyDescent="0.3">
      <c r="B28" s="76">
        <v>90</v>
      </c>
      <c r="C28" s="6">
        <f t="shared" ref="C28:C33" si="19">B28/180*(2.4-0.53)+0.53</f>
        <v>1.4649999999999999</v>
      </c>
      <c r="D28" s="91">
        <f t="shared" ref="D28:D33" si="20">(C28-1)*180</f>
        <v>83.699999999999974</v>
      </c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67" t="s">
        <v>27</v>
      </c>
      <c r="AB28" s="68">
        <f>AH21</f>
        <v>0</v>
      </c>
      <c r="AC28" s="46"/>
      <c r="AD28" s="31"/>
    </row>
    <row r="29" spans="2:41" x14ac:dyDescent="0.3">
      <c r="B29" s="76">
        <v>100</v>
      </c>
      <c r="C29" s="6">
        <f t="shared" si="19"/>
        <v>1.568888888888889</v>
      </c>
      <c r="D29" s="91">
        <f t="shared" si="20"/>
        <v>102.40000000000002</v>
      </c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AA29" s="67" t="s">
        <v>30</v>
      </c>
      <c r="AB29" s="68">
        <f>AE14</f>
        <v>5</v>
      </c>
      <c r="AC29" s="30"/>
      <c r="AD29" s="31"/>
    </row>
    <row r="30" spans="2:41" x14ac:dyDescent="0.3">
      <c r="B30" s="76">
        <v>110</v>
      </c>
      <c r="C30" s="6">
        <f t="shared" si="19"/>
        <v>1.6727777777777779</v>
      </c>
      <c r="D30" s="91">
        <f t="shared" si="20"/>
        <v>121.10000000000002</v>
      </c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AA30" s="67" t="s">
        <v>29</v>
      </c>
      <c r="AB30" s="68">
        <f>AE13</f>
        <v>0</v>
      </c>
      <c r="AC30" s="30"/>
      <c r="AD30" s="31"/>
    </row>
    <row r="31" spans="2:41" x14ac:dyDescent="0.3">
      <c r="B31" s="76">
        <v>114</v>
      </c>
      <c r="C31" s="6">
        <f t="shared" si="19"/>
        <v>1.7143333333333333</v>
      </c>
      <c r="D31" s="91">
        <f t="shared" si="20"/>
        <v>128.57999999999998</v>
      </c>
      <c r="AA31" s="67" t="s">
        <v>43</v>
      </c>
      <c r="AB31" s="68">
        <f>AB17/100</f>
        <v>221.53846153846152</v>
      </c>
      <c r="AC31" s="30"/>
      <c r="AD31" s="31"/>
      <c r="AN31" s="3"/>
      <c r="AO31" s="3"/>
    </row>
    <row r="32" spans="2:41" x14ac:dyDescent="0.3">
      <c r="B32" s="76">
        <v>127.5</v>
      </c>
      <c r="C32" s="6">
        <f t="shared" si="19"/>
        <v>1.8545833333333333</v>
      </c>
      <c r="D32" s="91">
        <f t="shared" si="20"/>
        <v>153.82499999999999</v>
      </c>
      <c r="AA32" s="67" t="s">
        <v>31</v>
      </c>
      <c r="AB32" s="68">
        <f>AJ22</f>
        <v>180</v>
      </c>
      <c r="AC32" s="30"/>
      <c r="AD32" s="31"/>
      <c r="AM32" s="3"/>
    </row>
    <row r="33" spans="2:38" ht="15" thickBot="1" x14ac:dyDescent="0.35">
      <c r="B33" s="83">
        <v>136.4</v>
      </c>
      <c r="C33" s="6">
        <f t="shared" si="19"/>
        <v>1.9470444444444444</v>
      </c>
      <c r="D33" s="91">
        <f t="shared" si="20"/>
        <v>170.46799999999999</v>
      </c>
      <c r="AA33" s="67" t="s">
        <v>26</v>
      </c>
      <c r="AB33" s="68">
        <f>AJ21</f>
        <v>0</v>
      </c>
      <c r="AC33" s="30"/>
      <c r="AD33" s="31"/>
      <c r="AL33" s="3"/>
    </row>
    <row r="34" spans="2:38" x14ac:dyDescent="0.3">
      <c r="AA34" s="67" t="s">
        <v>22</v>
      </c>
      <c r="AB34" s="68">
        <f>AB22</f>
        <v>0</v>
      </c>
      <c r="AC34" s="69">
        <f>AB21</f>
        <v>7227.227639740272</v>
      </c>
      <c r="AD34" s="70">
        <f>AB20</f>
        <v>-475.97454575994487</v>
      </c>
    </row>
    <row r="35" spans="2:38" x14ac:dyDescent="0.3">
      <c r="AA35" s="67" t="s">
        <v>34</v>
      </c>
      <c r="AB35" s="68">
        <f>AB24</f>
        <v>-63471.680708889646</v>
      </c>
      <c r="AC35" s="69">
        <f>AB23</f>
        <v>16373.425300201903</v>
      </c>
      <c r="AD35" s="31"/>
      <c r="AJ35" s="3"/>
      <c r="AK35" s="3"/>
    </row>
    <row r="36" spans="2:38" x14ac:dyDescent="0.3">
      <c r="AA36" s="67" t="s">
        <v>23</v>
      </c>
      <c r="AB36" s="68">
        <f>AK24</f>
        <v>-5</v>
      </c>
      <c r="AC36" s="71">
        <f>AK23</f>
        <v>15</v>
      </c>
      <c r="AD36" s="31"/>
    </row>
    <row r="37" spans="2:38" x14ac:dyDescent="0.3">
      <c r="AA37" s="67" t="s">
        <v>24</v>
      </c>
      <c r="AB37" s="68">
        <f>AE23</f>
        <v>-3925.570398689204</v>
      </c>
      <c r="AC37" s="72">
        <f>AE22</f>
        <v>0.94199104022164515</v>
      </c>
      <c r="AD37" s="31"/>
    </row>
    <row r="38" spans="2:38" ht="15" thickBot="1" x14ac:dyDescent="0.35">
      <c r="AA38" s="73" t="s">
        <v>25</v>
      </c>
      <c r="AB38" s="74">
        <f>AE21</f>
        <v>4180.4182204512181</v>
      </c>
      <c r="AC38" s="75">
        <f>AE20</f>
        <v>1.0602056822563426</v>
      </c>
      <c r="AD38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opLeftCell="R1" workbookViewId="0">
      <pane ySplit="2" topLeftCell="A3" activePane="bottomLeft" state="frozen"/>
      <selection pane="bottomLeft" activeCell="AH24" sqref="AH24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6640625" style="1" customWidth="1"/>
    <col min="14" max="14" width="4.33203125" style="1" customWidth="1"/>
    <col min="15" max="15" width="7.33203125" style="1" bestFit="1" customWidth="1"/>
    <col min="16" max="17" width="6.33203125" style="1" customWidth="1"/>
    <col min="18" max="18" width="10.5546875" style="1" customWidth="1"/>
    <col min="19" max="20" width="7.6640625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8.33203125" customWidth="1"/>
    <col min="29" max="29" width="6.5546875" bestFit="1" customWidth="1"/>
    <col min="30" max="30" width="9.6640625" customWidth="1"/>
    <col min="31" max="31" width="8.5546875" bestFit="1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38" ht="58.2" thickBot="1" x14ac:dyDescent="0.35">
      <c r="A1" t="s">
        <v>58</v>
      </c>
      <c r="B1" s="85" t="s">
        <v>75</v>
      </c>
      <c r="C1" s="86" t="s">
        <v>0</v>
      </c>
      <c r="D1" s="86" t="s">
        <v>1</v>
      </c>
      <c r="E1" s="86" t="s">
        <v>18</v>
      </c>
      <c r="F1" s="86" t="s">
        <v>19</v>
      </c>
      <c r="G1" s="86" t="s">
        <v>38</v>
      </c>
      <c r="H1" s="86" t="s">
        <v>37</v>
      </c>
      <c r="I1" s="87" t="s">
        <v>2</v>
      </c>
      <c r="J1" s="4" t="s">
        <v>20</v>
      </c>
      <c r="K1" s="4" t="s">
        <v>10</v>
      </c>
      <c r="L1" s="4" t="s">
        <v>15</v>
      </c>
      <c r="M1" s="4" t="s">
        <v>40</v>
      </c>
      <c r="N1" s="4" t="s">
        <v>39</v>
      </c>
      <c r="O1" s="4" t="s">
        <v>41</v>
      </c>
      <c r="P1" s="4" t="s">
        <v>7</v>
      </c>
      <c r="Q1" s="4" t="s">
        <v>42</v>
      </c>
      <c r="R1" s="4" t="s">
        <v>8</v>
      </c>
      <c r="S1" s="4" t="s">
        <v>11</v>
      </c>
      <c r="T1" s="4" t="s">
        <v>10</v>
      </c>
      <c r="U1" s="4" t="s">
        <v>12</v>
      </c>
      <c r="V1" s="4" t="s">
        <v>13</v>
      </c>
      <c r="W1" s="4" t="s">
        <v>9</v>
      </c>
      <c r="X1" s="4" t="s">
        <v>35</v>
      </c>
      <c r="Y1" s="4" t="str">
        <f t="shared" ref="Y1:Y8" si="0">J1</f>
        <v>Charger Pwr, W</v>
      </c>
      <c r="AA1" t="s">
        <v>48</v>
      </c>
      <c r="AD1" t="s">
        <v>49</v>
      </c>
      <c r="AG1" t="s">
        <v>50</v>
      </c>
    </row>
    <row r="2" spans="1:38" x14ac:dyDescent="0.3">
      <c r="B2" s="77">
        <v>1.1637222222222223</v>
      </c>
      <c r="C2" s="88">
        <v>29.47000000000002</v>
      </c>
      <c r="D2" s="88">
        <v>0.54</v>
      </c>
      <c r="E2" s="88">
        <v>12.15</v>
      </c>
      <c r="F2" s="88">
        <v>1.56</v>
      </c>
      <c r="G2" s="88">
        <v>3810.7961637948006</v>
      </c>
      <c r="H2" s="88">
        <v>8615</v>
      </c>
      <c r="I2" s="89">
        <v>2.88</v>
      </c>
      <c r="J2" s="2">
        <f>E2*F2</f>
        <v>18.954000000000001</v>
      </c>
      <c r="K2" s="1">
        <f t="shared" ref="K2:K8" si="1">C2</f>
        <v>29.47000000000002</v>
      </c>
      <c r="L2" s="1">
        <f>LN(K2)</f>
        <v>3.3833727967496041</v>
      </c>
      <c r="M2" s="3">
        <f t="shared" ref="M2:N8" si="2">1/G2/0.000001</f>
        <v>262.41235611095965</v>
      </c>
      <c r="N2" s="3">
        <f t="shared" si="2"/>
        <v>116.07661056297157</v>
      </c>
      <c r="O2" s="3">
        <f t="shared" ref="O2:P8" si="3">M2*60/$AB$2</f>
        <v>7872.3706833287897</v>
      </c>
      <c r="P2" s="3">
        <f t="shared" si="3"/>
        <v>3482.2983168891469</v>
      </c>
      <c r="Q2" s="3">
        <f t="shared" ref="Q2:R8" si="4">O2/$AB$7*100</f>
        <v>35.535006556692458</v>
      </c>
      <c r="R2" s="3">
        <f t="shared" si="4"/>
        <v>15.7187076804024</v>
      </c>
      <c r="S2" s="3">
        <f t="shared" ref="S2:S8" si="5">P2*$AE$10+$AE$11</f>
        <v>7872.3706833287897</v>
      </c>
      <c r="T2" s="3">
        <f t="shared" ref="T2:T8" si="6">K2</f>
        <v>29.47000000000002</v>
      </c>
      <c r="U2" s="3">
        <f t="shared" ref="U2:U8" si="7">S2/$AB$7*100</f>
        <v>35.535006556692458</v>
      </c>
      <c r="V2" s="3">
        <f t="shared" ref="V2:V8" si="8">$AB$13*LN(C2)+$AB$14</f>
        <v>7254.3033712821489</v>
      </c>
      <c r="W2" s="3">
        <f t="shared" ref="W2:W8" si="9">D2*D2*$AB$10+D2*$AB$11+$AB$12</f>
        <v>3895.0045670565887</v>
      </c>
      <c r="X2" s="3">
        <f t="shared" ref="X2:X8" si="10">W2/$AB$7*100</f>
        <v>17.581617837408213</v>
      </c>
      <c r="Y2" s="4">
        <f t="shared" si="0"/>
        <v>18.954000000000001</v>
      </c>
      <c r="AA2" s="17" t="s">
        <v>3</v>
      </c>
      <c r="AB2" s="18">
        <v>2</v>
      </c>
      <c r="AD2" s="17"/>
      <c r="AE2" s="23" t="s">
        <v>36</v>
      </c>
      <c r="AF2" s="7"/>
      <c r="AG2" s="17" t="s">
        <v>17</v>
      </c>
      <c r="AH2" s="28"/>
      <c r="AI2" s="28"/>
      <c r="AJ2" s="28"/>
      <c r="AK2" s="28"/>
      <c r="AL2" s="29"/>
    </row>
    <row r="3" spans="1:38" ht="13.95" customHeight="1" x14ac:dyDescent="0.3">
      <c r="B3" s="80">
        <v>1.2052777777777779</v>
      </c>
      <c r="C3" s="76">
        <v>36.950000000000017</v>
      </c>
      <c r="D3" s="76">
        <v>0.68</v>
      </c>
      <c r="E3" s="76">
        <v>12.14</v>
      </c>
      <c r="F3" s="76">
        <v>1.9</v>
      </c>
      <c r="G3" s="76">
        <v>3247.7925769058029</v>
      </c>
      <c r="H3" s="76">
        <v>6290</v>
      </c>
      <c r="I3" s="81">
        <v>4.0199999999999996</v>
      </c>
      <c r="J3" s="2">
        <f t="shared" ref="J3:J7" si="11">E3*F3</f>
        <v>23.065999999999999</v>
      </c>
      <c r="K3" s="1">
        <f t="shared" si="1"/>
        <v>36.950000000000017</v>
      </c>
      <c r="L3" s="1">
        <f t="shared" ref="L3:L8" si="12">LN(K3)</f>
        <v>3.609565647394211</v>
      </c>
      <c r="M3" s="3">
        <f t="shared" si="2"/>
        <v>307.90143653592179</v>
      </c>
      <c r="N3" s="3">
        <f t="shared" si="2"/>
        <v>158.98251192368841</v>
      </c>
      <c r="O3" s="3">
        <f t="shared" si="3"/>
        <v>9237.0430960776539</v>
      </c>
      <c r="P3" s="3">
        <f t="shared" si="3"/>
        <v>4769.4753577106521</v>
      </c>
      <c r="Q3" s="3">
        <f t="shared" si="4"/>
        <v>41.694986197572746</v>
      </c>
      <c r="R3" s="3">
        <f t="shared" si="4"/>
        <v>21.528881822999473</v>
      </c>
      <c r="S3" s="3">
        <f t="shared" si="5"/>
        <v>9237.0430960776539</v>
      </c>
      <c r="T3" s="3">
        <f t="shared" si="6"/>
        <v>36.950000000000017</v>
      </c>
      <c r="U3" s="3">
        <f t="shared" si="7"/>
        <v>41.694986197572746</v>
      </c>
      <c r="V3" s="3">
        <f t="shared" si="8"/>
        <v>9298.3552461146719</v>
      </c>
      <c r="W3" s="3">
        <f t="shared" si="9"/>
        <v>4863.4075129077619</v>
      </c>
      <c r="X3" s="3">
        <f t="shared" si="10"/>
        <v>21.952881134653094</v>
      </c>
      <c r="Y3" s="4">
        <f t="shared" si="0"/>
        <v>23.065999999999999</v>
      </c>
      <c r="AA3" s="19" t="s">
        <v>4</v>
      </c>
      <c r="AB3" s="20">
        <v>4800</v>
      </c>
      <c r="AD3" s="24" t="s">
        <v>29</v>
      </c>
      <c r="AE3" s="25">
        <v>0</v>
      </c>
      <c r="AG3" s="19" t="s">
        <v>16</v>
      </c>
      <c r="AH3" s="30"/>
      <c r="AI3" s="30"/>
      <c r="AJ3" s="30"/>
      <c r="AK3" s="30"/>
      <c r="AL3" s="31"/>
    </row>
    <row r="4" spans="1:38" ht="13.95" customHeight="1" thickBot="1" x14ac:dyDescent="0.35">
      <c r="B4" s="80">
        <v>1.3299444444444444</v>
      </c>
      <c r="C4" s="76">
        <v>59.389999999999986</v>
      </c>
      <c r="D4" s="76">
        <v>1.18</v>
      </c>
      <c r="E4" s="76">
        <v>12.07</v>
      </c>
      <c r="F4" s="76">
        <v>3.66</v>
      </c>
      <c r="G4" s="76">
        <v>2314.9259570838622</v>
      </c>
      <c r="H4" s="76">
        <v>3623</v>
      </c>
      <c r="I4" s="81">
        <v>7.4</v>
      </c>
      <c r="J4" s="2">
        <f t="shared" si="11"/>
        <v>44.176200000000001</v>
      </c>
      <c r="K4" s="1">
        <f t="shared" si="1"/>
        <v>59.389999999999986</v>
      </c>
      <c r="L4" s="1">
        <f t="shared" si="12"/>
        <v>4.0841258620277685</v>
      </c>
      <c r="M4" s="3">
        <f t="shared" si="2"/>
        <v>431.97925918101981</v>
      </c>
      <c r="N4" s="3">
        <f t="shared" si="2"/>
        <v>276.01435274634281</v>
      </c>
      <c r="O4" s="3">
        <f t="shared" si="3"/>
        <v>12959.377775430594</v>
      </c>
      <c r="P4" s="3">
        <f t="shared" si="3"/>
        <v>8280.4305823902851</v>
      </c>
      <c r="Q4" s="3">
        <f t="shared" si="4"/>
        <v>58.497191347429769</v>
      </c>
      <c r="R4" s="3">
        <f t="shared" si="4"/>
        <v>37.376943601067261</v>
      </c>
      <c r="S4" s="3">
        <f t="shared" si="5"/>
        <v>12959.377775430594</v>
      </c>
      <c r="T4" s="3">
        <f t="shared" si="6"/>
        <v>59.389999999999986</v>
      </c>
      <c r="U4" s="3">
        <f t="shared" si="7"/>
        <v>58.497191347429769</v>
      </c>
      <c r="V4" s="3">
        <f t="shared" si="8"/>
        <v>13586.844885279916</v>
      </c>
      <c r="W4" s="3">
        <f t="shared" si="9"/>
        <v>8182.7859228288444</v>
      </c>
      <c r="X4" s="3">
        <f t="shared" si="10"/>
        <v>36.936186457213537</v>
      </c>
      <c r="Y4" s="4">
        <f t="shared" si="0"/>
        <v>44.176200000000001</v>
      </c>
      <c r="AA4" s="21" t="s">
        <v>5</v>
      </c>
      <c r="AB4" s="22">
        <v>12</v>
      </c>
      <c r="AD4" s="26" t="s">
        <v>30</v>
      </c>
      <c r="AE4" s="27">
        <v>5</v>
      </c>
      <c r="AG4" s="21" t="s">
        <v>21</v>
      </c>
      <c r="AH4" s="32"/>
      <c r="AI4" s="33"/>
      <c r="AJ4" s="33"/>
      <c r="AK4" s="32"/>
      <c r="AL4" s="34"/>
    </row>
    <row r="5" spans="1:38" ht="13.95" customHeight="1" x14ac:dyDescent="0.3">
      <c r="B5" s="80">
        <v>1.4442222222222223</v>
      </c>
      <c r="C5" s="76">
        <v>79.960000000000008</v>
      </c>
      <c r="D5" s="76">
        <v>1.57</v>
      </c>
      <c r="E5" s="76">
        <v>11.96</v>
      </c>
      <c r="F5" s="76">
        <v>6.51</v>
      </c>
      <c r="G5" s="76">
        <v>1890.4108937169444</v>
      </c>
      <c r="H5" s="76">
        <v>2721</v>
      </c>
      <c r="I5" s="81">
        <v>9.5</v>
      </c>
      <c r="J5" s="2">
        <f t="shared" si="11"/>
        <v>77.8596</v>
      </c>
      <c r="K5" s="1">
        <f t="shared" si="1"/>
        <v>79.960000000000008</v>
      </c>
      <c r="L5" s="1">
        <f t="shared" si="12"/>
        <v>4.3815265096321996</v>
      </c>
      <c r="M5" s="3">
        <f t="shared" si="2"/>
        <v>528.98552548741941</v>
      </c>
      <c r="N5" s="3">
        <f t="shared" si="2"/>
        <v>367.51194413818456</v>
      </c>
      <c r="O5" s="3">
        <f t="shared" si="3"/>
        <v>15869.565764622583</v>
      </c>
      <c r="P5" s="3">
        <f t="shared" si="3"/>
        <v>11025.358324145536</v>
      </c>
      <c r="Q5" s="3">
        <f t="shared" si="4"/>
        <v>71.633456576421381</v>
      </c>
      <c r="R5" s="3">
        <f t="shared" si="4"/>
        <v>49.76724243537916</v>
      </c>
      <c r="S5" s="3">
        <f t="shared" si="5"/>
        <v>15869.565764622583</v>
      </c>
      <c r="T5" s="3">
        <f t="shared" si="6"/>
        <v>79.960000000000008</v>
      </c>
      <c r="U5" s="3">
        <f t="shared" si="7"/>
        <v>71.633456576421381</v>
      </c>
      <c r="V5" s="3">
        <f t="shared" si="8"/>
        <v>16274.384962607019</v>
      </c>
      <c r="W5" s="3">
        <f t="shared" si="9"/>
        <v>10620.908743264476</v>
      </c>
      <c r="X5" s="3">
        <f t="shared" si="10"/>
        <v>47.941601966124367</v>
      </c>
      <c r="Y5" s="4">
        <f t="shared" si="0"/>
        <v>77.8596</v>
      </c>
    </row>
    <row r="6" spans="1:38" ht="13.95" customHeight="1" thickBot="1" x14ac:dyDescent="0.35">
      <c r="B6" s="80">
        <v>1.5169444444444444</v>
      </c>
      <c r="C6" s="76">
        <v>93.05</v>
      </c>
      <c r="D6" s="76">
        <v>1.88</v>
      </c>
      <c r="E6" s="76">
        <v>11.86</v>
      </c>
      <c r="F6" s="76">
        <v>8.49</v>
      </c>
      <c r="G6" s="76">
        <v>1735.553038041201</v>
      </c>
      <c r="H6" s="76">
        <v>2427</v>
      </c>
      <c r="I6" s="81">
        <v>10.5</v>
      </c>
      <c r="J6" s="2">
        <f t="shared" si="11"/>
        <v>100.6914</v>
      </c>
      <c r="K6" s="1">
        <f t="shared" si="1"/>
        <v>93.05</v>
      </c>
      <c r="L6" s="1">
        <f t="shared" si="12"/>
        <v>4.5331369830882595</v>
      </c>
      <c r="M6" s="3">
        <f t="shared" si="2"/>
        <v>576.18521478815251</v>
      </c>
      <c r="N6" s="3">
        <f t="shared" si="2"/>
        <v>412.03131437989288</v>
      </c>
      <c r="O6" s="3">
        <f t="shared" si="3"/>
        <v>17285.556443644575</v>
      </c>
      <c r="P6" s="3">
        <f t="shared" si="3"/>
        <v>12360.939431396786</v>
      </c>
      <c r="Q6" s="3">
        <f t="shared" si="4"/>
        <v>78.025081169228997</v>
      </c>
      <c r="R6" s="3">
        <f t="shared" si="4"/>
        <v>55.795907155610493</v>
      </c>
      <c r="S6" s="3">
        <f t="shared" si="5"/>
        <v>17285.556443644575</v>
      </c>
      <c r="T6" s="3">
        <f t="shared" si="6"/>
        <v>93.05</v>
      </c>
      <c r="U6" s="3">
        <f t="shared" si="7"/>
        <v>78.025081169228997</v>
      </c>
      <c r="V6" s="3">
        <f t="shared" si="8"/>
        <v>17644.453342880533</v>
      </c>
      <c r="W6" s="3">
        <f t="shared" si="9"/>
        <v>12464.506405406451</v>
      </c>
      <c r="X6" s="3">
        <f t="shared" si="10"/>
        <v>56.263396968848568</v>
      </c>
      <c r="Y6" s="4">
        <f t="shared" si="0"/>
        <v>100.6914</v>
      </c>
      <c r="AA6" t="s">
        <v>53</v>
      </c>
      <c r="AG6" t="s">
        <v>52</v>
      </c>
    </row>
    <row r="7" spans="1:38" ht="13.95" customHeight="1" thickBot="1" x14ac:dyDescent="0.35">
      <c r="B7" s="80">
        <v>1.6208333333333333</v>
      </c>
      <c r="C7" s="76">
        <v>111.75</v>
      </c>
      <c r="D7" s="76">
        <v>2.2400000000000002</v>
      </c>
      <c r="E7" s="76">
        <v>11.55</v>
      </c>
      <c r="F7" s="76">
        <v>13.48</v>
      </c>
      <c r="G7" s="76">
        <v>1544.1739275824405</v>
      </c>
      <c r="H7" s="76">
        <v>2086</v>
      </c>
      <c r="I7" s="81">
        <v>12.4</v>
      </c>
      <c r="J7" s="2">
        <f t="shared" si="11"/>
        <v>155.69400000000002</v>
      </c>
      <c r="K7" s="1">
        <f t="shared" si="1"/>
        <v>111.75</v>
      </c>
      <c r="L7" s="1">
        <f t="shared" si="12"/>
        <v>4.7162642334936784</v>
      </c>
      <c r="M7" s="3">
        <f t="shared" si="2"/>
        <v>647.59544384070819</v>
      </c>
      <c r="N7" s="3">
        <f t="shared" si="2"/>
        <v>479.38638542665387</v>
      </c>
      <c r="O7" s="3">
        <f t="shared" si="3"/>
        <v>19427.863315221246</v>
      </c>
      <c r="P7" s="3">
        <f t="shared" si="3"/>
        <v>14381.591562799616</v>
      </c>
      <c r="Q7" s="3">
        <f t="shared" si="4"/>
        <v>87.695216353429245</v>
      </c>
      <c r="R7" s="3">
        <f t="shared" si="4"/>
        <v>64.916906359859382</v>
      </c>
      <c r="S7" s="3">
        <f t="shared" si="5"/>
        <v>19427.863315221246</v>
      </c>
      <c r="T7" s="3">
        <f t="shared" si="6"/>
        <v>111.75</v>
      </c>
      <c r="U7" s="3">
        <f t="shared" si="7"/>
        <v>87.695216353429245</v>
      </c>
      <c r="V7" s="3">
        <f t="shared" si="8"/>
        <v>19299.331463286977</v>
      </c>
      <c r="W7" s="3">
        <f t="shared" si="9"/>
        <v>14500.533861250384</v>
      </c>
      <c r="X7" s="3">
        <f t="shared" si="10"/>
        <v>65.4537986792552</v>
      </c>
      <c r="Y7" s="4">
        <f t="shared" si="0"/>
        <v>155.69400000000002</v>
      </c>
      <c r="AA7" s="39" t="s">
        <v>6</v>
      </c>
      <c r="AB7" s="40">
        <f>AB3*AB4/AC7</f>
        <v>22153.846153846152</v>
      </c>
      <c r="AC7" s="41">
        <v>2.6</v>
      </c>
      <c r="AD7" s="36" t="s">
        <v>14</v>
      </c>
      <c r="AE7" s="42"/>
      <c r="AF7" s="8"/>
      <c r="AG7" s="35">
        <v>210</v>
      </c>
      <c r="AH7" s="36" t="s">
        <v>51</v>
      </c>
      <c r="AI7" s="37"/>
      <c r="AJ7" s="36"/>
      <c r="AK7" s="36"/>
      <c r="AL7" s="38"/>
    </row>
    <row r="8" spans="1:38" ht="13.95" customHeight="1" thickBot="1" x14ac:dyDescent="0.35">
      <c r="B8" s="82">
        <v>1.7766666666666666</v>
      </c>
      <c r="C8" s="83">
        <v>139.79999999999998</v>
      </c>
      <c r="D8" s="83">
        <v>2.68</v>
      </c>
      <c r="E8" s="83"/>
      <c r="F8" s="83"/>
      <c r="G8" s="83">
        <v>1361.8412878381814</v>
      </c>
      <c r="H8" s="83">
        <v>1782</v>
      </c>
      <c r="I8" s="84">
        <v>14.4</v>
      </c>
      <c r="J8" s="2"/>
      <c r="K8" s="1">
        <f t="shared" si="1"/>
        <v>139.79999999999998</v>
      </c>
      <c r="L8" s="1">
        <f t="shared" si="12"/>
        <v>4.9402128297997097</v>
      </c>
      <c r="M8" s="3">
        <f t="shared" si="2"/>
        <v>734.29995766057527</v>
      </c>
      <c r="N8" s="3">
        <f t="shared" si="2"/>
        <v>561.16722783389457</v>
      </c>
      <c r="O8" s="3">
        <f t="shared" si="3"/>
        <v>22028.998729817256</v>
      </c>
      <c r="P8" s="3">
        <f t="shared" si="3"/>
        <v>16835.016835016839</v>
      </c>
      <c r="Q8" s="3">
        <f t="shared" si="4"/>
        <v>99.436452599869568</v>
      </c>
      <c r="R8" s="3">
        <f t="shared" si="4"/>
        <v>75.991395435839905</v>
      </c>
      <c r="S8" s="3">
        <f t="shared" si="5"/>
        <v>22028.99872981726</v>
      </c>
      <c r="T8" s="3">
        <f t="shared" si="6"/>
        <v>139.79999999999998</v>
      </c>
      <c r="U8" s="3">
        <f t="shared" si="7"/>
        <v>99.436452599869583</v>
      </c>
      <c r="V8" s="3">
        <f t="shared" si="8"/>
        <v>21323.102536691451</v>
      </c>
      <c r="W8" s="3">
        <f t="shared" si="9"/>
        <v>16835.887969335279</v>
      </c>
      <c r="X8" s="3">
        <f t="shared" si="10"/>
        <v>75.995327639360639</v>
      </c>
      <c r="Y8" s="4">
        <f t="shared" si="0"/>
        <v>0</v>
      </c>
      <c r="AF8" s="8"/>
      <c r="AG8" s="8"/>
      <c r="AI8" s="8"/>
      <c r="AJ8" s="8"/>
    </row>
    <row r="9" spans="1:38" ht="13.95" customHeight="1" thickBot="1" x14ac:dyDescent="0.35">
      <c r="AA9" t="s">
        <v>56</v>
      </c>
      <c r="AG9" t="s">
        <v>54</v>
      </c>
    </row>
    <row r="10" spans="1:38" ht="13.95" customHeight="1" x14ac:dyDescent="0.3">
      <c r="B10" s="5"/>
      <c r="C10" s="6"/>
      <c r="D10" s="6"/>
      <c r="E10" s="6"/>
      <c r="F10" s="6"/>
      <c r="G10" s="6"/>
      <c r="H10" s="6"/>
      <c r="I10" s="6"/>
      <c r="J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AA10" s="50" t="s">
        <v>22</v>
      </c>
      <c r="AB10" s="51">
        <f>INDEX(LINEST($P$2:$P$8,$D$2:$D$8^{1,2},FALSE,FALSE),1)</f>
        <v>-435.01106108560458</v>
      </c>
      <c r="AC10" s="28"/>
      <c r="AD10" s="52" t="s">
        <v>25</v>
      </c>
      <c r="AE10" s="18">
        <f>CalArduino!AE20</f>
        <v>1.0602056822563426</v>
      </c>
      <c r="AF10" s="8"/>
      <c r="AG10" s="17"/>
      <c r="AH10" s="43" t="s">
        <v>32</v>
      </c>
      <c r="AI10" s="28"/>
      <c r="AJ10" s="43" t="s">
        <v>33</v>
      </c>
      <c r="AK10" s="29" t="s">
        <v>55</v>
      </c>
    </row>
    <row r="11" spans="1:38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M11" s="3"/>
      <c r="N11" s="3"/>
      <c r="O11" s="3" t="s">
        <v>61</v>
      </c>
      <c r="P11" s="3" t="s">
        <v>62</v>
      </c>
      <c r="Q11" s="3" t="s">
        <v>63</v>
      </c>
      <c r="R11" s="3"/>
      <c r="S11" s="3"/>
      <c r="T11" s="3"/>
      <c r="U11" s="3"/>
      <c r="V11" s="3"/>
      <c r="W11" s="3"/>
      <c r="X11" s="3"/>
      <c r="Y11" s="3"/>
      <c r="AA11" s="44"/>
      <c r="AB11" s="54">
        <f>INDEX(LINEST($P$2:$P$8,$D$2:$D$8^{1,2},FALSE,FALSE),2)</f>
        <v>7447.8773934613901</v>
      </c>
      <c r="AC11" s="30"/>
      <c r="AD11" s="45"/>
      <c r="AE11" s="20">
        <f>CalArduino!AE21</f>
        <v>4180.4182204512181</v>
      </c>
      <c r="AF11" s="8"/>
      <c r="AG11" s="58" t="s">
        <v>27</v>
      </c>
      <c r="AH11" s="59">
        <v>0</v>
      </c>
      <c r="AI11" s="46" t="s">
        <v>26</v>
      </c>
      <c r="AJ11" s="60">
        <v>0</v>
      </c>
      <c r="AK11" s="61">
        <v>-5</v>
      </c>
      <c r="AL11" t="s">
        <v>59</v>
      </c>
    </row>
    <row r="12" spans="1:38" ht="13.95" customHeight="1" x14ac:dyDescent="0.3">
      <c r="B12" s="5"/>
      <c r="C12" s="6"/>
      <c r="D12" s="6"/>
      <c r="E12" s="6"/>
      <c r="F12" s="6"/>
      <c r="G12" s="6"/>
      <c r="H12" s="6"/>
      <c r="I12" s="6"/>
      <c r="J12" s="2"/>
      <c r="M12" s="3"/>
      <c r="N12" s="3"/>
      <c r="O12" s="3">
        <v>3482.2983168891469</v>
      </c>
      <c r="P12" s="3">
        <f>O12*CalArduino!$AE$20+CalArduino!$AE$21</f>
        <v>7872.3706833287897</v>
      </c>
      <c r="Q12" s="3">
        <f>P12/60*$AB$2</f>
        <v>262.41235611095965</v>
      </c>
      <c r="R12" s="3">
        <f>1/Q12/0.000001</f>
        <v>3810.7961637948006</v>
      </c>
      <c r="S12" s="3"/>
      <c r="T12" s="3"/>
      <c r="U12" s="3"/>
      <c r="V12" s="3"/>
      <c r="W12" s="3"/>
      <c r="X12" s="3"/>
      <c r="Y12" s="3"/>
      <c r="AA12" s="44"/>
      <c r="AB12" s="45">
        <f>INDEX(LINEST($P$2:$P$8,$D$2:$D$8^{1,2},FALSE,FALSE),3)</f>
        <v>0</v>
      </c>
      <c r="AC12" s="30"/>
      <c r="AD12" s="45" t="s">
        <v>24</v>
      </c>
      <c r="AE12" s="20">
        <f>CalArduino!AE22</f>
        <v>0.94199104022164515</v>
      </c>
      <c r="AG12" s="58" t="s">
        <v>28</v>
      </c>
      <c r="AH12" s="59">
        <v>3.3</v>
      </c>
      <c r="AI12" s="46" t="s">
        <v>31</v>
      </c>
      <c r="AJ12" s="60">
        <v>180</v>
      </c>
      <c r="AK12" s="61">
        <v>70</v>
      </c>
    </row>
    <row r="13" spans="1:38" x14ac:dyDescent="0.3">
      <c r="B13" s="5"/>
      <c r="C13" s="6"/>
      <c r="D13" s="6"/>
      <c r="E13" s="6"/>
      <c r="F13" s="6"/>
      <c r="G13" s="6"/>
      <c r="H13" s="6"/>
      <c r="I13" s="6"/>
      <c r="J13" s="2"/>
      <c r="M13" s="3"/>
      <c r="N13" s="3"/>
      <c r="O13" s="3">
        <v>4769.4753577106521</v>
      </c>
      <c r="P13" s="3">
        <f>O13*CalArduino!$AE$20+CalArduino!$AE$21</f>
        <v>9237.0430960776539</v>
      </c>
      <c r="Q13" s="3">
        <f t="shared" ref="Q13:Q18" si="13">P13/60*$AB$2</f>
        <v>307.90143653592179</v>
      </c>
      <c r="R13" s="3">
        <f t="shared" ref="R13:R18" si="14">1/Q13/0.000001</f>
        <v>3247.7925769058029</v>
      </c>
      <c r="S13" s="3"/>
      <c r="T13" s="3"/>
      <c r="U13" s="3"/>
      <c r="V13" s="3"/>
      <c r="W13" s="3"/>
      <c r="X13" s="3"/>
      <c r="Y13" s="3"/>
      <c r="AA13" s="44" t="s">
        <v>34</v>
      </c>
      <c r="AB13" s="55">
        <f>INDEX(LINEST($S$2:$S$8,$L$2:$L$8),1)</f>
        <v>9036.7660560772038</v>
      </c>
      <c r="AC13" s="30"/>
      <c r="AD13" s="45"/>
      <c r="AE13" s="20">
        <f>CalArduino!AE23</f>
        <v>-3925.570398689204</v>
      </c>
      <c r="AG13" s="19"/>
      <c r="AH13" s="30" t="s">
        <v>60</v>
      </c>
      <c r="AI13" s="30"/>
      <c r="AJ13" s="62"/>
      <c r="AK13" s="63">
        <f>(AK12-AK11)/(AH12-AH11)</f>
        <v>22.72727272727273</v>
      </c>
    </row>
    <row r="14" spans="1:38" ht="13.95" customHeight="1" thickBot="1" x14ac:dyDescent="0.35">
      <c r="B14" s="5"/>
      <c r="C14" s="6"/>
      <c r="D14" s="6"/>
      <c r="E14" s="6"/>
      <c r="F14" s="6"/>
      <c r="G14" s="6"/>
      <c r="H14" s="6"/>
      <c r="I14" s="6"/>
      <c r="J14" s="2"/>
      <c r="M14" s="3"/>
      <c r="N14" s="3"/>
      <c r="O14" s="3">
        <v>8280.4305823902851</v>
      </c>
      <c r="P14" s="3">
        <f>O14*CalArduino!$AE$20+CalArduino!$AE$21</f>
        <v>12959.377775430594</v>
      </c>
      <c r="Q14" s="3">
        <f t="shared" si="13"/>
        <v>431.97925918101981</v>
      </c>
      <c r="R14" s="3">
        <f t="shared" si="14"/>
        <v>2314.9259570838622</v>
      </c>
      <c r="S14" s="3"/>
      <c r="T14" s="3"/>
      <c r="U14" s="3" t="s">
        <v>44</v>
      </c>
      <c r="V14" s="11" t="s">
        <v>45</v>
      </c>
      <c r="W14" s="12"/>
      <c r="X14" s="12"/>
      <c r="Y14" s="3"/>
      <c r="AA14" s="56"/>
      <c r="AB14" s="57">
        <f>INDEX(LINEST($S$2:$S$8,$L$2:$L$8),2)</f>
        <v>-23320.445073439671</v>
      </c>
      <c r="AC14" s="32"/>
      <c r="AD14" s="32"/>
      <c r="AE14" s="34"/>
      <c r="AG14" s="19"/>
      <c r="AH14" s="30"/>
      <c r="AI14" s="30"/>
      <c r="AJ14" s="62"/>
      <c r="AK14" s="63">
        <f>AK12-AK13*(AH12-AH11)</f>
        <v>-5</v>
      </c>
    </row>
    <row r="15" spans="1:38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>
        <v>11025.358324145536</v>
      </c>
      <c r="P15" s="3">
        <f>O15*CalArduino!$AE$20+CalArduino!$AE$21</f>
        <v>15869.565764622583</v>
      </c>
      <c r="Q15" s="3">
        <f t="shared" si="13"/>
        <v>528.98552548741941</v>
      </c>
      <c r="R15" s="3">
        <f t="shared" si="14"/>
        <v>1890.4108937169444</v>
      </c>
      <c r="S15" s="3"/>
      <c r="T15" s="3"/>
      <c r="U15" s="3"/>
      <c r="V15" s="13" t="s">
        <v>46</v>
      </c>
      <c r="W15" s="14"/>
      <c r="X15" s="14"/>
      <c r="Y15" s="3"/>
      <c r="AD15" t="s">
        <v>64</v>
      </c>
      <c r="AG15" s="21"/>
      <c r="AH15" s="32"/>
      <c r="AI15" s="32"/>
      <c r="AJ15" s="48"/>
      <c r="AK15" s="49" t="s">
        <v>23</v>
      </c>
    </row>
    <row r="16" spans="1:38" ht="15" thickBot="1" x14ac:dyDescent="0.3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>
        <v>12360.939431396786</v>
      </c>
      <c r="P16" s="3">
        <f>O16*CalArduino!$AE$20+CalArduino!$AE$21</f>
        <v>17285.556443644575</v>
      </c>
      <c r="Q16" s="3">
        <f t="shared" si="13"/>
        <v>576.18521478815251</v>
      </c>
      <c r="R16" s="3">
        <f t="shared" si="14"/>
        <v>1735.553038041201</v>
      </c>
      <c r="S16" s="3"/>
      <c r="T16" s="3"/>
      <c r="U16" s="3"/>
      <c r="V16" s="15" t="s">
        <v>47</v>
      </c>
      <c r="W16" s="16"/>
      <c r="X16" s="16"/>
      <c r="Y16" s="3"/>
      <c r="AA16" s="5" t="s">
        <v>57</v>
      </c>
      <c r="AB16" s="5"/>
      <c r="AC16" s="5"/>
    </row>
    <row r="17" spans="2:41" x14ac:dyDescent="0.3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>
        <v>14381.591562799616</v>
      </c>
      <c r="P17" s="3">
        <f>O17*CalArduino!$AE$20+CalArduino!$AE$21</f>
        <v>19427.863315221246</v>
      </c>
      <c r="Q17" s="3">
        <f t="shared" si="13"/>
        <v>647.59544384070819</v>
      </c>
      <c r="R17" s="3">
        <f t="shared" si="14"/>
        <v>1544.1739275824405</v>
      </c>
      <c r="S17" s="3"/>
      <c r="T17" s="3"/>
      <c r="U17" s="3"/>
      <c r="W17" s="3"/>
      <c r="X17" s="3"/>
      <c r="Y17" s="3"/>
      <c r="AA17" s="64" t="s">
        <v>28</v>
      </c>
      <c r="AB17" s="90">
        <f>AH12</f>
        <v>3.3</v>
      </c>
      <c r="AC17" s="66"/>
      <c r="AD17" s="29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>
        <v>16835.016835016839</v>
      </c>
      <c r="P18" s="3">
        <f>O18*CalArduino!$AE$20+CalArduino!$AE$21</f>
        <v>22028.99872981726</v>
      </c>
      <c r="Q18" s="3">
        <f t="shared" si="13"/>
        <v>734.29995766057539</v>
      </c>
      <c r="R18" s="3">
        <f t="shared" si="14"/>
        <v>1361.8412878381814</v>
      </c>
      <c r="S18" s="3"/>
      <c r="T18" s="3"/>
      <c r="U18" s="3"/>
      <c r="V18" s="3"/>
      <c r="W18" s="3"/>
      <c r="X18" s="3"/>
      <c r="Y18" s="3"/>
      <c r="AA18" s="67" t="s">
        <v>27</v>
      </c>
      <c r="AB18" s="68">
        <f>AH11</f>
        <v>0</v>
      </c>
      <c r="AC18" s="46"/>
      <c r="AD18" s="31"/>
    </row>
    <row r="19" spans="2:41" x14ac:dyDescent="0.3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s="67" t="s">
        <v>30</v>
      </c>
      <c r="AB19" s="68">
        <f>AE4</f>
        <v>5</v>
      </c>
      <c r="AC19" s="30"/>
      <c r="AD19" s="31"/>
    </row>
    <row r="20" spans="2:41" x14ac:dyDescent="0.3">
      <c r="AA20" s="67" t="s">
        <v>29</v>
      </c>
      <c r="AB20" s="68">
        <f>AE3</f>
        <v>0</v>
      </c>
      <c r="AC20" s="30"/>
      <c r="AD20" s="31"/>
    </row>
    <row r="21" spans="2:41" x14ac:dyDescent="0.3">
      <c r="AA21" s="67" t="s">
        <v>43</v>
      </c>
      <c r="AB21" s="68">
        <f>AB7/100</f>
        <v>221.53846153846152</v>
      </c>
      <c r="AC21" s="30"/>
      <c r="AD21" s="31"/>
    </row>
    <row r="22" spans="2:41" x14ac:dyDescent="0.3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67" t="s">
        <v>31</v>
      </c>
      <c r="AB22" s="68">
        <f>AJ12</f>
        <v>180</v>
      </c>
      <c r="AC22" s="30"/>
      <c r="AD22" s="31"/>
      <c r="AM22" s="3"/>
      <c r="AN22" s="3"/>
      <c r="AO22" s="3"/>
    </row>
    <row r="23" spans="2:41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67" t="s">
        <v>26</v>
      </c>
      <c r="AB23" s="68">
        <f>AJ11</f>
        <v>0</v>
      </c>
      <c r="AC23" s="30"/>
      <c r="AD23" s="31"/>
      <c r="AL23" s="3"/>
    </row>
    <row r="24" spans="2:41" x14ac:dyDescent="0.3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67" t="s">
        <v>22</v>
      </c>
      <c r="AB24" s="68">
        <f>AB12</f>
        <v>0</v>
      </c>
      <c r="AC24" s="69">
        <f>AB11</f>
        <v>7447.8773934613901</v>
      </c>
      <c r="AD24" s="70">
        <f>AB10</f>
        <v>-435.01106108560458</v>
      </c>
    </row>
    <row r="25" spans="2:41" x14ac:dyDescent="0.3"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67" t="s">
        <v>34</v>
      </c>
      <c r="AB25" s="68">
        <f>AB14</f>
        <v>-23320.445073439671</v>
      </c>
      <c r="AC25" s="69">
        <f>AB13</f>
        <v>9036.7660560772038</v>
      </c>
      <c r="AD25" s="31"/>
      <c r="AJ25" s="3"/>
      <c r="AK25" s="3"/>
    </row>
    <row r="26" spans="2:41" ht="15" thickBot="1" x14ac:dyDescent="0.35">
      <c r="B26" t="s">
        <v>74</v>
      </c>
      <c r="C26" s="6" t="s">
        <v>75</v>
      </c>
      <c r="D26" s="6" t="s">
        <v>76</v>
      </c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67" t="s">
        <v>23</v>
      </c>
      <c r="AB26" s="68">
        <f>AK14</f>
        <v>-5</v>
      </c>
      <c r="AC26" s="71">
        <f>AK13</f>
        <v>22.72727272727273</v>
      </c>
      <c r="AD26" s="31"/>
    </row>
    <row r="27" spans="2:41" x14ac:dyDescent="0.3">
      <c r="B27" s="88">
        <v>61</v>
      </c>
      <c r="C27" s="6">
        <f>B27/180*(2.4-0.53)+0.53</f>
        <v>1.1637222222222223</v>
      </c>
      <c r="D27" s="91">
        <f>(C27-1)*180</f>
        <v>29.47000000000002</v>
      </c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67" t="s">
        <v>24</v>
      </c>
      <c r="AB27" s="68">
        <f>AE13</f>
        <v>-3925.570398689204</v>
      </c>
      <c r="AC27" s="72">
        <f>AE12</f>
        <v>0.94199104022164515</v>
      </c>
      <c r="AD27" s="31"/>
    </row>
    <row r="28" spans="2:41" ht="15" thickBot="1" x14ac:dyDescent="0.35">
      <c r="B28" s="76">
        <v>65</v>
      </c>
      <c r="C28" s="6">
        <f t="shared" ref="C28:C33" si="15">B28/180*(2.4-0.53)+0.53</f>
        <v>1.2052777777777779</v>
      </c>
      <c r="D28" s="91">
        <f t="shared" ref="D28:D33" si="16">(C28-1)*180</f>
        <v>36.950000000000017</v>
      </c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73" t="s">
        <v>25</v>
      </c>
      <c r="AB28" s="74">
        <f>AE11</f>
        <v>4180.4182204512181</v>
      </c>
      <c r="AC28" s="75">
        <f>AE10</f>
        <v>1.0602056822563426</v>
      </c>
      <c r="AD28" s="34"/>
    </row>
    <row r="29" spans="2:41" x14ac:dyDescent="0.3">
      <c r="B29" s="76">
        <v>77</v>
      </c>
      <c r="C29" s="6">
        <f t="shared" si="15"/>
        <v>1.3299444444444444</v>
      </c>
      <c r="D29" s="91">
        <f t="shared" si="16"/>
        <v>59.389999999999986</v>
      </c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41" x14ac:dyDescent="0.3">
      <c r="B30" s="76">
        <v>88</v>
      </c>
      <c r="C30" s="6">
        <f t="shared" si="15"/>
        <v>1.4442222222222223</v>
      </c>
      <c r="D30" s="91">
        <f t="shared" si="16"/>
        <v>79.960000000000008</v>
      </c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41" x14ac:dyDescent="0.3">
      <c r="B31" s="76">
        <v>95</v>
      </c>
      <c r="C31" s="6">
        <f t="shared" si="15"/>
        <v>1.5169444444444444</v>
      </c>
      <c r="D31" s="91">
        <f t="shared" si="16"/>
        <v>93.05</v>
      </c>
    </row>
    <row r="32" spans="2:41" x14ac:dyDescent="0.3">
      <c r="B32" s="76">
        <v>105</v>
      </c>
      <c r="C32" s="6">
        <f t="shared" si="15"/>
        <v>1.6208333333333333</v>
      </c>
      <c r="D32" s="91">
        <f t="shared" si="16"/>
        <v>111.75</v>
      </c>
    </row>
    <row r="33" spans="2:4" ht="15" thickBot="1" x14ac:dyDescent="0.35">
      <c r="B33" s="83">
        <v>120</v>
      </c>
      <c r="C33" s="6">
        <f t="shared" si="15"/>
        <v>1.7766666666666666</v>
      </c>
      <c r="D33" s="91">
        <f t="shared" si="16"/>
        <v>139.79999999999998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CalArduino</vt:lpstr>
      <vt:lpstr>CalPhoton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2016-10-13T23:35:19Z</dcterms:modified>
</cp:coreProperties>
</file>