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ve\Documents\GitHub\ESC\myESC-Particle-DEV\saves\"/>
    </mc:Choice>
  </mc:AlternateContent>
  <bookViews>
    <workbookView xWindow="0" yWindow="0" windowWidth="15552" windowHeight="6792"/>
  </bookViews>
  <sheets>
    <sheet name="Cal" sheetId="1" r:id="rId1"/>
    <sheet name="Coupling" sheetId="4" r:id="rId2"/>
  </sheets>
  <calcPr calcId="152511"/>
</workbook>
</file>

<file path=xl/calcChain.xml><?xml version="1.0" encoding="utf-8"?>
<calcChain xmlns="http://schemas.openxmlformats.org/spreadsheetml/2006/main">
  <c r="S3" i="1" l="1"/>
  <c r="S4" i="1"/>
  <c r="S5" i="1"/>
  <c r="S6" i="1"/>
  <c r="S7" i="1"/>
  <c r="S8" i="1"/>
  <c r="S9" i="1"/>
  <c r="S10" i="1"/>
  <c r="S11" i="1"/>
  <c r="S12" i="1"/>
  <c r="S13" i="1"/>
  <c r="S14" i="1"/>
  <c r="S2" i="1"/>
  <c r="R2" i="1"/>
  <c r="AB16" i="1" l="1"/>
  <c r="AB15" i="1"/>
  <c r="Z16" i="1"/>
  <c r="Z15" i="1"/>
  <c r="V7" i="1"/>
  <c r="V9" i="1" l="1"/>
  <c r="V8" i="1"/>
  <c r="T16" i="1" s="1"/>
  <c r="Z5" i="1"/>
  <c r="Z4" i="1"/>
  <c r="T2" i="1" l="1"/>
  <c r="T12" i="1"/>
  <c r="T8" i="1"/>
  <c r="T4" i="1"/>
  <c r="T15" i="1"/>
  <c r="T11" i="1"/>
  <c r="T7" i="1"/>
  <c r="T3" i="1"/>
  <c r="T14" i="1"/>
  <c r="T10" i="1"/>
  <c r="T6" i="1"/>
  <c r="T17" i="1"/>
  <c r="T13" i="1"/>
  <c r="T9" i="1"/>
  <c r="T5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K15" i="1" s="1"/>
  <c r="J16" i="1"/>
  <c r="K16" i="1" s="1"/>
  <c r="J17" i="1"/>
  <c r="K17" i="1" s="1"/>
  <c r="J2" i="1"/>
  <c r="V4" i="1"/>
  <c r="K12" i="1" l="1"/>
  <c r="P12" i="1"/>
  <c r="K11" i="1"/>
  <c r="P11" i="1"/>
  <c r="K3" i="1"/>
  <c r="P3" i="1"/>
  <c r="K2" i="1"/>
  <c r="P2" i="1"/>
  <c r="K10" i="1"/>
  <c r="P10" i="1"/>
  <c r="K13" i="1"/>
  <c r="P13" i="1"/>
  <c r="K4" i="1"/>
  <c r="P4" i="1"/>
  <c r="K8" i="1"/>
  <c r="P8" i="1"/>
  <c r="K5" i="1"/>
  <c r="P5" i="1"/>
  <c r="K9" i="1"/>
  <c r="P9" i="1"/>
  <c r="K7" i="1"/>
  <c r="P7" i="1"/>
  <c r="K14" i="1"/>
  <c r="P14" i="1"/>
  <c r="K6" i="1"/>
  <c r="P6" i="1"/>
  <c r="AA2" i="1"/>
  <c r="AA3" i="1"/>
  <c r="Q15" i="1"/>
  <c r="H3" i="1"/>
  <c r="I3" i="1" s="1"/>
  <c r="H4" i="1"/>
  <c r="I4" i="1" s="1"/>
  <c r="H5" i="1"/>
  <c r="I5" i="1" s="1"/>
  <c r="H6" i="1"/>
  <c r="I6" i="1" s="1"/>
  <c r="H7" i="1"/>
  <c r="I7" i="1" s="1"/>
  <c r="H8" i="1"/>
  <c r="I8" i="1" s="1"/>
  <c r="H9" i="1"/>
  <c r="I9" i="1" s="1"/>
  <c r="H10" i="1"/>
  <c r="I10" i="1" s="1"/>
  <c r="H11" i="1"/>
  <c r="I11" i="1" s="1"/>
  <c r="H12" i="1"/>
  <c r="I12" i="1" s="1"/>
  <c r="H13" i="1"/>
  <c r="I13" i="1" s="1"/>
  <c r="H14" i="1"/>
  <c r="I14" i="1" s="1"/>
  <c r="H2" i="1"/>
  <c r="I2" i="1" s="1"/>
  <c r="AA5" i="1" l="1"/>
  <c r="AA4" i="1"/>
  <c r="D2" i="4"/>
  <c r="F2" i="4" s="1"/>
  <c r="E2" i="4"/>
  <c r="G2" i="4" s="1"/>
  <c r="D3" i="4"/>
  <c r="E3" i="4"/>
  <c r="G3" i="4" s="1"/>
  <c r="F3" i="4"/>
  <c r="D4" i="4"/>
  <c r="F4" i="4" s="1"/>
  <c r="E4" i="4"/>
  <c r="G4" i="4" s="1"/>
  <c r="D5" i="4"/>
  <c r="F5" i="4" s="1"/>
  <c r="E5" i="4"/>
  <c r="G5" i="4" s="1"/>
  <c r="D6" i="4"/>
  <c r="F6" i="4" s="1"/>
  <c r="E6" i="4"/>
  <c r="G6" i="4" s="1"/>
  <c r="D7" i="4"/>
  <c r="F7" i="4" s="1"/>
  <c r="E7" i="4"/>
  <c r="G7" i="4" s="1"/>
  <c r="J5" i="4"/>
  <c r="W5" i="1" s="1"/>
  <c r="J8" i="4" l="1"/>
  <c r="J9" i="4"/>
  <c r="C9" i="4"/>
  <c r="C8" i="4"/>
  <c r="H7" i="4"/>
  <c r="H4" i="4"/>
  <c r="H3" i="4"/>
  <c r="H6" i="4"/>
  <c r="H5" i="4"/>
  <c r="H2" i="4"/>
  <c r="L3" i="1"/>
  <c r="M3" i="1" s="1"/>
  <c r="L4" i="1"/>
  <c r="M4" i="1" s="1"/>
  <c r="L5" i="1"/>
  <c r="M5" i="1" s="1"/>
  <c r="L6" i="1"/>
  <c r="M6" i="1" s="1"/>
  <c r="L7" i="1"/>
  <c r="M7" i="1" s="1"/>
  <c r="L8" i="1"/>
  <c r="M8" i="1" s="1"/>
  <c r="L9" i="1"/>
  <c r="M9" i="1" s="1"/>
  <c r="L10" i="1"/>
  <c r="M10" i="1" s="1"/>
  <c r="L11" i="1"/>
  <c r="M11" i="1" s="1"/>
  <c r="L12" i="1"/>
  <c r="M12" i="1" s="1"/>
  <c r="L13" i="1"/>
  <c r="M13" i="1" s="1"/>
  <c r="L14" i="1"/>
  <c r="M14" i="1" s="1"/>
  <c r="L15" i="1"/>
  <c r="L16" i="1"/>
  <c r="M16" i="1" s="1"/>
  <c r="L17" i="1"/>
  <c r="M17" i="1" s="1"/>
  <c r="L2" i="1"/>
  <c r="M2" i="1" s="1"/>
  <c r="O9" i="1" l="1"/>
  <c r="Q9" i="1" s="1"/>
  <c r="O14" i="1"/>
  <c r="Q14" i="1" s="1"/>
  <c r="O13" i="1"/>
  <c r="O12" i="1"/>
  <c r="Q12" i="1" s="1"/>
  <c r="O4" i="1"/>
  <c r="Q4" i="1" s="1"/>
  <c r="O11" i="1"/>
  <c r="Q11" i="1" s="1"/>
  <c r="O3" i="1"/>
  <c r="Q3" i="1" s="1"/>
  <c r="O8" i="1"/>
  <c r="Q8" i="1" s="1"/>
  <c r="O7" i="1"/>
  <c r="Q7" i="1" s="1"/>
  <c r="O6" i="1"/>
  <c r="Q6" i="1" s="1"/>
  <c r="O5" i="1"/>
  <c r="O10" i="1"/>
  <c r="AC3" i="1"/>
  <c r="AD3" i="1" s="1"/>
  <c r="O2" i="1"/>
  <c r="M15" i="1"/>
  <c r="N2" i="1"/>
  <c r="N4" i="1"/>
  <c r="N3" i="1"/>
  <c r="N7" i="1"/>
  <c r="N11" i="1"/>
  <c r="N9" i="1"/>
  <c r="N8" i="1"/>
  <c r="N14" i="1"/>
  <c r="N6" i="1"/>
  <c r="N12" i="1"/>
  <c r="N10" i="1"/>
  <c r="Q10" i="1"/>
  <c r="N13" i="1"/>
  <c r="Q13" i="1"/>
  <c r="N5" i="1"/>
  <c r="Q5" i="1"/>
  <c r="Q2" i="1" l="1"/>
  <c r="AC5" i="1"/>
  <c r="AD2" i="1"/>
  <c r="AC4" i="1"/>
  <c r="N15" i="1"/>
  <c r="V10" i="1"/>
  <c r="V11" i="1"/>
  <c r="AB3" i="1" l="1"/>
  <c r="AB2" i="1"/>
  <c r="AD4" i="1"/>
  <c r="AD5" i="1"/>
  <c r="R5" i="1"/>
  <c r="R13" i="1"/>
  <c r="R3" i="1"/>
  <c r="R11" i="1"/>
  <c r="R6" i="1"/>
  <c r="R14" i="1"/>
  <c r="R7" i="1"/>
  <c r="R9" i="1"/>
  <c r="R12" i="1"/>
  <c r="R8" i="1"/>
  <c r="R10" i="1"/>
  <c r="R4" i="1"/>
</calcChain>
</file>

<file path=xl/sharedStrings.xml><?xml version="1.0" encoding="utf-8"?>
<sst xmlns="http://schemas.openxmlformats.org/spreadsheetml/2006/main" count="73" uniqueCount="68">
  <si>
    <t>throttleFlt, deg</t>
  </si>
  <si>
    <t>v4, vdc</t>
  </si>
  <si>
    <t>Vemf, V pk-pk</t>
  </si>
  <si>
    <t>Freq, Hz</t>
  </si>
  <si>
    <t>numPoles</t>
  </si>
  <si>
    <t>T, micros</t>
  </si>
  <si>
    <t>Kv</t>
  </si>
  <si>
    <t>Vc</t>
  </si>
  <si>
    <t>max RPM</t>
  </si>
  <si>
    <t>POT, v</t>
  </si>
  <si>
    <t>fan,RPM</t>
  </si>
  <si>
    <t>fan, %</t>
  </si>
  <si>
    <t>using 18</t>
  </si>
  <si>
    <t>watts</t>
  </si>
  <si>
    <t>using 12</t>
  </si>
  <si>
    <t>volts</t>
  </si>
  <si>
    <t>max amps</t>
  </si>
  <si>
    <t>Num Poles</t>
  </si>
  <si>
    <t>fan, rpm</t>
  </si>
  <si>
    <t>gg, rpm</t>
  </si>
  <si>
    <t>out, Hz</t>
  </si>
  <si>
    <t>in, Hz</t>
  </si>
  <si>
    <t>out, microsec</t>
  </si>
  <si>
    <t>in, microsec</t>
  </si>
  <si>
    <t>max power</t>
  </si>
  <si>
    <t>P/10, W/10</t>
  </si>
  <si>
    <t>Calc fan, rpm</t>
  </si>
  <si>
    <t>Throttle, deg</t>
  </si>
  <si>
    <t>Calc NG from Nf, rpm</t>
  </si>
  <si>
    <t>Calc Ng from Nf, %</t>
  </si>
  <si>
    <t>Calc Ng from Throttle, rpm</t>
  </si>
  <si>
    <t>for 100% Ng at</t>
  </si>
  <si>
    <t>ln(throttle)</t>
  </si>
  <si>
    <t>pcngRef</t>
  </si>
  <si>
    <t>pcnfRef</t>
  </si>
  <si>
    <t>ngRef</t>
  </si>
  <si>
    <t>nfRef</t>
  </si>
  <si>
    <t>throttle</t>
  </si>
  <si>
    <t>pot --&gt; pcnfRef</t>
  </si>
  <si>
    <t>v4 --&gt; nf --&gt; pcnf</t>
  </si>
  <si>
    <t>Charger V, vdc</t>
  </si>
  <si>
    <t>Charger I, A</t>
  </si>
  <si>
    <t>Charger Pwr, W</t>
  </si>
  <si>
    <t>using 13</t>
  </si>
  <si>
    <t>using 156</t>
  </si>
  <si>
    <t>Recommended ESC amps</t>
  </si>
  <si>
    <t>magnetic poles</t>
  </si>
  <si>
    <t>open loop: pot --&gt;  pcnfRef --&gt; nfRef --&gt; ngRef -ln-&gt; throttle</t>
  </si>
  <si>
    <t>P_V4_NF</t>
  </si>
  <si>
    <t>P_P_PNF</t>
  </si>
  <si>
    <t>P_NG_NF</t>
  </si>
  <si>
    <t>P_NF_NG</t>
  </si>
  <si>
    <t>THTL_MIN</t>
  </si>
  <si>
    <t>POT_MIN</t>
  </si>
  <si>
    <t>POT_MAX</t>
  </si>
  <si>
    <t>F2V_MIN</t>
  </si>
  <si>
    <t>F2V_MAX</t>
  </si>
  <si>
    <t>P_P_THTL</t>
  </si>
  <si>
    <t>THTL_MAX</t>
  </si>
  <si>
    <t>potValue, v</t>
  </si>
  <si>
    <t>throttle, deg</t>
  </si>
  <si>
    <t>vemf, v</t>
  </si>
  <si>
    <t>P_F_PNG</t>
  </si>
  <si>
    <t>P_F_NG</t>
  </si>
  <si>
    <t>P_F_NF</t>
  </si>
  <si>
    <t>P_F_PNF</t>
  </si>
  <si>
    <t>P_LT_NG</t>
  </si>
  <si>
    <t>Calc Throttle from Ng, deg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</si>
</sst>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000"/>
    <numFmt numFmtId="166" formatCode="0.000"/>
  </numFmts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0" fontId="0" fillId="3" borderId="0" xfId="0" applyFill="1"/>
    <xf numFmtId="0" fontId="0" fillId="4" borderId="0" xfId="0" applyFill="1"/>
    <xf numFmtId="0" fontId="0" fillId="0" borderId="0" xfId="0" applyFill="1"/>
    <xf numFmtId="0" fontId="0" fillId="2" borderId="0" xfId="0" applyFill="1" applyAlignment="1">
      <alignment horizontal="center"/>
    </xf>
    <xf numFmtId="0" fontId="0" fillId="4" borderId="0" xfId="0" applyFill="1" applyAlignment="1">
      <alignment horizontal="center" wrapText="1"/>
    </xf>
    <xf numFmtId="0" fontId="0" fillId="4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Fill="1" applyAlignment="1">
      <alignment horizontal="center"/>
    </xf>
    <xf numFmtId="164" fontId="0" fillId="3" borderId="0" xfId="0" applyNumberFormat="1" applyFill="1"/>
    <xf numFmtId="1" fontId="0" fillId="3" borderId="0" xfId="0" applyNumberFormat="1" applyFill="1"/>
    <xf numFmtId="165" fontId="0" fillId="2" borderId="0" xfId="0" applyNumberFormat="1" applyFill="1" applyAlignment="1">
      <alignment horizontal="center"/>
    </xf>
    <xf numFmtId="166" fontId="0" fillId="2" borderId="0" xfId="0" applyNumberFormat="1" applyFill="1" applyAlignment="1">
      <alignment horizontal="center"/>
    </xf>
    <xf numFmtId="1" fontId="0" fillId="2" borderId="0" xfId="0" applyNumberFormat="1" applyFill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left"/>
    </xf>
    <xf numFmtId="1" fontId="0" fillId="0" borderId="0" xfId="0" applyNumberFormat="1" applyFill="1"/>
    <xf numFmtId="0" fontId="0" fillId="5" borderId="0" xfId="0" applyFill="1" applyAlignment="1">
      <alignment horizontal="center"/>
    </xf>
    <xf numFmtId="0" fontId="0" fillId="5" borderId="0" xfId="0" applyFill="1"/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DC Power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615492557213652E-2"/>
          <c:y val="3.4574024703604954E-2"/>
          <c:w val="0.81758949758278443"/>
          <c:h val="0.82277746777715777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Cal!$D$1</c:f>
              <c:strCache>
                <c:ptCount val="1"/>
                <c:pt idx="0">
                  <c:v>Charger V, vdc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Cal!$B$2:$B$17</c:f>
              <c:numCache>
                <c:formatCode>General</c:formatCode>
                <c:ptCount val="16"/>
                <c:pt idx="0">
                  <c:v>61</c:v>
                </c:pt>
                <c:pt idx="1">
                  <c:v>65</c:v>
                </c:pt>
                <c:pt idx="2">
                  <c:v>70</c:v>
                </c:pt>
                <c:pt idx="3">
                  <c:v>75</c:v>
                </c:pt>
                <c:pt idx="4">
                  <c:v>77</c:v>
                </c:pt>
                <c:pt idx="5">
                  <c:v>79</c:v>
                </c:pt>
                <c:pt idx="6">
                  <c:v>81</c:v>
                </c:pt>
                <c:pt idx="7">
                  <c:v>83.5</c:v>
                </c:pt>
                <c:pt idx="8">
                  <c:v>88</c:v>
                </c:pt>
                <c:pt idx="9">
                  <c:v>92</c:v>
                </c:pt>
                <c:pt idx="10">
                  <c:v>95</c:v>
                </c:pt>
                <c:pt idx="11">
                  <c:v>100</c:v>
                </c:pt>
                <c:pt idx="12">
                  <c:v>105</c:v>
                </c:pt>
                <c:pt idx="13">
                  <c:v>110</c:v>
                </c:pt>
                <c:pt idx="14">
                  <c:v>115</c:v>
                </c:pt>
                <c:pt idx="15">
                  <c:v>120</c:v>
                </c:pt>
              </c:numCache>
            </c:numRef>
          </c:xVal>
          <c:yVal>
            <c:numRef>
              <c:f>Cal!$D$2:$D$17</c:f>
              <c:numCache>
                <c:formatCode>General</c:formatCode>
                <c:ptCount val="16"/>
                <c:pt idx="0">
                  <c:v>12.15</c:v>
                </c:pt>
                <c:pt idx="1">
                  <c:v>12.14</c:v>
                </c:pt>
                <c:pt idx="2">
                  <c:v>12.11</c:v>
                </c:pt>
                <c:pt idx="3">
                  <c:v>12.07</c:v>
                </c:pt>
                <c:pt idx="4">
                  <c:v>12.07</c:v>
                </c:pt>
                <c:pt idx="5">
                  <c:v>12.03</c:v>
                </c:pt>
                <c:pt idx="6">
                  <c:v>12.03</c:v>
                </c:pt>
                <c:pt idx="7">
                  <c:v>11.98</c:v>
                </c:pt>
                <c:pt idx="8">
                  <c:v>11.96</c:v>
                </c:pt>
                <c:pt idx="9">
                  <c:v>11.9</c:v>
                </c:pt>
                <c:pt idx="10">
                  <c:v>11.86</c:v>
                </c:pt>
                <c:pt idx="11">
                  <c:v>11.75</c:v>
                </c:pt>
                <c:pt idx="12">
                  <c:v>11.55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Cal!$E$1</c:f>
              <c:strCache>
                <c:ptCount val="1"/>
                <c:pt idx="0">
                  <c:v>Charger I, 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Cal!$B$2:$B$17</c:f>
              <c:numCache>
                <c:formatCode>General</c:formatCode>
                <c:ptCount val="16"/>
                <c:pt idx="0">
                  <c:v>61</c:v>
                </c:pt>
                <c:pt idx="1">
                  <c:v>65</c:v>
                </c:pt>
                <c:pt idx="2">
                  <c:v>70</c:v>
                </c:pt>
                <c:pt idx="3">
                  <c:v>75</c:v>
                </c:pt>
                <c:pt idx="4">
                  <c:v>77</c:v>
                </c:pt>
                <c:pt idx="5">
                  <c:v>79</c:v>
                </c:pt>
                <c:pt idx="6">
                  <c:v>81</c:v>
                </c:pt>
                <c:pt idx="7">
                  <c:v>83.5</c:v>
                </c:pt>
                <c:pt idx="8">
                  <c:v>88</c:v>
                </c:pt>
                <c:pt idx="9">
                  <c:v>92</c:v>
                </c:pt>
                <c:pt idx="10">
                  <c:v>95</c:v>
                </c:pt>
                <c:pt idx="11">
                  <c:v>100</c:v>
                </c:pt>
                <c:pt idx="12">
                  <c:v>105</c:v>
                </c:pt>
                <c:pt idx="13">
                  <c:v>110</c:v>
                </c:pt>
                <c:pt idx="14">
                  <c:v>115</c:v>
                </c:pt>
                <c:pt idx="15">
                  <c:v>120</c:v>
                </c:pt>
              </c:numCache>
            </c:numRef>
          </c:xVal>
          <c:yVal>
            <c:numRef>
              <c:f>Cal!$E$2:$E$17</c:f>
              <c:numCache>
                <c:formatCode>General</c:formatCode>
                <c:ptCount val="16"/>
                <c:pt idx="0">
                  <c:v>1.56</c:v>
                </c:pt>
                <c:pt idx="1">
                  <c:v>1.9</c:v>
                </c:pt>
                <c:pt idx="2">
                  <c:v>2.64</c:v>
                </c:pt>
                <c:pt idx="3">
                  <c:v>3.66</c:v>
                </c:pt>
                <c:pt idx="4">
                  <c:v>3.66</c:v>
                </c:pt>
                <c:pt idx="5">
                  <c:v>4.47</c:v>
                </c:pt>
                <c:pt idx="6">
                  <c:v>4.47</c:v>
                </c:pt>
                <c:pt idx="7">
                  <c:v>5.69</c:v>
                </c:pt>
                <c:pt idx="8">
                  <c:v>6.51</c:v>
                </c:pt>
                <c:pt idx="9">
                  <c:v>7.43</c:v>
                </c:pt>
                <c:pt idx="10">
                  <c:v>8.49</c:v>
                </c:pt>
                <c:pt idx="11">
                  <c:v>10.8</c:v>
                </c:pt>
                <c:pt idx="12">
                  <c:v>13.48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Cal!$I$1</c:f>
              <c:strCache>
                <c:ptCount val="1"/>
                <c:pt idx="0">
                  <c:v>P/10, W/10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Cal!$B$2:$B$17</c:f>
              <c:numCache>
                <c:formatCode>General</c:formatCode>
                <c:ptCount val="16"/>
                <c:pt idx="0">
                  <c:v>61</c:v>
                </c:pt>
                <c:pt idx="1">
                  <c:v>65</c:v>
                </c:pt>
                <c:pt idx="2">
                  <c:v>70</c:v>
                </c:pt>
                <c:pt idx="3">
                  <c:v>75</c:v>
                </c:pt>
                <c:pt idx="4">
                  <c:v>77</c:v>
                </c:pt>
                <c:pt idx="5">
                  <c:v>79</c:v>
                </c:pt>
                <c:pt idx="6">
                  <c:v>81</c:v>
                </c:pt>
                <c:pt idx="7">
                  <c:v>83.5</c:v>
                </c:pt>
                <c:pt idx="8">
                  <c:v>88</c:v>
                </c:pt>
                <c:pt idx="9">
                  <c:v>92</c:v>
                </c:pt>
                <c:pt idx="10">
                  <c:v>95</c:v>
                </c:pt>
                <c:pt idx="11">
                  <c:v>100</c:v>
                </c:pt>
                <c:pt idx="12">
                  <c:v>105</c:v>
                </c:pt>
                <c:pt idx="13">
                  <c:v>110</c:v>
                </c:pt>
                <c:pt idx="14">
                  <c:v>115</c:v>
                </c:pt>
                <c:pt idx="15">
                  <c:v>120</c:v>
                </c:pt>
              </c:numCache>
            </c:numRef>
          </c:xVal>
          <c:yVal>
            <c:numRef>
              <c:f>Cal!$I$2:$I$17</c:f>
              <c:numCache>
                <c:formatCode>0.0</c:formatCode>
                <c:ptCount val="16"/>
                <c:pt idx="0">
                  <c:v>1.8954</c:v>
                </c:pt>
                <c:pt idx="1">
                  <c:v>2.3066</c:v>
                </c:pt>
                <c:pt idx="2">
                  <c:v>3.1970400000000003</c:v>
                </c:pt>
                <c:pt idx="3">
                  <c:v>4.4176200000000003</c:v>
                </c:pt>
                <c:pt idx="4">
                  <c:v>4.4176200000000003</c:v>
                </c:pt>
                <c:pt idx="5">
                  <c:v>5.3774099999999994</c:v>
                </c:pt>
                <c:pt idx="6">
                  <c:v>5.3774099999999994</c:v>
                </c:pt>
                <c:pt idx="7">
                  <c:v>6.8166200000000003</c:v>
                </c:pt>
                <c:pt idx="8">
                  <c:v>7.7859600000000002</c:v>
                </c:pt>
                <c:pt idx="9">
                  <c:v>8.8416999999999994</c:v>
                </c:pt>
                <c:pt idx="10">
                  <c:v>10.069140000000001</c:v>
                </c:pt>
                <c:pt idx="11">
                  <c:v>12.690000000000001</c:v>
                </c:pt>
                <c:pt idx="12">
                  <c:v>15.569400000000002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4309080"/>
        <c:axId val="474310648"/>
      </c:scatterChart>
      <c:scatterChart>
        <c:scatterStyle val="lineMarker"/>
        <c:varyColors val="0"/>
        <c:ser>
          <c:idx val="3"/>
          <c:order val="3"/>
          <c:tx>
            <c:strRef>
              <c:f>Cal!$M$1</c:f>
              <c:strCache>
                <c:ptCount val="1"/>
                <c:pt idx="0">
                  <c:v>fan,RPM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Cal!$B$2:$B$15</c:f>
              <c:numCache>
                <c:formatCode>General</c:formatCode>
                <c:ptCount val="14"/>
                <c:pt idx="0">
                  <c:v>61</c:v>
                </c:pt>
                <c:pt idx="1">
                  <c:v>65</c:v>
                </c:pt>
                <c:pt idx="2">
                  <c:v>70</c:v>
                </c:pt>
                <c:pt idx="3">
                  <c:v>75</c:v>
                </c:pt>
                <c:pt idx="4">
                  <c:v>77</c:v>
                </c:pt>
                <c:pt idx="5">
                  <c:v>79</c:v>
                </c:pt>
                <c:pt idx="6">
                  <c:v>81</c:v>
                </c:pt>
                <c:pt idx="7">
                  <c:v>83.5</c:v>
                </c:pt>
                <c:pt idx="8">
                  <c:v>88</c:v>
                </c:pt>
                <c:pt idx="9">
                  <c:v>92</c:v>
                </c:pt>
                <c:pt idx="10">
                  <c:v>95</c:v>
                </c:pt>
                <c:pt idx="11">
                  <c:v>100</c:v>
                </c:pt>
                <c:pt idx="12">
                  <c:v>105</c:v>
                </c:pt>
                <c:pt idx="13">
                  <c:v>110</c:v>
                </c:pt>
              </c:numCache>
            </c:numRef>
          </c:xVal>
          <c:yVal>
            <c:numRef>
              <c:f>Cal!$M$2:$M$15</c:f>
              <c:numCache>
                <c:formatCode>0</c:formatCode>
                <c:ptCount val="14"/>
                <c:pt idx="0">
                  <c:v>3482.2983168891469</c:v>
                </c:pt>
                <c:pt idx="1">
                  <c:v>4769.4753577106521</c:v>
                </c:pt>
                <c:pt idx="2">
                  <c:v>6217.6165803108806</c:v>
                </c:pt>
                <c:pt idx="3">
                  <c:v>7874.0157480314965</c:v>
                </c:pt>
                <c:pt idx="4">
                  <c:v>8280.4305823902851</c:v>
                </c:pt>
                <c:pt idx="5">
                  <c:v>8931.229532598989</c:v>
                </c:pt>
                <c:pt idx="6">
                  <c:v>9363.2958801498135</c:v>
                </c:pt>
                <c:pt idx="7">
                  <c:v>10084.033613445377</c:v>
                </c:pt>
                <c:pt idx="8">
                  <c:v>11025.358324145536</c:v>
                </c:pt>
                <c:pt idx="9">
                  <c:v>11645.962732919255</c:v>
                </c:pt>
                <c:pt idx="10">
                  <c:v>12360.939431396786</c:v>
                </c:pt>
                <c:pt idx="11">
                  <c:v>13507.429085997299</c:v>
                </c:pt>
                <c:pt idx="12">
                  <c:v>14381.591562799616</c:v>
                </c:pt>
                <c:pt idx="13">
                  <c:v>15313.935681470139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Cal!$O$1</c:f>
              <c:strCache>
                <c:ptCount val="1"/>
                <c:pt idx="0">
                  <c:v>Calc NG from Nf, rpm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Cal!$B$2:$B$14</c:f>
              <c:numCache>
                <c:formatCode>General</c:formatCode>
                <c:ptCount val="13"/>
                <c:pt idx="0">
                  <c:v>61</c:v>
                </c:pt>
                <c:pt idx="1">
                  <c:v>65</c:v>
                </c:pt>
                <c:pt idx="2">
                  <c:v>70</c:v>
                </c:pt>
                <c:pt idx="3">
                  <c:v>75</c:v>
                </c:pt>
                <c:pt idx="4">
                  <c:v>77</c:v>
                </c:pt>
                <c:pt idx="5">
                  <c:v>79</c:v>
                </c:pt>
                <c:pt idx="6">
                  <c:v>81</c:v>
                </c:pt>
                <c:pt idx="7">
                  <c:v>83.5</c:v>
                </c:pt>
                <c:pt idx="8">
                  <c:v>88</c:v>
                </c:pt>
                <c:pt idx="9">
                  <c:v>92</c:v>
                </c:pt>
                <c:pt idx="10">
                  <c:v>95</c:v>
                </c:pt>
                <c:pt idx="11">
                  <c:v>100</c:v>
                </c:pt>
                <c:pt idx="12">
                  <c:v>105</c:v>
                </c:pt>
              </c:numCache>
            </c:numRef>
          </c:xVal>
          <c:yVal>
            <c:numRef>
              <c:f>Cal!$O$2:$O$14</c:f>
              <c:numCache>
                <c:formatCode>0</c:formatCode>
                <c:ptCount val="13"/>
                <c:pt idx="0">
                  <c:v>8093.0612209593774</c:v>
                </c:pt>
                <c:pt idx="1">
                  <c:v>9389.4616509813295</c:v>
                </c:pt>
                <c:pt idx="2">
                  <c:v>10847.979666897205</c:v>
                </c:pt>
                <c:pt idx="3">
                  <c:v>12516.247919996655</c:v>
                </c:pt>
                <c:pt idx="4">
                  <c:v>12925.5749584076</c:v>
                </c:pt>
                <c:pt idx="5">
                  <c:v>13581.037270235298</c:v>
                </c:pt>
                <c:pt idx="6">
                  <c:v>14016.199630189618</c:v>
                </c:pt>
                <c:pt idx="7">
                  <c:v>14742.101878089474</c:v>
                </c:pt>
                <c:pt idx="8">
                  <c:v>15690.171740307596</c:v>
                </c:pt>
                <c:pt idx="9">
                  <c:v>16315.223148849102</c:v>
                </c:pt>
                <c:pt idx="10">
                  <c:v>17035.323080689384</c:v>
                </c:pt>
                <c:pt idx="11">
                  <c:v>18190.028015677373</c:v>
                </c:pt>
                <c:pt idx="12">
                  <c:v>19070.454386638979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4308688"/>
        <c:axId val="474304376"/>
      </c:scatterChart>
      <c:valAx>
        <c:axId val="474309080"/>
        <c:scaling>
          <c:orientation val="minMax"/>
          <c:max val="115"/>
          <c:min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Throttle, deg</a:t>
                </a:r>
              </a:p>
            </c:rich>
          </c:tx>
          <c:layout>
            <c:manualLayout>
              <c:xMode val="edge"/>
              <c:yMode val="edge"/>
              <c:x val="0.36940485680852947"/>
              <c:y val="0.929606299212598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310648"/>
        <c:crosses val="autoZero"/>
        <c:crossBetween val="midCat"/>
      </c:valAx>
      <c:valAx>
        <c:axId val="474310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309080"/>
        <c:crosses val="autoZero"/>
        <c:crossBetween val="midCat"/>
      </c:valAx>
      <c:valAx>
        <c:axId val="474304376"/>
        <c:scaling>
          <c:orientation val="minMax"/>
          <c:max val="20000"/>
        </c:scaling>
        <c:delete val="0"/>
        <c:axPos val="r"/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308688"/>
        <c:crosses val="max"/>
        <c:crossBetween val="midCat"/>
      </c:valAx>
      <c:valAx>
        <c:axId val="4743086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74304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0660177246938276"/>
          <c:y val="0.61979002624671919"/>
          <c:w val="0.31112525232747329"/>
          <c:h val="0.236691455234762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Determination of 100% 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00723022829693"/>
          <c:y val="0.19624338624338625"/>
          <c:w val="0.8045040360520973"/>
          <c:h val="0.56881848102320542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Cal!$Q$1</c:f>
              <c:strCache>
                <c:ptCount val="1"/>
                <c:pt idx="0">
                  <c:v>Calc Ng from Nf, 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60"/>
            <c:backward val="15"/>
            <c:dispRSqr val="0"/>
            <c:dispEq val="0"/>
          </c:trendline>
          <c:xVal>
            <c:numRef>
              <c:f>Cal!$H$2:$H$18</c:f>
              <c:numCache>
                <c:formatCode>0.0</c:formatCode>
                <c:ptCount val="17"/>
                <c:pt idx="0">
                  <c:v>18.954000000000001</c:v>
                </c:pt>
                <c:pt idx="1">
                  <c:v>23.065999999999999</c:v>
                </c:pt>
                <c:pt idx="2">
                  <c:v>31.970400000000001</c:v>
                </c:pt>
                <c:pt idx="3">
                  <c:v>44.176200000000001</c:v>
                </c:pt>
                <c:pt idx="4">
                  <c:v>44.176200000000001</c:v>
                </c:pt>
                <c:pt idx="5">
                  <c:v>53.774099999999997</c:v>
                </c:pt>
                <c:pt idx="6">
                  <c:v>53.774099999999997</c:v>
                </c:pt>
                <c:pt idx="7">
                  <c:v>68.166200000000003</c:v>
                </c:pt>
                <c:pt idx="8">
                  <c:v>77.8596</c:v>
                </c:pt>
                <c:pt idx="9">
                  <c:v>88.417000000000002</c:v>
                </c:pt>
                <c:pt idx="10">
                  <c:v>100.6914</c:v>
                </c:pt>
                <c:pt idx="11">
                  <c:v>126.9</c:v>
                </c:pt>
                <c:pt idx="12">
                  <c:v>155.69400000000002</c:v>
                </c:pt>
              </c:numCache>
            </c:numRef>
          </c:xVal>
          <c:yVal>
            <c:numRef>
              <c:f>Cal!$Q$2:$Q$15</c:f>
              <c:numCache>
                <c:formatCode>0</c:formatCode>
                <c:ptCount val="14"/>
                <c:pt idx="0">
                  <c:v>38.638747148677588</c:v>
                </c:pt>
                <c:pt idx="1">
                  <c:v>44.828158923956003</c:v>
                </c:pt>
                <c:pt idx="2">
                  <c:v>51.79156959022103</c:v>
                </c:pt>
                <c:pt idx="3">
                  <c:v>59.756391979150706</c:v>
                </c:pt>
                <c:pt idx="4">
                  <c:v>61.71064433267518</c:v>
                </c:pt>
                <c:pt idx="5">
                  <c:v>64.840021689491451</c:v>
                </c:pt>
                <c:pt idx="6">
                  <c:v>66.917619762190014</c:v>
                </c:pt>
                <c:pt idx="7">
                  <c:v>70.383298897128569</c:v>
                </c:pt>
                <c:pt idx="8">
                  <c:v>74.909674107371345</c:v>
                </c:pt>
                <c:pt idx="9">
                  <c:v>77.893860519678867</c:v>
                </c:pt>
                <c:pt idx="10">
                  <c:v>81.331837624819116</c:v>
                </c:pt>
                <c:pt idx="11">
                  <c:v>86.844751810959693</c:v>
                </c:pt>
                <c:pt idx="12">
                  <c:v>91.048176325099291</c:v>
                </c:pt>
                <c:pt idx="13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4306728"/>
        <c:axId val="474307120"/>
      </c:scatterChart>
      <c:scatterChart>
        <c:scatterStyle val="lineMarker"/>
        <c:varyColors val="0"/>
        <c:ser>
          <c:idx val="1"/>
          <c:order val="1"/>
          <c:tx>
            <c:strRef>
              <c:f>Cal!$J$1</c:f>
              <c:strCache>
                <c:ptCount val="1"/>
                <c:pt idx="0">
                  <c:v>Throttle, 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forward val="60"/>
            <c:backward val="15"/>
            <c:dispRSqr val="0"/>
            <c:dispEq val="0"/>
          </c:trendline>
          <c:xVal>
            <c:numRef>
              <c:f>Cal!$H$2:$H$14</c:f>
              <c:numCache>
                <c:formatCode>0.0</c:formatCode>
                <c:ptCount val="13"/>
                <c:pt idx="0">
                  <c:v>18.954000000000001</c:v>
                </c:pt>
                <c:pt idx="1">
                  <c:v>23.065999999999999</c:v>
                </c:pt>
                <c:pt idx="2">
                  <c:v>31.970400000000001</c:v>
                </c:pt>
                <c:pt idx="3">
                  <c:v>44.176200000000001</c:v>
                </c:pt>
                <c:pt idx="4">
                  <c:v>44.176200000000001</c:v>
                </c:pt>
                <c:pt idx="5">
                  <c:v>53.774099999999997</c:v>
                </c:pt>
                <c:pt idx="6">
                  <c:v>53.774099999999997</c:v>
                </c:pt>
                <c:pt idx="7">
                  <c:v>68.166200000000003</c:v>
                </c:pt>
                <c:pt idx="8">
                  <c:v>77.8596</c:v>
                </c:pt>
                <c:pt idx="9">
                  <c:v>88.417000000000002</c:v>
                </c:pt>
                <c:pt idx="10">
                  <c:v>100.6914</c:v>
                </c:pt>
                <c:pt idx="11">
                  <c:v>126.9</c:v>
                </c:pt>
                <c:pt idx="12">
                  <c:v>155.69400000000002</c:v>
                </c:pt>
              </c:numCache>
            </c:numRef>
          </c:xVal>
          <c:yVal>
            <c:numRef>
              <c:f>Cal!$J$2:$J$14</c:f>
              <c:numCache>
                <c:formatCode>General</c:formatCode>
                <c:ptCount val="13"/>
                <c:pt idx="0">
                  <c:v>61</c:v>
                </c:pt>
                <c:pt idx="1">
                  <c:v>65</c:v>
                </c:pt>
                <c:pt idx="2">
                  <c:v>70</c:v>
                </c:pt>
                <c:pt idx="3">
                  <c:v>75</c:v>
                </c:pt>
                <c:pt idx="4">
                  <c:v>77</c:v>
                </c:pt>
                <c:pt idx="5">
                  <c:v>79</c:v>
                </c:pt>
                <c:pt idx="6">
                  <c:v>81</c:v>
                </c:pt>
                <c:pt idx="7">
                  <c:v>83.5</c:v>
                </c:pt>
                <c:pt idx="8">
                  <c:v>88</c:v>
                </c:pt>
                <c:pt idx="9">
                  <c:v>92</c:v>
                </c:pt>
                <c:pt idx="10">
                  <c:v>95</c:v>
                </c:pt>
                <c:pt idx="11">
                  <c:v>100</c:v>
                </c:pt>
                <c:pt idx="12">
                  <c:v>105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3523040"/>
        <c:axId val="474307512"/>
      </c:scatterChart>
      <c:valAx>
        <c:axId val="474306728"/>
        <c:scaling>
          <c:orientation val="minMax"/>
          <c:max val="216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Power, W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307120"/>
        <c:crosses val="autoZero"/>
        <c:crossBetween val="midCat"/>
      </c:valAx>
      <c:valAx>
        <c:axId val="47430712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pcng, 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306728"/>
        <c:crosses val="autoZero"/>
        <c:crossBetween val="midCat"/>
        <c:majorUnit val="20"/>
      </c:valAx>
      <c:valAx>
        <c:axId val="474307512"/>
        <c:scaling>
          <c:orientation val="minMax"/>
          <c:max val="140"/>
          <c:min val="4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523040"/>
        <c:crosses val="max"/>
        <c:crossBetween val="midCat"/>
        <c:majorUnit val="20"/>
      </c:valAx>
      <c:valAx>
        <c:axId val="473523040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extTo"/>
        <c:crossAx val="474307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428189843014906"/>
          <c:y val="0.52735366412531759"/>
          <c:w val="0.56055563809240838"/>
          <c:h val="0.165347664875223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ESC Calibration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Cal!$O$1</c:f>
              <c:strCache>
                <c:ptCount val="1"/>
                <c:pt idx="0">
                  <c:v>Calc NG from Nf, rpm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10"/>
            <c:backward val="50"/>
            <c:dispRSqr val="0"/>
            <c:dispEq val="1"/>
            <c:trendlineLbl>
              <c:layout>
                <c:manualLayout>
                  <c:x val="-0.23671041119860023"/>
                  <c:y val="2.73611111111111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Cal!$B$2:$B$14</c:f>
              <c:numCache>
                <c:formatCode>General</c:formatCode>
                <c:ptCount val="13"/>
                <c:pt idx="0">
                  <c:v>61</c:v>
                </c:pt>
                <c:pt idx="1">
                  <c:v>65</c:v>
                </c:pt>
                <c:pt idx="2">
                  <c:v>70</c:v>
                </c:pt>
                <c:pt idx="3">
                  <c:v>75</c:v>
                </c:pt>
                <c:pt idx="4">
                  <c:v>77</c:v>
                </c:pt>
                <c:pt idx="5">
                  <c:v>79</c:v>
                </c:pt>
                <c:pt idx="6">
                  <c:v>81</c:v>
                </c:pt>
                <c:pt idx="7">
                  <c:v>83.5</c:v>
                </c:pt>
                <c:pt idx="8">
                  <c:v>88</c:v>
                </c:pt>
                <c:pt idx="9">
                  <c:v>92</c:v>
                </c:pt>
                <c:pt idx="10">
                  <c:v>95</c:v>
                </c:pt>
                <c:pt idx="11">
                  <c:v>100</c:v>
                </c:pt>
                <c:pt idx="12">
                  <c:v>105</c:v>
                </c:pt>
              </c:numCache>
            </c:numRef>
          </c:xVal>
          <c:yVal>
            <c:numRef>
              <c:f>Cal!$O$2:$O$14</c:f>
              <c:numCache>
                <c:formatCode>0</c:formatCode>
                <c:ptCount val="13"/>
                <c:pt idx="0">
                  <c:v>8093.0612209593774</c:v>
                </c:pt>
                <c:pt idx="1">
                  <c:v>9389.4616509813295</c:v>
                </c:pt>
                <c:pt idx="2">
                  <c:v>10847.979666897205</c:v>
                </c:pt>
                <c:pt idx="3">
                  <c:v>12516.247919996655</c:v>
                </c:pt>
                <c:pt idx="4">
                  <c:v>12925.5749584076</c:v>
                </c:pt>
                <c:pt idx="5">
                  <c:v>13581.037270235298</c:v>
                </c:pt>
                <c:pt idx="6">
                  <c:v>14016.199630189618</c:v>
                </c:pt>
                <c:pt idx="7">
                  <c:v>14742.101878089474</c:v>
                </c:pt>
                <c:pt idx="8">
                  <c:v>15690.171740307596</c:v>
                </c:pt>
                <c:pt idx="9">
                  <c:v>16315.223148849102</c:v>
                </c:pt>
                <c:pt idx="10">
                  <c:v>17035.323080689384</c:v>
                </c:pt>
                <c:pt idx="11">
                  <c:v>18190.028015677373</c:v>
                </c:pt>
                <c:pt idx="12">
                  <c:v>19070.454386638979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3517944"/>
        <c:axId val="473519512"/>
      </c:scatterChart>
      <c:valAx>
        <c:axId val="473517944"/>
        <c:scaling>
          <c:orientation val="minMax"/>
          <c:max val="115"/>
          <c:min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Throttle, deg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519512"/>
        <c:crosses val="autoZero"/>
        <c:crossBetween val="midCat"/>
      </c:valAx>
      <c:valAx>
        <c:axId val="473519512"/>
        <c:scaling>
          <c:orientation val="minMax"/>
          <c:max val="2094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Ng,</a:t>
                </a:r>
                <a:r>
                  <a:rPr lang="en-US" baseline="0"/>
                  <a:t> rpm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517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F2V Circuit Calibration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Cal!$M$1</c:f>
              <c:strCache>
                <c:ptCount val="1"/>
                <c:pt idx="0">
                  <c:v>fan,RPM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backward val="0.54"/>
            <c:intercept val="0"/>
            <c:dispRSqr val="0"/>
            <c:dispEq val="1"/>
            <c:trendlineLbl>
              <c:layout>
                <c:manualLayout>
                  <c:x val="0.31613008900203265"/>
                  <c:y val="0.245785984848484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Cal!$C$2:$C$20</c:f>
              <c:numCache>
                <c:formatCode>General</c:formatCode>
                <c:ptCount val="19"/>
                <c:pt idx="0">
                  <c:v>0.54</c:v>
                </c:pt>
                <c:pt idx="1">
                  <c:v>0.68</c:v>
                </c:pt>
                <c:pt idx="2">
                  <c:v>0.9</c:v>
                </c:pt>
                <c:pt idx="3">
                  <c:v>1.105</c:v>
                </c:pt>
                <c:pt idx="4">
                  <c:v>1.18</c:v>
                </c:pt>
                <c:pt idx="5">
                  <c:v>1.26</c:v>
                </c:pt>
                <c:pt idx="6">
                  <c:v>1.32</c:v>
                </c:pt>
                <c:pt idx="7">
                  <c:v>1.44</c:v>
                </c:pt>
                <c:pt idx="8">
                  <c:v>1.57</c:v>
                </c:pt>
                <c:pt idx="9">
                  <c:v>1.75</c:v>
                </c:pt>
                <c:pt idx="10">
                  <c:v>1.88</c:v>
                </c:pt>
                <c:pt idx="11">
                  <c:v>2.04</c:v>
                </c:pt>
                <c:pt idx="12">
                  <c:v>2.2400000000000002</c:v>
                </c:pt>
                <c:pt idx="13">
                  <c:v>2.4300000000000002</c:v>
                </c:pt>
                <c:pt idx="14">
                  <c:v>2.68</c:v>
                </c:pt>
                <c:pt idx="15">
                  <c:v>2.68</c:v>
                </c:pt>
              </c:numCache>
            </c:numRef>
          </c:xVal>
          <c:yVal>
            <c:numRef>
              <c:f>Cal!$M$2:$M$20</c:f>
              <c:numCache>
                <c:formatCode>0</c:formatCode>
                <c:ptCount val="19"/>
                <c:pt idx="0">
                  <c:v>3482.2983168891469</c:v>
                </c:pt>
                <c:pt idx="1">
                  <c:v>4769.4753577106521</c:v>
                </c:pt>
                <c:pt idx="2">
                  <c:v>6217.6165803108806</c:v>
                </c:pt>
                <c:pt idx="3">
                  <c:v>7874.0157480314965</c:v>
                </c:pt>
                <c:pt idx="4">
                  <c:v>8280.4305823902851</c:v>
                </c:pt>
                <c:pt idx="5">
                  <c:v>8931.229532598989</c:v>
                </c:pt>
                <c:pt idx="6">
                  <c:v>9363.2958801498135</c:v>
                </c:pt>
                <c:pt idx="7">
                  <c:v>10084.033613445377</c:v>
                </c:pt>
                <c:pt idx="8">
                  <c:v>11025.358324145536</c:v>
                </c:pt>
                <c:pt idx="9">
                  <c:v>11645.962732919255</c:v>
                </c:pt>
                <c:pt idx="10">
                  <c:v>12360.939431396786</c:v>
                </c:pt>
                <c:pt idx="11">
                  <c:v>13507.429085997299</c:v>
                </c:pt>
                <c:pt idx="12">
                  <c:v>14381.591562799616</c:v>
                </c:pt>
                <c:pt idx="13">
                  <c:v>15313.935681470139</c:v>
                </c:pt>
                <c:pt idx="14">
                  <c:v>16025.641025641029</c:v>
                </c:pt>
                <c:pt idx="15">
                  <c:v>16835.016835016839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3520296"/>
        <c:axId val="473522256"/>
      </c:scatterChart>
      <c:valAx>
        <c:axId val="473520296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v4,</a:t>
                </a:r>
                <a:r>
                  <a:rPr lang="en-US" baseline="0"/>
                  <a:t> VDC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522256"/>
        <c:crosses val="autoZero"/>
        <c:crossBetween val="midCat"/>
      </c:valAx>
      <c:valAx>
        <c:axId val="473522256"/>
        <c:scaling>
          <c:orientation val="minMax"/>
          <c:max val="16194"/>
          <c:min val="-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Fan Module</a:t>
                </a:r>
                <a:r>
                  <a:rPr lang="en-US" baseline="0"/>
                  <a:t> Speed, rpm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520296"/>
        <c:crossesAt val="-1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50mm EDF Coupling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Coupling!$G$1</c:f>
              <c:strCache>
                <c:ptCount val="1"/>
                <c:pt idx="0">
                  <c:v>fan, rpm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backward val="10000"/>
            <c:dispRSqr val="0"/>
            <c:dispEq val="1"/>
            <c:trendlineLbl>
              <c:layout>
                <c:manualLayout>
                  <c:x val="-4.0166596396868627E-2"/>
                  <c:y val="-2.0810348699273153E-2"/>
                </c:manualLayout>
              </c:layout>
              <c:numFmt formatCode="General" sourceLinked="0"/>
            </c:trendlineLbl>
          </c:trendline>
          <c:xVal>
            <c:numRef>
              <c:f>Coupling!$F$2:$F$7</c:f>
              <c:numCache>
                <c:formatCode>General</c:formatCode>
                <c:ptCount val="6"/>
                <c:pt idx="0">
                  <c:v>21111.893033075299</c:v>
                </c:pt>
                <c:pt idx="1">
                  <c:v>17401.39211136891</c:v>
                </c:pt>
                <c:pt idx="2">
                  <c:v>11673.151750972764</c:v>
                </c:pt>
                <c:pt idx="3">
                  <c:v>9829.6199213630407</c:v>
                </c:pt>
                <c:pt idx="4">
                  <c:v>12185.215272136475</c:v>
                </c:pt>
                <c:pt idx="5">
                  <c:v>17331.02253032929</c:v>
                </c:pt>
              </c:numCache>
            </c:numRef>
          </c:xVal>
          <c:yVal>
            <c:numRef>
              <c:f>Coupling!$G$2:$G$7</c:f>
              <c:numCache>
                <c:formatCode>General</c:formatCode>
                <c:ptCount val="6"/>
                <c:pt idx="0">
                  <c:v>15948.96331738437</c:v>
                </c:pt>
                <c:pt idx="1">
                  <c:v>12647.554806070824</c:v>
                </c:pt>
                <c:pt idx="2">
                  <c:v>7292.1730675741364</c:v>
                </c:pt>
                <c:pt idx="3">
                  <c:v>4841.8334409296313</c:v>
                </c:pt>
                <c:pt idx="4">
                  <c:v>7606.4908722109531</c:v>
                </c:pt>
                <c:pt idx="5">
                  <c:v>13239.187996469551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3521080"/>
        <c:axId val="472310216"/>
      </c:scatterChart>
      <c:valAx>
        <c:axId val="473521080"/>
        <c:scaling>
          <c:orientation val="minMax"/>
          <c:max val="20945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Gas</a:t>
                </a:r>
                <a:r>
                  <a:rPr lang="en-US" baseline="0"/>
                  <a:t> Generator Speed, rpm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72310216"/>
        <c:crossesAt val="-5000"/>
        <c:crossBetween val="midCat"/>
      </c:valAx>
      <c:valAx>
        <c:axId val="472310216"/>
        <c:scaling>
          <c:orientation val="minMax"/>
          <c:max val="16194"/>
          <c:min val="-50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Fan Module Speed, rpm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73521080"/>
        <c:crossesAt val="-5000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50mm EDF Coupling</a:t>
            </a:r>
          </a:p>
        </c:rich>
      </c:tx>
      <c:layout>
        <c:manualLayout>
          <c:xMode val="edge"/>
          <c:yMode val="edge"/>
          <c:x val="0.42314089982205183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Coupling!$H$1</c:f>
              <c:strCache>
                <c:ptCount val="1"/>
                <c:pt idx="0">
                  <c:v>gg, rpm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Coupling!$G$2:$G$7</c:f>
              <c:numCache>
                <c:formatCode>General</c:formatCode>
                <c:ptCount val="6"/>
                <c:pt idx="0">
                  <c:v>15948.96331738437</c:v>
                </c:pt>
                <c:pt idx="1">
                  <c:v>12647.554806070824</c:v>
                </c:pt>
                <c:pt idx="2">
                  <c:v>7292.1730675741364</c:v>
                </c:pt>
                <c:pt idx="3">
                  <c:v>4841.8334409296313</c:v>
                </c:pt>
                <c:pt idx="4">
                  <c:v>7606.4908722109531</c:v>
                </c:pt>
                <c:pt idx="5">
                  <c:v>13239.187996469551</c:v>
                </c:pt>
              </c:numCache>
            </c:numRef>
          </c:xVal>
          <c:yVal>
            <c:numRef>
              <c:f>Coupling!$H$2:$H$7</c:f>
              <c:numCache>
                <c:formatCode>0</c:formatCode>
                <c:ptCount val="6"/>
                <c:pt idx="0">
                  <c:v>21111.893033075299</c:v>
                </c:pt>
                <c:pt idx="1">
                  <c:v>17401.39211136891</c:v>
                </c:pt>
                <c:pt idx="2">
                  <c:v>11673.151750972764</c:v>
                </c:pt>
                <c:pt idx="3">
                  <c:v>9829.6199213630407</c:v>
                </c:pt>
                <c:pt idx="4">
                  <c:v>12185.215272136475</c:v>
                </c:pt>
                <c:pt idx="5">
                  <c:v>17331.02253032929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315312"/>
        <c:axId val="472314136"/>
      </c:scatterChart>
      <c:valAx>
        <c:axId val="472315312"/>
        <c:scaling>
          <c:orientation val="minMax"/>
          <c:max val="16194"/>
          <c:min val="-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/>
                  <a:t>Fan Module </a:t>
                </a:r>
                <a:r>
                  <a:rPr lang="en-US" sz="1000" b="1" baseline="0"/>
                  <a:t>Speed, rpm</a:t>
                </a:r>
                <a:endParaRPr lang="en-US" sz="10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314136"/>
        <c:crosses val="autoZero"/>
        <c:crossBetween val="midCat"/>
      </c:valAx>
      <c:valAx>
        <c:axId val="472314136"/>
        <c:scaling>
          <c:orientation val="minMax"/>
          <c:max val="2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Gas Generator Speed, 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315312"/>
        <c:crossesAt val="-500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83820</xdr:colOff>
      <xdr:row>31</xdr:row>
      <xdr:rowOff>175260</xdr:rowOff>
    </xdr:from>
    <xdr:to>
      <xdr:col>11</xdr:col>
      <xdr:colOff>53340</xdr:colOff>
      <xdr:row>47</xdr:row>
      <xdr:rowOff>152400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18</xdr:row>
      <xdr:rowOff>91440</xdr:rowOff>
    </xdr:from>
    <xdr:to>
      <xdr:col>7</xdr:col>
      <xdr:colOff>449580</xdr:colOff>
      <xdr:row>31</xdr:row>
      <xdr:rowOff>114300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369570</xdr:colOff>
      <xdr:row>18</xdr:row>
      <xdr:rowOff>38100</xdr:rowOff>
    </xdr:from>
    <xdr:to>
      <xdr:col>16</xdr:col>
      <xdr:colOff>190500</xdr:colOff>
      <xdr:row>32</xdr:row>
      <xdr:rowOff>7620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316230</xdr:colOff>
      <xdr:row>18</xdr:row>
      <xdr:rowOff>30480</xdr:rowOff>
    </xdr:from>
    <xdr:to>
      <xdr:col>22</xdr:col>
      <xdr:colOff>472440</xdr:colOff>
      <xdr:row>32</xdr:row>
      <xdr:rowOff>152400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34290</xdr:rowOff>
    </xdr:from>
    <xdr:to>
      <xdr:col>7</xdr:col>
      <xdr:colOff>0</xdr:colOff>
      <xdr:row>27</xdr:row>
      <xdr:rowOff>20002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502920</xdr:colOff>
      <xdr:row>9</xdr:row>
      <xdr:rowOff>15240</xdr:rowOff>
    </xdr:from>
    <xdr:to>
      <xdr:col>13</xdr:col>
      <xdr:colOff>419100</xdr:colOff>
      <xdr:row>26</xdr:row>
      <xdr:rowOff>160020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0"/>
  <sheetViews>
    <sheetView tabSelected="1" topLeftCell="C1" workbookViewId="0">
      <selection activeCell="S3" sqref="S3"/>
    </sheetView>
  </sheetViews>
  <sheetFormatPr defaultRowHeight="14.4" x14ac:dyDescent="0.3"/>
  <cols>
    <col min="1" max="1" width="5.5546875" customWidth="1"/>
    <col min="2" max="2" width="6.88671875" style="1" customWidth="1"/>
    <col min="3" max="3" width="6.44140625" style="1" customWidth="1"/>
    <col min="4" max="4" width="6.21875" style="1" customWidth="1"/>
    <col min="5" max="5" width="4.6640625" style="1" customWidth="1"/>
    <col min="6" max="6" width="5.33203125" style="1" customWidth="1"/>
    <col min="7" max="8" width="5.44140625" style="1" customWidth="1"/>
    <col min="9" max="10" width="5.109375" style="1" customWidth="1"/>
    <col min="11" max="11" width="6.77734375" style="1" customWidth="1"/>
    <col min="12" max="12" width="4.33203125" style="1" customWidth="1"/>
    <col min="13" max="13" width="6.21875" style="1" customWidth="1"/>
    <col min="14" max="14" width="4.21875" style="1" customWidth="1"/>
    <col min="15" max="16" width="7.6640625" style="1" customWidth="1"/>
    <col min="17" max="17" width="6.33203125" style="1" customWidth="1"/>
    <col min="18" max="19" width="7.6640625" style="1" customWidth="1"/>
    <col min="20" max="20" width="6.109375" customWidth="1"/>
    <col min="22" max="22" width="7.5546875" bestFit="1" customWidth="1"/>
    <col min="23" max="23" width="5" bestFit="1" customWidth="1"/>
    <col min="24" max="24" width="13.5546875" customWidth="1"/>
    <col min="25" max="25" width="11.5546875" customWidth="1"/>
    <col min="26" max="26" width="8.5546875" bestFit="1" customWidth="1"/>
    <col min="27" max="27" width="7.88671875" customWidth="1"/>
    <col min="28" max="28" width="10" customWidth="1"/>
    <col min="29" max="29" width="7.5546875" customWidth="1"/>
    <col min="30" max="30" width="7.88671875" customWidth="1"/>
  </cols>
  <sheetData>
    <row r="1" spans="1:30" ht="57.6" x14ac:dyDescent="0.3">
      <c r="A1" s="6" t="s">
        <v>9</v>
      </c>
      <c r="B1" s="9" t="s">
        <v>0</v>
      </c>
      <c r="C1" s="9" t="s">
        <v>1</v>
      </c>
      <c r="D1" s="9" t="s">
        <v>40</v>
      </c>
      <c r="E1" s="9" t="s">
        <v>41</v>
      </c>
      <c r="F1" s="9" t="s">
        <v>5</v>
      </c>
      <c r="G1" s="9" t="s">
        <v>2</v>
      </c>
      <c r="H1" s="4" t="s">
        <v>42</v>
      </c>
      <c r="I1" s="4" t="s">
        <v>25</v>
      </c>
      <c r="J1" s="4" t="s">
        <v>27</v>
      </c>
      <c r="K1" s="4" t="s">
        <v>32</v>
      </c>
      <c r="L1" s="4" t="s">
        <v>3</v>
      </c>
      <c r="M1" s="4" t="s">
        <v>10</v>
      </c>
      <c r="N1" s="4" t="s">
        <v>11</v>
      </c>
      <c r="O1" s="4" t="s">
        <v>28</v>
      </c>
      <c r="P1" s="4" t="s">
        <v>27</v>
      </c>
      <c r="Q1" s="4" t="s">
        <v>29</v>
      </c>
      <c r="R1" s="4" t="s">
        <v>30</v>
      </c>
      <c r="S1" s="4" t="s">
        <v>67</v>
      </c>
      <c r="T1" s="4" t="s">
        <v>26</v>
      </c>
      <c r="U1" t="s">
        <v>4</v>
      </c>
      <c r="V1" s="6">
        <v>2</v>
      </c>
      <c r="Y1" s="18" t="s">
        <v>61</v>
      </c>
      <c r="Z1" s="18" t="s">
        <v>33</v>
      </c>
      <c r="AA1" s="18" t="s">
        <v>35</v>
      </c>
      <c r="AB1" s="18" t="s">
        <v>37</v>
      </c>
      <c r="AC1" s="18" t="s">
        <v>36</v>
      </c>
      <c r="AD1" s="18" t="s">
        <v>34</v>
      </c>
    </row>
    <row r="2" spans="1:30" ht="13.8" customHeight="1" x14ac:dyDescent="0.3">
      <c r="A2" s="6">
        <v>1.1399999999999999</v>
      </c>
      <c r="B2" s="10">
        <v>61</v>
      </c>
      <c r="C2" s="10">
        <v>0.54</v>
      </c>
      <c r="D2" s="10">
        <v>12.15</v>
      </c>
      <c r="E2" s="10">
        <v>1.56</v>
      </c>
      <c r="F2" s="10">
        <v>8615</v>
      </c>
      <c r="G2" s="10">
        <v>2.88</v>
      </c>
      <c r="H2" s="2">
        <f>D2*E2</f>
        <v>18.954000000000001</v>
      </c>
      <c r="I2" s="2">
        <f>H2/10</f>
        <v>1.8954</v>
      </c>
      <c r="J2" s="1">
        <f>B2</f>
        <v>61</v>
      </c>
      <c r="K2" s="1">
        <f>LN(J2)</f>
        <v>4.1108738641733114</v>
      </c>
      <c r="L2" s="3">
        <f t="shared" ref="L2:L17" si="0">1/F2/0.000001</f>
        <v>116.07661056297157</v>
      </c>
      <c r="M2" s="3">
        <f t="shared" ref="M2:M17" si="1">L2*60/$V$1</f>
        <v>3482.2983168891469</v>
      </c>
      <c r="N2" s="3">
        <f t="shared" ref="N2:N15" si="2">M2/$V$4*100</f>
        <v>16.625556200425613</v>
      </c>
      <c r="O2" s="3">
        <f>M2*Coupling!$J$8+Coupling!$J$9</f>
        <v>8093.0612209593774</v>
      </c>
      <c r="P2" s="3">
        <f>J2</f>
        <v>61</v>
      </c>
      <c r="Q2" s="3">
        <f t="shared" ref="Q2:Q14" si="3">O2/$V$4*100</f>
        <v>38.638747148677588</v>
      </c>
      <c r="R2" s="3">
        <f>$V$10*LN(B2)+$V$11</f>
        <v>8196.636802490626</v>
      </c>
      <c r="S2" s="23">
        <f>EXP((R2-$V$11)/$V$10)</f>
        <v>61.000000000000007</v>
      </c>
      <c r="T2" s="3">
        <f>C2*C2*$V$7+C2*$V$8+$V$9</f>
        <v>4005.3848106256592</v>
      </c>
      <c r="U2" t="s">
        <v>6</v>
      </c>
      <c r="V2" s="6">
        <v>4800</v>
      </c>
      <c r="X2" s="5" t="s">
        <v>55</v>
      </c>
      <c r="Y2" s="11">
        <v>0</v>
      </c>
      <c r="Z2">
        <v>0</v>
      </c>
      <c r="AA2">
        <f>Z2*$V$4/100</f>
        <v>0</v>
      </c>
      <c r="AB2">
        <f>EXP((AA2-$V$11)/$V$10)</f>
        <v>40.65722380177391</v>
      </c>
      <c r="AC2">
        <v>-5000</v>
      </c>
      <c r="AD2">
        <f>AC2/$V$4*100</f>
        <v>-23.871527777777779</v>
      </c>
    </row>
    <row r="3" spans="1:30" ht="13.8" customHeight="1" x14ac:dyDescent="0.3">
      <c r="A3" s="6"/>
      <c r="B3" s="10">
        <v>65</v>
      </c>
      <c r="C3" s="10">
        <v>0.68</v>
      </c>
      <c r="D3" s="10">
        <v>12.14</v>
      </c>
      <c r="E3" s="10">
        <v>1.9</v>
      </c>
      <c r="F3" s="10">
        <v>6290</v>
      </c>
      <c r="G3" s="10">
        <v>4.0199999999999996</v>
      </c>
      <c r="H3" s="2">
        <f t="shared" ref="H3:H14" si="4">D3*E3</f>
        <v>23.065999999999999</v>
      </c>
      <c r="I3" s="2">
        <f t="shared" ref="I3:I14" si="5">H3/10</f>
        <v>2.3066</v>
      </c>
      <c r="J3" s="1">
        <f t="shared" ref="J3:J17" si="6">B3</f>
        <v>65</v>
      </c>
      <c r="K3" s="1">
        <f t="shared" ref="K3:K17" si="7">LN(J3)</f>
        <v>4.1743872698956368</v>
      </c>
      <c r="L3" s="3">
        <f t="shared" si="0"/>
        <v>158.98251192368841</v>
      </c>
      <c r="M3" s="3">
        <f t="shared" si="1"/>
        <v>4769.4753577106521</v>
      </c>
      <c r="N3" s="3">
        <f t="shared" si="2"/>
        <v>22.770932697403286</v>
      </c>
      <c r="O3" s="3">
        <f>M3*Coupling!$J$8+Coupling!$J$9</f>
        <v>9389.4616509813295</v>
      </c>
      <c r="P3" s="3">
        <f t="shared" ref="P3:P14" si="8">J3</f>
        <v>65</v>
      </c>
      <c r="Q3" s="3">
        <f t="shared" si="3"/>
        <v>44.828158923956003</v>
      </c>
      <c r="R3" s="3">
        <f t="shared" ref="R3:R14" si="9">$V$10*LN(B3)+$V$11</f>
        <v>9479.8503504825057</v>
      </c>
      <c r="S3" s="23">
        <f t="shared" ref="S3:S14" si="10">EXP((R3-$V$11)/$V$10)</f>
        <v>64.999999999999986</v>
      </c>
      <c r="T3" s="3">
        <f t="shared" ref="T3:T17" si="11">C3*C3*$V$7+C3*$V$8+$V$9</f>
        <v>4987.9393693866259</v>
      </c>
      <c r="U3" t="s">
        <v>7</v>
      </c>
      <c r="V3" s="6">
        <v>12</v>
      </c>
      <c r="X3" s="5" t="s">
        <v>56</v>
      </c>
      <c r="Y3" s="11">
        <v>3.3</v>
      </c>
      <c r="Z3">
        <v>100</v>
      </c>
      <c r="AA3">
        <f>Z3*$V$4/100</f>
        <v>20945.454545454544</v>
      </c>
      <c r="AB3">
        <f>EXP((AA3-$V$11)/$V$10)</f>
        <v>114.65000595374373</v>
      </c>
      <c r="AC3">
        <f>AA3*Coupling!$C$8+Coupling!$C$9</f>
        <v>16194.279022996247</v>
      </c>
      <c r="AD3">
        <f>AC3/$V$4*100</f>
        <v>77.316436307707775</v>
      </c>
    </row>
    <row r="4" spans="1:30" ht="13.8" customHeight="1" x14ac:dyDescent="0.3">
      <c r="A4" s="6"/>
      <c r="B4" s="10">
        <v>70</v>
      </c>
      <c r="C4" s="10">
        <v>0.9</v>
      </c>
      <c r="D4" s="10">
        <v>12.11</v>
      </c>
      <c r="E4" s="10">
        <v>2.64</v>
      </c>
      <c r="F4" s="10">
        <v>4825</v>
      </c>
      <c r="G4" s="10">
        <v>5.36</v>
      </c>
      <c r="H4" s="2">
        <f t="shared" si="4"/>
        <v>31.970400000000001</v>
      </c>
      <c r="I4" s="2">
        <f t="shared" si="5"/>
        <v>3.1970400000000003</v>
      </c>
      <c r="J4" s="1">
        <f t="shared" si="6"/>
        <v>70</v>
      </c>
      <c r="K4" s="1">
        <f t="shared" si="7"/>
        <v>4.2484952420493594</v>
      </c>
      <c r="L4" s="3">
        <f t="shared" si="0"/>
        <v>207.25388601036269</v>
      </c>
      <c r="M4" s="3">
        <f t="shared" si="1"/>
        <v>6217.6165803108806</v>
      </c>
      <c r="N4" s="3">
        <f t="shared" si="2"/>
        <v>29.684801381692576</v>
      </c>
      <c r="O4" s="3">
        <f>M4*Coupling!$J$8+Coupling!$J$9</f>
        <v>10847.979666897205</v>
      </c>
      <c r="P4" s="3">
        <f t="shared" si="8"/>
        <v>70</v>
      </c>
      <c r="Q4" s="3">
        <f t="shared" si="3"/>
        <v>51.79156959022103</v>
      </c>
      <c r="R4" s="3">
        <f t="shared" si="9"/>
        <v>10977.114633516147</v>
      </c>
      <c r="S4" s="23">
        <f t="shared" si="10"/>
        <v>70.000000000000028</v>
      </c>
      <c r="T4" s="3">
        <f t="shared" si="11"/>
        <v>6485.4664870301367</v>
      </c>
      <c r="U4" t="s">
        <v>8</v>
      </c>
      <c r="V4" s="13">
        <f>V2*V3/W4</f>
        <v>20945.454545454544</v>
      </c>
      <c r="W4" s="6">
        <v>2.75</v>
      </c>
      <c r="X4" t="s">
        <v>31</v>
      </c>
      <c r="Y4" s="12"/>
      <c r="Z4" s="14">
        <f>INDEX(LINEST(Z$2:Z$3,$Y$2:$Y$3),1)</f>
        <v>30.303030303030305</v>
      </c>
      <c r="AA4" s="14">
        <f>INDEX(LINEST($AA$2:$AA$3,$Y$2:$Y$3),1)</f>
        <v>6347.1074380165273</v>
      </c>
      <c r="AC4" s="14">
        <f t="shared" ref="AC4:AD4" si="12">INDEX(LINEST(AC$2:AC$3,$Y$2:$Y$3),1)</f>
        <v>6422.5087948473483</v>
      </c>
      <c r="AD4" s="14">
        <f t="shared" si="12"/>
        <v>30.663019419844112</v>
      </c>
    </row>
    <row r="5" spans="1:30" ht="13.8" customHeight="1" x14ac:dyDescent="0.3">
      <c r="A5" s="6"/>
      <c r="B5" s="10">
        <v>75</v>
      </c>
      <c r="C5" s="10">
        <v>1.105</v>
      </c>
      <c r="D5" s="10">
        <v>12.07</v>
      </c>
      <c r="E5" s="10">
        <v>3.66</v>
      </c>
      <c r="F5" s="10">
        <v>3810</v>
      </c>
      <c r="G5" s="10">
        <v>6.7</v>
      </c>
      <c r="H5" s="2">
        <f t="shared" si="4"/>
        <v>44.176200000000001</v>
      </c>
      <c r="I5" s="2">
        <f t="shared" si="5"/>
        <v>4.4176200000000003</v>
      </c>
      <c r="J5" s="1">
        <f t="shared" si="6"/>
        <v>75</v>
      </c>
      <c r="K5" s="1">
        <f t="shared" si="7"/>
        <v>4.3174881135363101</v>
      </c>
      <c r="L5" s="3">
        <f t="shared" si="0"/>
        <v>262.46719160104988</v>
      </c>
      <c r="M5" s="3">
        <f t="shared" si="1"/>
        <v>7874.0157480314965</v>
      </c>
      <c r="N5" s="3">
        <f t="shared" si="2"/>
        <v>37.592957130358712</v>
      </c>
      <c r="O5" s="3">
        <f>M5*Coupling!$J$8+Coupling!$J$9</f>
        <v>12516.247919996655</v>
      </c>
      <c r="P5" s="3">
        <f t="shared" si="8"/>
        <v>75</v>
      </c>
      <c r="Q5" s="3">
        <f t="shared" si="3"/>
        <v>59.756391979150706</v>
      </c>
      <c r="R5" s="3">
        <f t="shared" si="9"/>
        <v>12371.034332830881</v>
      </c>
      <c r="S5" s="23">
        <f t="shared" si="10"/>
        <v>74.999999999999972</v>
      </c>
      <c r="T5" s="3">
        <f t="shared" si="11"/>
        <v>7829.7506403399002</v>
      </c>
      <c r="W5" s="22">
        <f>Coupling!J5</f>
        <v>216</v>
      </c>
      <c r="X5" t="s">
        <v>13</v>
      </c>
      <c r="Y5" s="12"/>
      <c r="Z5" s="14">
        <f>INDEX(LINEST(Z$2:Z$3,$Y$2:$Y$3),2)</f>
        <v>0</v>
      </c>
      <c r="AA5" s="14">
        <f>INDEX(LINEST($AA$2:$AA$3,$Y$2:$Y$3),2)</f>
        <v>1.8189894035458565E-12</v>
      </c>
      <c r="AC5" s="14">
        <f t="shared" ref="AC5:AD5" si="13">INDEX(LINEST(AC$2:AC$3,$Y$2:$Y$3),2)</f>
        <v>-5000.0000000000009</v>
      </c>
      <c r="AD5" s="14">
        <f t="shared" si="13"/>
        <v>-23.871527777777782</v>
      </c>
    </row>
    <row r="6" spans="1:30" ht="13.8" customHeight="1" x14ac:dyDescent="0.3">
      <c r="A6" s="6"/>
      <c r="B6" s="10">
        <v>77</v>
      </c>
      <c r="C6" s="10">
        <v>1.18</v>
      </c>
      <c r="D6" s="10">
        <v>12.07</v>
      </c>
      <c r="E6" s="10">
        <v>3.66</v>
      </c>
      <c r="F6" s="10">
        <v>3623</v>
      </c>
      <c r="G6" s="10">
        <v>7.4</v>
      </c>
      <c r="H6" s="2">
        <f t="shared" si="4"/>
        <v>44.176200000000001</v>
      </c>
      <c r="I6" s="2">
        <f t="shared" si="5"/>
        <v>4.4176200000000003</v>
      </c>
      <c r="J6" s="1">
        <f t="shared" si="6"/>
        <v>77</v>
      </c>
      <c r="K6" s="1">
        <f t="shared" si="7"/>
        <v>4.3438054218536841</v>
      </c>
      <c r="L6" s="3">
        <f t="shared" si="0"/>
        <v>276.01435274634281</v>
      </c>
      <c r="M6" s="3">
        <f t="shared" si="1"/>
        <v>8280.4305823902851</v>
      </c>
      <c r="N6" s="3">
        <f t="shared" si="2"/>
        <v>39.533305731898068</v>
      </c>
      <c r="O6" s="3">
        <f>M6*Coupling!$J$8+Coupling!$J$9</f>
        <v>12925.5749584076</v>
      </c>
      <c r="P6" s="3">
        <f t="shared" si="8"/>
        <v>77</v>
      </c>
      <c r="Q6" s="3">
        <f t="shared" si="3"/>
        <v>61.71064433267518</v>
      </c>
      <c r="R6" s="3">
        <f t="shared" si="9"/>
        <v>12902.744547319715</v>
      </c>
      <c r="S6" s="23">
        <f t="shared" si="10"/>
        <v>77.000000000000014</v>
      </c>
      <c r="T6" s="3">
        <f t="shared" si="11"/>
        <v>8309.2357673476217</v>
      </c>
      <c r="Z6" s="14" t="s">
        <v>62</v>
      </c>
      <c r="AA6" s="14" t="s">
        <v>63</v>
      </c>
      <c r="AC6" s="14" t="s">
        <v>64</v>
      </c>
      <c r="AD6" s="14" t="s">
        <v>65</v>
      </c>
    </row>
    <row r="7" spans="1:30" ht="13.8" customHeight="1" x14ac:dyDescent="0.3">
      <c r="A7" s="6"/>
      <c r="B7" s="10">
        <v>79</v>
      </c>
      <c r="C7" s="10">
        <v>1.26</v>
      </c>
      <c r="D7" s="10">
        <v>12.03</v>
      </c>
      <c r="E7" s="10">
        <v>4.47</v>
      </c>
      <c r="F7" s="10">
        <v>3359</v>
      </c>
      <c r="G7" s="10">
        <v>8</v>
      </c>
      <c r="H7" s="2">
        <f t="shared" si="4"/>
        <v>53.774099999999997</v>
      </c>
      <c r="I7" s="2">
        <f t="shared" si="5"/>
        <v>5.3774099999999994</v>
      </c>
      <c r="J7" s="1">
        <f t="shared" si="6"/>
        <v>79</v>
      </c>
      <c r="K7" s="1">
        <f t="shared" si="7"/>
        <v>4.3694478524670215</v>
      </c>
      <c r="L7" s="3">
        <f t="shared" si="0"/>
        <v>297.70765108663295</v>
      </c>
      <c r="M7" s="3">
        <f t="shared" si="1"/>
        <v>8931.229532598989</v>
      </c>
      <c r="N7" s="3">
        <f t="shared" si="2"/>
        <v>42.640418775429204</v>
      </c>
      <c r="O7" s="3">
        <f>M7*Coupling!$J$8+Coupling!$J$9</f>
        <v>13581.037270235298</v>
      </c>
      <c r="P7" s="3">
        <f t="shared" si="8"/>
        <v>79</v>
      </c>
      <c r="Q7" s="3">
        <f t="shared" si="3"/>
        <v>64.840021689491451</v>
      </c>
      <c r="R7" s="3">
        <f t="shared" si="9"/>
        <v>13420.819652760169</v>
      </c>
      <c r="S7" s="23">
        <f t="shared" si="10"/>
        <v>79</v>
      </c>
      <c r="T7" s="3">
        <f t="shared" si="11"/>
        <v>8813.4082722245112</v>
      </c>
      <c r="U7" s="5" t="s">
        <v>48</v>
      </c>
      <c r="V7" s="13">
        <f>INDEX(LINEST($M$2:$M$17,$C$2:$C$17^{1,2},FALSE,FALSE),1)</f>
        <v>-586.95945682909951</v>
      </c>
      <c r="X7" t="s">
        <v>39</v>
      </c>
      <c r="Z7" s="20"/>
      <c r="AA7" s="20"/>
      <c r="AC7" s="20"/>
      <c r="AD7" s="20"/>
    </row>
    <row r="8" spans="1:30" ht="13.8" customHeight="1" x14ac:dyDescent="0.3">
      <c r="A8" s="6"/>
      <c r="B8" s="10">
        <v>81</v>
      </c>
      <c r="C8" s="10">
        <v>1.32</v>
      </c>
      <c r="D8" s="10">
        <v>12.03</v>
      </c>
      <c r="E8" s="10">
        <v>4.47</v>
      </c>
      <c r="F8" s="10">
        <v>3204</v>
      </c>
      <c r="G8" s="10">
        <v>8.4</v>
      </c>
      <c r="H8" s="2">
        <f t="shared" si="4"/>
        <v>53.774099999999997</v>
      </c>
      <c r="I8" s="2">
        <f t="shared" si="5"/>
        <v>5.3774099999999994</v>
      </c>
      <c r="J8" s="1">
        <f t="shared" si="6"/>
        <v>81</v>
      </c>
      <c r="K8" s="1">
        <f t="shared" si="7"/>
        <v>4.3944491546724391</v>
      </c>
      <c r="L8" s="3">
        <f t="shared" si="0"/>
        <v>312.10986267166044</v>
      </c>
      <c r="M8" s="3">
        <f t="shared" si="1"/>
        <v>9363.2958801498135</v>
      </c>
      <c r="N8" s="3">
        <f t="shared" si="2"/>
        <v>44.703235538909702</v>
      </c>
      <c r="O8" s="3">
        <f>M8*Coupling!$J$8+Coupling!$J$9</f>
        <v>14016.199630189618</v>
      </c>
      <c r="P8" s="3">
        <f t="shared" si="8"/>
        <v>81</v>
      </c>
      <c r="Q8" s="3">
        <f t="shared" si="3"/>
        <v>66.917619762190014</v>
      </c>
      <c r="R8" s="3">
        <f t="shared" si="9"/>
        <v>13925.941513925834</v>
      </c>
      <c r="S8" s="23">
        <f t="shared" si="10"/>
        <v>81.000000000000028</v>
      </c>
      <c r="T8" s="3">
        <f t="shared" si="11"/>
        <v>9186.6071914448148</v>
      </c>
      <c r="U8" s="5"/>
      <c r="V8" s="14">
        <f>INDEX(LINEST($M$2:$M$17,$C$2:$C$17^{1,2},FALSE,FALSE),2)</f>
        <v>7734.3373856241196</v>
      </c>
      <c r="X8" t="s">
        <v>38</v>
      </c>
    </row>
    <row r="9" spans="1:30" ht="13.8" customHeight="1" x14ac:dyDescent="0.3">
      <c r="A9" s="6">
        <v>1.55</v>
      </c>
      <c r="B9" s="10">
        <v>83.5</v>
      </c>
      <c r="C9" s="10">
        <v>1.44</v>
      </c>
      <c r="D9" s="10">
        <v>11.98</v>
      </c>
      <c r="E9" s="10">
        <v>5.69</v>
      </c>
      <c r="F9" s="10">
        <v>2975</v>
      </c>
      <c r="G9" s="10">
        <v>9.15</v>
      </c>
      <c r="H9" s="2">
        <f t="shared" si="4"/>
        <v>68.166200000000003</v>
      </c>
      <c r="I9" s="2">
        <f t="shared" si="5"/>
        <v>6.8166200000000003</v>
      </c>
      <c r="J9" s="1">
        <f t="shared" si="6"/>
        <v>83.5</v>
      </c>
      <c r="K9" s="1">
        <f t="shared" si="7"/>
        <v>4.42484663185681</v>
      </c>
      <c r="L9" s="3">
        <f t="shared" si="0"/>
        <v>336.1344537815126</v>
      </c>
      <c r="M9" s="3">
        <f t="shared" si="1"/>
        <v>10084.033613445377</v>
      </c>
      <c r="N9" s="3">
        <f t="shared" si="2"/>
        <v>48.14425770308123</v>
      </c>
      <c r="O9" s="3">
        <f>M9*Coupling!$J$8+Coupling!$J$9</f>
        <v>14742.101878089474</v>
      </c>
      <c r="P9" s="3">
        <f t="shared" si="8"/>
        <v>83.5</v>
      </c>
      <c r="Q9" s="3">
        <f t="shared" si="3"/>
        <v>70.383298897128569</v>
      </c>
      <c r="R9" s="3">
        <f t="shared" si="9"/>
        <v>14540.08673420093</v>
      </c>
      <c r="S9" s="23">
        <f t="shared" si="10"/>
        <v>83.500000000000014</v>
      </c>
      <c r="T9" s="3">
        <f t="shared" si="11"/>
        <v>9920.3267056179102</v>
      </c>
      <c r="U9" s="5"/>
      <c r="V9" s="5">
        <f>INDEX(LINEST($M$2:$M$17,$C$2:$C$17^{1,2},FALSE,FALSE),3)</f>
        <v>0</v>
      </c>
      <c r="X9" t="s">
        <v>47</v>
      </c>
    </row>
    <row r="10" spans="1:30" ht="13.8" customHeight="1" x14ac:dyDescent="0.3">
      <c r="A10" s="6"/>
      <c r="B10" s="10">
        <v>88</v>
      </c>
      <c r="C10" s="10">
        <v>1.57</v>
      </c>
      <c r="D10" s="10">
        <v>11.96</v>
      </c>
      <c r="E10" s="10">
        <v>6.51</v>
      </c>
      <c r="F10" s="10">
        <v>2721</v>
      </c>
      <c r="G10" s="10">
        <v>9.5</v>
      </c>
      <c r="H10" s="2">
        <f t="shared" si="4"/>
        <v>77.8596</v>
      </c>
      <c r="I10" s="2">
        <f t="shared" si="5"/>
        <v>7.7859600000000002</v>
      </c>
      <c r="J10" s="1">
        <f t="shared" si="6"/>
        <v>88</v>
      </c>
      <c r="K10" s="1">
        <f t="shared" si="7"/>
        <v>4.4773368144782069</v>
      </c>
      <c r="L10" s="3">
        <f t="shared" si="0"/>
        <v>367.51194413818456</v>
      </c>
      <c r="M10" s="3">
        <f t="shared" si="1"/>
        <v>11025.358324145536</v>
      </c>
      <c r="N10" s="3">
        <f t="shared" si="2"/>
        <v>52.638429498958729</v>
      </c>
      <c r="O10" s="3">
        <f>M10*Coupling!$J$8+Coupling!$J$9</f>
        <v>15690.171740307596</v>
      </c>
      <c r="P10" s="3">
        <f t="shared" si="8"/>
        <v>88</v>
      </c>
      <c r="Q10" s="3">
        <f t="shared" si="3"/>
        <v>74.909674107371345</v>
      </c>
      <c r="R10" s="3">
        <f t="shared" si="9"/>
        <v>15600.589044072636</v>
      </c>
      <c r="S10" s="23">
        <f t="shared" si="10"/>
        <v>88.000000000000028</v>
      </c>
      <c r="T10" s="3">
        <f t="shared" si="11"/>
        <v>10696.113330291821</v>
      </c>
      <c r="U10" s="5" t="s">
        <v>66</v>
      </c>
      <c r="V10" s="5">
        <f>INDEX(LINEST($O$2:$O$14,$K$2:$K$14),1)</f>
        <v>20203.822065564778</v>
      </c>
    </row>
    <row r="11" spans="1:30" ht="13.8" customHeight="1" x14ac:dyDescent="0.3">
      <c r="A11" s="6"/>
      <c r="B11" s="10">
        <v>92</v>
      </c>
      <c r="C11" s="10">
        <v>1.75</v>
      </c>
      <c r="D11" s="10">
        <v>11.9</v>
      </c>
      <c r="E11" s="10">
        <v>7.43</v>
      </c>
      <c r="F11" s="10">
        <v>2576</v>
      </c>
      <c r="G11" s="10">
        <v>9.9</v>
      </c>
      <c r="H11" s="2">
        <f t="shared" si="4"/>
        <v>88.417000000000002</v>
      </c>
      <c r="I11" s="2">
        <f t="shared" si="5"/>
        <v>8.8416999999999994</v>
      </c>
      <c r="J11" s="1">
        <f t="shared" si="6"/>
        <v>92</v>
      </c>
      <c r="K11" s="1">
        <f t="shared" si="7"/>
        <v>4.5217885770490405</v>
      </c>
      <c r="L11" s="3">
        <f t="shared" si="0"/>
        <v>388.19875776397515</v>
      </c>
      <c r="M11" s="3">
        <f t="shared" si="1"/>
        <v>11645.962732919255</v>
      </c>
      <c r="N11" s="3">
        <f t="shared" si="2"/>
        <v>55.601384575569369</v>
      </c>
      <c r="O11" s="3">
        <f>M11*Coupling!$J$8+Coupling!$J$9</f>
        <v>16315.223148849102</v>
      </c>
      <c r="P11" s="3">
        <f t="shared" si="8"/>
        <v>92</v>
      </c>
      <c r="Q11" s="3">
        <f t="shared" si="3"/>
        <v>77.893860519678867</v>
      </c>
      <c r="R11" s="3">
        <f t="shared" si="9"/>
        <v>16498.684545554497</v>
      </c>
      <c r="S11" s="23">
        <f t="shared" si="10"/>
        <v>92.000000000000014</v>
      </c>
      <c r="T11" s="3">
        <f t="shared" si="11"/>
        <v>11737.527088303092</v>
      </c>
      <c r="U11" s="5"/>
      <c r="V11" s="14">
        <f>INDEX(LINEST($O$2:$O$14,$K$2:$K$14),2)</f>
        <v>-74858.727283247674</v>
      </c>
    </row>
    <row r="12" spans="1:30" ht="28.8" x14ac:dyDescent="0.3">
      <c r="A12" s="6">
        <v>1.79</v>
      </c>
      <c r="B12" s="10">
        <v>95</v>
      </c>
      <c r="C12" s="10">
        <v>1.88</v>
      </c>
      <c r="D12" s="10">
        <v>11.86</v>
      </c>
      <c r="E12" s="10">
        <v>8.49</v>
      </c>
      <c r="F12" s="10">
        <v>2427</v>
      </c>
      <c r="G12" s="10">
        <v>10.5</v>
      </c>
      <c r="H12" s="2">
        <f t="shared" si="4"/>
        <v>100.6914</v>
      </c>
      <c r="I12" s="2">
        <f t="shared" si="5"/>
        <v>10.069140000000001</v>
      </c>
      <c r="J12" s="1">
        <f t="shared" si="6"/>
        <v>95</v>
      </c>
      <c r="K12" s="1">
        <f t="shared" si="7"/>
        <v>4.5538768916005408</v>
      </c>
      <c r="L12" s="3">
        <f t="shared" si="0"/>
        <v>412.03131437989288</v>
      </c>
      <c r="M12" s="3">
        <f t="shared" si="1"/>
        <v>12360.939431396786</v>
      </c>
      <c r="N12" s="3">
        <f t="shared" si="2"/>
        <v>59.014901799203415</v>
      </c>
      <c r="O12" s="3">
        <f>M12*Coupling!$J$8+Coupling!$J$9</f>
        <v>17035.323080689384</v>
      </c>
      <c r="P12" s="3">
        <f t="shared" si="8"/>
        <v>95</v>
      </c>
      <c r="Q12" s="3">
        <f t="shared" si="3"/>
        <v>81.331837624819116</v>
      </c>
      <c r="R12" s="3">
        <f t="shared" si="9"/>
        <v>17146.991143136882</v>
      </c>
      <c r="S12" s="23">
        <f t="shared" si="10"/>
        <v>95</v>
      </c>
      <c r="T12" s="3">
        <f t="shared" si="11"/>
        <v>12466.004780756575</v>
      </c>
      <c r="U12" s="7"/>
      <c r="V12" s="7"/>
      <c r="W12" s="7"/>
      <c r="Y12" s="18" t="s">
        <v>59</v>
      </c>
      <c r="Z12" s="18" t="s">
        <v>60</v>
      </c>
      <c r="AB12" t="s">
        <v>34</v>
      </c>
    </row>
    <row r="13" spans="1:30" ht="13.8" customHeight="1" x14ac:dyDescent="0.3">
      <c r="A13" s="6"/>
      <c r="B13" s="10">
        <v>100</v>
      </c>
      <c r="C13" s="10">
        <v>2.04</v>
      </c>
      <c r="D13" s="10">
        <v>11.75</v>
      </c>
      <c r="E13" s="10">
        <v>10.8</v>
      </c>
      <c r="F13" s="10">
        <v>2221</v>
      </c>
      <c r="G13" s="10">
        <v>11.4</v>
      </c>
      <c r="H13" s="2">
        <f t="shared" si="4"/>
        <v>126.9</v>
      </c>
      <c r="I13" s="2">
        <f t="shared" si="5"/>
        <v>12.690000000000001</v>
      </c>
      <c r="J13" s="1">
        <f t="shared" si="6"/>
        <v>100</v>
      </c>
      <c r="K13" s="1">
        <f t="shared" si="7"/>
        <v>4.6051701859880918</v>
      </c>
      <c r="L13" s="3">
        <f t="shared" si="0"/>
        <v>450.24763619990995</v>
      </c>
      <c r="M13" s="3">
        <f t="shared" si="1"/>
        <v>13507.429085997299</v>
      </c>
      <c r="N13" s="3">
        <f t="shared" si="2"/>
        <v>64.48859372654961</v>
      </c>
      <c r="O13" s="3">
        <f>M13*Coupling!$J$8+Coupling!$J$9</f>
        <v>18190.028015677373</v>
      </c>
      <c r="P13" s="3">
        <f t="shared" si="8"/>
        <v>100</v>
      </c>
      <c r="Q13" s="3">
        <f t="shared" si="3"/>
        <v>86.844751810959693</v>
      </c>
      <c r="R13" s="3">
        <f t="shared" si="9"/>
        <v>18183.311736099597</v>
      </c>
      <c r="S13" s="23">
        <f t="shared" si="10"/>
        <v>100.00000000000004</v>
      </c>
      <c r="T13" s="3">
        <f t="shared" si="11"/>
        <v>13335.357791133223</v>
      </c>
      <c r="W13" s="7"/>
      <c r="X13" s="5" t="s">
        <v>53</v>
      </c>
      <c r="Y13" s="5">
        <v>0</v>
      </c>
      <c r="Z13" s="5">
        <v>40</v>
      </c>
      <c r="AA13" s="5" t="s">
        <v>52</v>
      </c>
      <c r="AB13">
        <v>0</v>
      </c>
    </row>
    <row r="14" spans="1:30" ht="13.8" customHeight="1" x14ac:dyDescent="0.3">
      <c r="A14" s="6"/>
      <c r="B14" s="10">
        <v>105</v>
      </c>
      <c r="C14" s="10">
        <v>2.2400000000000002</v>
      </c>
      <c r="D14" s="10">
        <v>11.55</v>
      </c>
      <c r="E14" s="10">
        <v>13.48</v>
      </c>
      <c r="F14" s="10">
        <v>2086</v>
      </c>
      <c r="G14" s="10">
        <v>12.4</v>
      </c>
      <c r="H14" s="2">
        <f t="shared" si="4"/>
        <v>155.69400000000002</v>
      </c>
      <c r="I14" s="2">
        <f t="shared" si="5"/>
        <v>15.569400000000002</v>
      </c>
      <c r="J14" s="1">
        <f t="shared" si="6"/>
        <v>105</v>
      </c>
      <c r="K14" s="1">
        <f t="shared" si="7"/>
        <v>4.6539603501575231</v>
      </c>
      <c r="L14" s="3">
        <f t="shared" si="0"/>
        <v>479.38638542665387</v>
      </c>
      <c r="M14" s="3">
        <f t="shared" si="1"/>
        <v>14381.591562799616</v>
      </c>
      <c r="N14" s="3">
        <f t="shared" si="2"/>
        <v>68.662112496005108</v>
      </c>
      <c r="O14" s="3">
        <f>M14*Coupling!$J$8+Coupling!$J$9</f>
        <v>19070.454386638979</v>
      </c>
      <c r="P14" s="3">
        <f t="shared" si="8"/>
        <v>105</v>
      </c>
      <c r="Q14" s="3">
        <f t="shared" si="3"/>
        <v>91.048176325099291</v>
      </c>
      <c r="R14" s="3">
        <f t="shared" si="9"/>
        <v>19169.059531528474</v>
      </c>
      <c r="S14" s="23">
        <f t="shared" si="10"/>
        <v>104.99999999999997</v>
      </c>
      <c r="T14" s="3">
        <f t="shared" si="11"/>
        <v>14379.787973212338</v>
      </c>
      <c r="W14" s="7"/>
      <c r="X14" s="5" t="s">
        <v>54</v>
      </c>
      <c r="Y14" s="5">
        <v>5</v>
      </c>
      <c r="Z14" s="5">
        <v>115</v>
      </c>
      <c r="AA14" s="5" t="s">
        <v>58</v>
      </c>
      <c r="AB14">
        <v>80</v>
      </c>
    </row>
    <row r="15" spans="1:30" x14ac:dyDescent="0.3">
      <c r="A15" s="6"/>
      <c r="B15" s="10">
        <v>110</v>
      </c>
      <c r="C15" s="10">
        <v>2.4300000000000002</v>
      </c>
      <c r="F15" s="10">
        <v>1959</v>
      </c>
      <c r="G15" s="10">
        <v>13.1</v>
      </c>
      <c r="J15" s="1">
        <f t="shared" si="6"/>
        <v>110</v>
      </c>
      <c r="K15" s="1">
        <f t="shared" si="7"/>
        <v>4.7004803657924166</v>
      </c>
      <c r="L15" s="3">
        <f t="shared" si="0"/>
        <v>510.46452271567131</v>
      </c>
      <c r="M15" s="3">
        <f t="shared" si="1"/>
        <v>15313.935681470139</v>
      </c>
      <c r="N15" s="3">
        <f t="shared" si="2"/>
        <v>73.113408201463344</v>
      </c>
      <c r="Q15" s="3">
        <f>O18/$V$4*100</f>
        <v>0</v>
      </c>
      <c r="R15" s="3"/>
      <c r="S15" s="3"/>
      <c r="T15" s="3">
        <f t="shared" si="11"/>
        <v>15328.502950436463</v>
      </c>
      <c r="U15" s="7"/>
      <c r="W15" s="7"/>
      <c r="Z15" s="7">
        <f>(Z14-Z13)/(Y14-Y13)</f>
        <v>15</v>
      </c>
      <c r="AB15" s="5">
        <f>(AB14-AB13)/(Y14-Y13)</f>
        <v>16</v>
      </c>
    </row>
    <row r="16" spans="1:30" x14ac:dyDescent="0.3">
      <c r="A16" s="6">
        <v>2.14</v>
      </c>
      <c r="B16" s="10">
        <v>115</v>
      </c>
      <c r="C16" s="10">
        <v>2.68</v>
      </c>
      <c r="F16" s="10">
        <v>1872</v>
      </c>
      <c r="G16" s="10">
        <v>13.8</v>
      </c>
      <c r="J16" s="1">
        <f t="shared" si="6"/>
        <v>115</v>
      </c>
      <c r="K16" s="1">
        <f t="shared" si="7"/>
        <v>4.7449321283632502</v>
      </c>
      <c r="L16" s="3">
        <f t="shared" si="0"/>
        <v>534.18803418803429</v>
      </c>
      <c r="M16" s="3">
        <f t="shared" si="1"/>
        <v>16025.641025641029</v>
      </c>
      <c r="N16" s="3"/>
      <c r="Q16" s="3"/>
      <c r="R16" s="3"/>
      <c r="S16" s="3"/>
      <c r="T16" s="3">
        <f>C16*C16*$V$7+C16*$V$8+$V$9</f>
        <v>16512.246590743318</v>
      </c>
      <c r="U16" s="7"/>
      <c r="V16" s="7"/>
      <c r="Z16" s="7">
        <f>Z14-Z15*Y14</f>
        <v>40</v>
      </c>
      <c r="AB16" s="5">
        <f>AB14-AB15*(Y14-Y13)</f>
        <v>0</v>
      </c>
    </row>
    <row r="17" spans="1:28" x14ac:dyDescent="0.3">
      <c r="A17" s="6"/>
      <c r="B17" s="10">
        <v>120</v>
      </c>
      <c r="C17" s="10">
        <v>2.68</v>
      </c>
      <c r="F17" s="10">
        <v>1782</v>
      </c>
      <c r="G17" s="10">
        <v>14.4</v>
      </c>
      <c r="J17" s="1">
        <f t="shared" si="6"/>
        <v>120</v>
      </c>
      <c r="K17" s="1">
        <f t="shared" si="7"/>
        <v>4.7874917427820458</v>
      </c>
      <c r="L17" s="3">
        <f t="shared" si="0"/>
        <v>561.16722783389457</v>
      </c>
      <c r="M17" s="3">
        <f t="shared" si="1"/>
        <v>16835.016835016839</v>
      </c>
      <c r="N17" s="3"/>
      <c r="Q17" s="3"/>
      <c r="R17" s="3"/>
      <c r="S17" s="3"/>
      <c r="T17" s="3">
        <f t="shared" si="11"/>
        <v>16512.246590743318</v>
      </c>
      <c r="Z17" s="7" t="s">
        <v>57</v>
      </c>
      <c r="AB17" s="5" t="s">
        <v>49</v>
      </c>
    </row>
    <row r="18" spans="1:28" x14ac:dyDescent="0.3">
      <c r="R18" s="3"/>
      <c r="S18" s="3"/>
    </row>
    <row r="20" spans="1:28" x14ac:dyDescent="0.3">
      <c r="N20" s="1" t="s">
        <v>24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activeCell="G9" sqref="G9"/>
    </sheetView>
  </sheetViews>
  <sheetFormatPr defaultRowHeight="14.4" x14ac:dyDescent="0.3"/>
  <cols>
    <col min="1" max="1" width="3.77734375" style="1" customWidth="1"/>
    <col min="2" max="2" width="8.44140625" style="1" customWidth="1"/>
    <col min="3" max="3" width="10" style="1" customWidth="1"/>
    <col min="4" max="4" width="7.6640625" style="1" customWidth="1"/>
    <col min="5" max="5" width="7" style="1" customWidth="1"/>
    <col min="6" max="6" width="7.33203125" style="1" customWidth="1"/>
    <col min="7" max="7" width="8" style="1" customWidth="1"/>
    <col min="8" max="8" width="6.77734375" style="1" customWidth="1"/>
    <col min="9" max="9" width="13.44140625" style="1" customWidth="1"/>
    <col min="10" max="10" width="8.88671875" style="1"/>
    <col min="11" max="11" width="9.6640625" style="1" bestFit="1" customWidth="1"/>
    <col min="12" max="12" width="6" style="1" bestFit="1" customWidth="1"/>
    <col min="13" max="13" width="8.5546875" style="1" bestFit="1" customWidth="1"/>
    <col min="14" max="16384" width="8.88671875" style="1"/>
  </cols>
  <sheetData>
    <row r="1" spans="1:15" x14ac:dyDescent="0.3">
      <c r="A1" s="10" t="s">
        <v>9</v>
      </c>
      <c r="B1" s="10" t="s">
        <v>23</v>
      </c>
      <c r="C1" s="10" t="s">
        <v>22</v>
      </c>
      <c r="D1" s="1" t="s">
        <v>21</v>
      </c>
      <c r="E1" s="1" t="s">
        <v>20</v>
      </c>
      <c r="F1" s="1" t="s">
        <v>19</v>
      </c>
      <c r="G1" s="1" t="s">
        <v>18</v>
      </c>
      <c r="H1" s="1" t="s">
        <v>19</v>
      </c>
      <c r="I1" s="1" t="s">
        <v>17</v>
      </c>
      <c r="J1" s="10">
        <v>2</v>
      </c>
      <c r="K1" s="19" t="s">
        <v>46</v>
      </c>
    </row>
    <row r="2" spans="1:15" x14ac:dyDescent="0.3">
      <c r="A2" s="10">
        <v>2.4</v>
      </c>
      <c r="B2" s="10">
        <v>1421</v>
      </c>
      <c r="C2" s="10">
        <v>1881</v>
      </c>
      <c r="D2" s="1">
        <f t="shared" ref="D2:E7" si="0">1/B2*1000000</f>
        <v>703.72976776917665</v>
      </c>
      <c r="E2" s="1">
        <f t="shared" si="0"/>
        <v>531.63211057947899</v>
      </c>
      <c r="F2" s="1">
        <f t="shared" ref="F2:G7" si="1">D2*60/$J$1</f>
        <v>21111.893033075299</v>
      </c>
      <c r="G2" s="1">
        <f t="shared" si="1"/>
        <v>15948.96331738437</v>
      </c>
      <c r="H2" s="3">
        <f>F2</f>
        <v>21111.893033075299</v>
      </c>
    </row>
    <row r="3" spans="1:15" x14ac:dyDescent="0.3">
      <c r="A3" s="10">
        <v>2</v>
      </c>
      <c r="B3" s="10">
        <v>1724</v>
      </c>
      <c r="C3" s="10">
        <v>2372</v>
      </c>
      <c r="D3" s="1">
        <f t="shared" si="0"/>
        <v>580.04640371229698</v>
      </c>
      <c r="E3" s="1">
        <f t="shared" si="0"/>
        <v>421.58516020236084</v>
      </c>
      <c r="F3" s="1">
        <f t="shared" si="1"/>
        <v>17401.39211136891</v>
      </c>
      <c r="G3" s="1">
        <f t="shared" si="1"/>
        <v>12647.554806070824</v>
      </c>
      <c r="H3" s="3">
        <f t="shared" ref="H3:H7" si="2">F3</f>
        <v>17401.39211136891</v>
      </c>
      <c r="I3" s="1" t="s">
        <v>16</v>
      </c>
      <c r="J3" s="10">
        <v>18</v>
      </c>
      <c r="K3" s="1" t="s">
        <v>43</v>
      </c>
      <c r="N3" s="12"/>
      <c r="O3" s="12"/>
    </row>
    <row r="4" spans="1:15" x14ac:dyDescent="0.3">
      <c r="A4" s="10">
        <v>1.5</v>
      </c>
      <c r="B4" s="10">
        <v>2570</v>
      </c>
      <c r="C4" s="10">
        <v>4114</v>
      </c>
      <c r="D4" s="1">
        <f t="shared" si="0"/>
        <v>389.10505836575879</v>
      </c>
      <c r="E4" s="1">
        <f t="shared" si="0"/>
        <v>243.07243558580456</v>
      </c>
      <c r="F4" s="1">
        <f t="shared" si="1"/>
        <v>11673.151750972764</v>
      </c>
      <c r="G4" s="1">
        <f t="shared" si="1"/>
        <v>7292.1730675741364</v>
      </c>
      <c r="H4" s="3">
        <f t="shared" si="2"/>
        <v>11673.151750972764</v>
      </c>
      <c r="I4" s="1" t="s">
        <v>15</v>
      </c>
      <c r="J4" s="10">
        <v>12</v>
      </c>
      <c r="K4" s="1" t="s">
        <v>14</v>
      </c>
      <c r="N4" s="12"/>
      <c r="O4" s="12"/>
    </row>
    <row r="5" spans="1:15" x14ac:dyDescent="0.3">
      <c r="A5" s="10">
        <v>1.3</v>
      </c>
      <c r="B5" s="10">
        <v>3052</v>
      </c>
      <c r="C5" s="10">
        <v>6196</v>
      </c>
      <c r="D5" s="1">
        <f t="shared" si="0"/>
        <v>327.653997378768</v>
      </c>
      <c r="E5" s="1">
        <f t="shared" si="0"/>
        <v>161.39444803098772</v>
      </c>
      <c r="F5" s="1">
        <f t="shared" si="1"/>
        <v>9829.6199213630407</v>
      </c>
      <c r="G5" s="1">
        <f t="shared" si="1"/>
        <v>4841.8334409296313</v>
      </c>
      <c r="H5" s="3">
        <f t="shared" si="2"/>
        <v>9829.6199213630407</v>
      </c>
      <c r="I5" s="1" t="s">
        <v>13</v>
      </c>
      <c r="J5" s="21">
        <f>J3*J4</f>
        <v>216</v>
      </c>
      <c r="K5" s="1" t="s">
        <v>44</v>
      </c>
      <c r="N5" s="12"/>
      <c r="O5" s="12"/>
    </row>
    <row r="6" spans="1:15" ht="28.8" x14ac:dyDescent="0.3">
      <c r="A6" s="10">
        <v>1.5</v>
      </c>
      <c r="B6" s="10">
        <v>2462</v>
      </c>
      <c r="C6" s="10">
        <v>3944</v>
      </c>
      <c r="D6" s="1">
        <f t="shared" si="0"/>
        <v>406.17384240454913</v>
      </c>
      <c r="E6" s="1">
        <f t="shared" si="0"/>
        <v>253.54969574036511</v>
      </c>
      <c r="F6" s="1">
        <f t="shared" si="1"/>
        <v>12185.215272136475</v>
      </c>
      <c r="G6" s="1">
        <f t="shared" si="1"/>
        <v>7606.4908722109531</v>
      </c>
      <c r="H6" s="3">
        <f t="shared" si="2"/>
        <v>12185.215272136475</v>
      </c>
      <c r="I6" s="4" t="s">
        <v>45</v>
      </c>
      <c r="J6" s="1">
        <v>25</v>
      </c>
      <c r="K6" s="1" t="s">
        <v>12</v>
      </c>
      <c r="N6" s="12"/>
      <c r="O6" s="12"/>
    </row>
    <row r="7" spans="1:15" x14ac:dyDescent="0.3">
      <c r="A7" s="10">
        <v>2</v>
      </c>
      <c r="B7" s="10">
        <v>1731</v>
      </c>
      <c r="C7" s="10">
        <v>2266</v>
      </c>
      <c r="D7" s="1">
        <f t="shared" si="0"/>
        <v>577.70075101097632</v>
      </c>
      <c r="E7" s="1">
        <f t="shared" si="0"/>
        <v>441.30626654898504</v>
      </c>
      <c r="F7" s="1">
        <f t="shared" si="1"/>
        <v>17331.02253032929</v>
      </c>
      <c r="G7" s="1">
        <f t="shared" si="1"/>
        <v>13239.187996469551</v>
      </c>
      <c r="H7" s="3">
        <f t="shared" si="2"/>
        <v>17331.02253032929</v>
      </c>
    </row>
    <row r="8" spans="1:15" x14ac:dyDescent="0.3">
      <c r="B8" s="8" t="s">
        <v>50</v>
      </c>
      <c r="C8" s="15">
        <f>INDEX(LINEST(G$2:G$7,$F$2:$F$7),1)</f>
        <v>0.98475496900033965</v>
      </c>
      <c r="I8" s="8" t="s">
        <v>51</v>
      </c>
      <c r="J8" s="16">
        <f>INDEX(LINEST(F$2:F$7, G$2:G$7),1)</f>
        <v>1.0071655948699643</v>
      </c>
    </row>
    <row r="9" spans="1:15" x14ac:dyDescent="0.3">
      <c r="B9" s="8"/>
      <c r="C9" s="17">
        <f>INDEX(LINEST(G$2:G$7,$F$2:$F$7),2)</f>
        <v>-4431.8614186108662</v>
      </c>
      <c r="I9" s="8"/>
      <c r="J9" s="17">
        <f>INDEX(LINEST(F$2:F$7, G$2:G$7),2)</f>
        <v>4585.8101651150446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Cal</vt:lpstr>
      <vt:lpstr>Coupling</vt:lpstr>
    </vt:vector>
  </TitlesOfParts>
  <Company>GE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Gutz</dc:creator>
  <cp:lastModifiedBy>Dave Gutz</cp:lastModifiedBy>
  <dcterms:created xsi:type="dcterms:W3CDTF">2016-09-13T12:10:02Z</dcterms:created>
  <dcterms:modified xsi:type="dcterms:W3CDTF">2016-10-02T13:32:05Z</dcterms:modified>
</cp:coreProperties>
</file>