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23040" windowHeight="9972"/>
  </bookViews>
  <sheets>
    <sheet name="CalArduino" sheetId="1" r:id="rId1"/>
    <sheet name="CalPhoton" sheetId="2" r:id="rId2"/>
  </sheets>
  <calcPr calcId="152511"/>
</workbook>
</file>

<file path=xl/calcChain.xml><?xml version="1.0" encoding="utf-8"?>
<calcChain xmlns="http://schemas.openxmlformats.org/spreadsheetml/2006/main">
  <c r="C27" i="2" l="1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27" i="1"/>
  <c r="D27" i="1" s="1"/>
  <c r="AI23" i="2" l="1"/>
  <c r="AI22" i="2"/>
  <c r="AI20" i="2"/>
  <c r="AI19" i="2"/>
  <c r="AI18" i="2"/>
  <c r="AI17" i="2"/>
  <c r="N8" i="2"/>
  <c r="P8" i="2" s="1"/>
  <c r="M8" i="2"/>
  <c r="O8" i="2" s="1"/>
  <c r="K8" i="2"/>
  <c r="L8" i="2" s="1"/>
  <c r="Y8" i="2"/>
  <c r="AB20" i="2"/>
  <c r="AI21" i="2" s="1"/>
  <c r="N7" i="2"/>
  <c r="P7" i="2" s="1"/>
  <c r="M7" i="2"/>
  <c r="O7" i="2" s="1"/>
  <c r="K7" i="2"/>
  <c r="T7" i="2" s="1"/>
  <c r="J7" i="2"/>
  <c r="Y7" i="2" s="1"/>
  <c r="N6" i="2"/>
  <c r="P6" i="2" s="1"/>
  <c r="M6" i="2"/>
  <c r="O6" i="2" s="1"/>
  <c r="K6" i="2"/>
  <c r="T6" i="2" s="1"/>
  <c r="J6" i="2"/>
  <c r="Y6" i="2" s="1"/>
  <c r="N5" i="2"/>
  <c r="P5" i="2" s="1"/>
  <c r="M5" i="2"/>
  <c r="O5" i="2" s="1"/>
  <c r="K5" i="2"/>
  <c r="T5" i="2" s="1"/>
  <c r="J5" i="2"/>
  <c r="Y5" i="2" s="1"/>
  <c r="N4" i="2"/>
  <c r="P4" i="2" s="1"/>
  <c r="M4" i="2"/>
  <c r="O4" i="2" s="1"/>
  <c r="K4" i="2"/>
  <c r="T4" i="2" s="1"/>
  <c r="J4" i="2"/>
  <c r="Y4" i="2" s="1"/>
  <c r="N3" i="2"/>
  <c r="P3" i="2" s="1"/>
  <c r="M3" i="2"/>
  <c r="O3" i="2" s="1"/>
  <c r="K3" i="2"/>
  <c r="T3" i="2" s="1"/>
  <c r="J3" i="2"/>
  <c r="Y3" i="2" s="1"/>
  <c r="N2" i="2"/>
  <c r="P2" i="2" s="1"/>
  <c r="M2" i="2"/>
  <c r="O2" i="2" s="1"/>
  <c r="K2" i="2"/>
  <c r="T2" i="2" s="1"/>
  <c r="J2" i="2"/>
  <c r="Y2" i="2" s="1"/>
  <c r="Y1" i="2"/>
  <c r="Q3" i="2" l="1"/>
  <c r="Q4" i="2"/>
  <c r="Q5" i="2"/>
  <c r="Q6" i="2"/>
  <c r="Q7" i="2"/>
  <c r="T8" i="2"/>
  <c r="Q8" i="2"/>
  <c r="R5" i="2"/>
  <c r="AB33" i="2"/>
  <c r="AI24" i="2" s="1"/>
  <c r="AB32" i="2"/>
  <c r="AJ24" i="2" s="1"/>
  <c r="AB31" i="2"/>
  <c r="R2" i="2"/>
  <c r="R7" i="2"/>
  <c r="R4" i="2"/>
  <c r="Q2" i="2"/>
  <c r="R6" i="2"/>
  <c r="R3" i="2"/>
  <c r="R8" i="2"/>
  <c r="L2" i="2"/>
  <c r="L3" i="2"/>
  <c r="L4" i="2"/>
  <c r="L5" i="2"/>
  <c r="L6" i="2"/>
  <c r="L7" i="2"/>
  <c r="AK24" i="2" l="1"/>
  <c r="W8" i="2"/>
  <c r="X8" i="2" s="1"/>
  <c r="W7" i="2"/>
  <c r="X7" i="2" s="1"/>
  <c r="W6" i="2"/>
  <c r="X6" i="2" s="1"/>
  <c r="W5" i="2"/>
  <c r="X5" i="2" s="1"/>
  <c r="W4" i="2"/>
  <c r="X4" i="2" s="1"/>
  <c r="W3" i="2"/>
  <c r="X3" i="2" s="1"/>
  <c r="W2" i="2"/>
  <c r="X2" i="2" s="1"/>
  <c r="AI18" i="1" l="1"/>
  <c r="AI17" i="1"/>
  <c r="AI23" i="1"/>
  <c r="AI22" i="1"/>
  <c r="AI19" i="1"/>
  <c r="AI20" i="1"/>
  <c r="Y1" i="1"/>
  <c r="M3" i="1"/>
  <c r="O3" i="1" s="1"/>
  <c r="M4" i="1"/>
  <c r="O4" i="1" s="1"/>
  <c r="M5" i="1"/>
  <c r="O5" i="1" s="1"/>
  <c r="M6" i="1"/>
  <c r="O6" i="1" s="1"/>
  <c r="M7" i="1"/>
  <c r="O7" i="1" s="1"/>
  <c r="M8" i="1"/>
  <c r="O8" i="1" s="1"/>
  <c r="M2" i="1"/>
  <c r="O2" i="1" s="1"/>
  <c r="K3" i="1" l="1"/>
  <c r="K4" i="1"/>
  <c r="K5" i="1"/>
  <c r="K6" i="1"/>
  <c r="K7" i="1"/>
  <c r="K8" i="1"/>
  <c r="K2" i="1"/>
  <c r="AB20" i="1"/>
  <c r="AI21" i="1" s="1"/>
  <c r="Q5" i="1" l="1"/>
  <c r="Q2" i="1"/>
  <c r="Q8" i="1"/>
  <c r="Q7" i="1"/>
  <c r="Q6" i="1"/>
  <c r="Q4" i="1"/>
  <c r="Q3" i="1"/>
  <c r="L3" i="1"/>
  <c r="T3" i="1"/>
  <c r="L2" i="1"/>
  <c r="T2" i="1"/>
  <c r="L4" i="1"/>
  <c r="T4" i="1"/>
  <c r="L8" i="1"/>
  <c r="T8" i="1"/>
  <c r="L5" i="1"/>
  <c r="T5" i="1"/>
  <c r="L7" i="1"/>
  <c r="T7" i="1"/>
  <c r="L6" i="1"/>
  <c r="T6" i="1"/>
  <c r="J3" i="1"/>
  <c r="J4" i="1"/>
  <c r="J5" i="1"/>
  <c r="J6" i="1"/>
  <c r="J7" i="1"/>
  <c r="J8" i="1"/>
  <c r="J2" i="1"/>
  <c r="Y2" i="1" l="1"/>
  <c r="Z2" i="1" s="1"/>
  <c r="AA2" i="1" s="1"/>
  <c r="AB2" i="1" s="1"/>
  <c r="Y8" i="1"/>
  <c r="Z8" i="1" s="1"/>
  <c r="AA8" i="1" s="1"/>
  <c r="AB8" i="1" s="1"/>
  <c r="Y4" i="1"/>
  <c r="Z4" i="1" s="1"/>
  <c r="AA4" i="1" s="1"/>
  <c r="AB4" i="1" s="1"/>
  <c r="AD4" i="1" s="1"/>
  <c r="AE4" i="1" s="1"/>
  <c r="AF4" i="1" s="1"/>
  <c r="Y3" i="1"/>
  <c r="Z3" i="1" s="1"/>
  <c r="AA3" i="1" s="1"/>
  <c r="AB3" i="1" s="1"/>
  <c r="AD3" i="1" s="1"/>
  <c r="Y5" i="1"/>
  <c r="Z5" i="1" s="1"/>
  <c r="AA5" i="1" s="1"/>
  <c r="AB5" i="1" s="1"/>
  <c r="AD5" i="1" s="1"/>
  <c r="AE5" i="1" s="1"/>
  <c r="AF5" i="1" s="1"/>
  <c r="Y7" i="1"/>
  <c r="Z7" i="1" s="1"/>
  <c r="AA7" i="1" s="1"/>
  <c r="AB7" i="1" s="1"/>
  <c r="Y6" i="1"/>
  <c r="Z6" i="1" s="1"/>
  <c r="AA6" i="1" s="1"/>
  <c r="AB6" i="1" s="1"/>
  <c r="AD6" i="1" s="1"/>
  <c r="AE6" i="1" s="1"/>
  <c r="AF6" i="1" s="1"/>
  <c r="N3" i="1"/>
  <c r="P3" i="1" s="1"/>
  <c r="N4" i="1"/>
  <c r="P4" i="1" s="1"/>
  <c r="N5" i="1"/>
  <c r="P5" i="1" s="1"/>
  <c r="N6" i="1"/>
  <c r="P6" i="1" s="1"/>
  <c r="N7" i="1"/>
  <c r="P7" i="1" s="1"/>
  <c r="N8" i="1"/>
  <c r="P8" i="1" s="1"/>
  <c r="N2" i="1"/>
  <c r="P2" i="1" s="1"/>
  <c r="AD9" i="1" l="1"/>
  <c r="AE3" i="1"/>
  <c r="AE32" i="1"/>
  <c r="AE31" i="1"/>
  <c r="AE34" i="1"/>
  <c r="AE24" i="1" s="1"/>
  <c r="AE26" i="1" s="1"/>
  <c r="AE33" i="1"/>
  <c r="AB31" i="1"/>
  <c r="AK24" i="1" s="1"/>
  <c r="AB32" i="1"/>
  <c r="AJ24" i="1" s="1"/>
  <c r="AB33" i="1"/>
  <c r="AI24" i="1" s="1"/>
  <c r="R2" i="1"/>
  <c r="R4" i="1"/>
  <c r="R3" i="1"/>
  <c r="R7" i="1"/>
  <c r="R8" i="1"/>
  <c r="R6" i="1"/>
  <c r="R5" i="1"/>
  <c r="AE27" i="1" l="1"/>
  <c r="AI26" i="1" s="1"/>
  <c r="AJ26" i="1"/>
  <c r="AE9" i="1"/>
  <c r="AF3" i="1"/>
  <c r="AF9" i="1" s="1"/>
  <c r="AJ27" i="1"/>
  <c r="AE33" i="2"/>
  <c r="AJ27" i="2" s="1"/>
  <c r="AI27" i="1"/>
  <c r="AE34" i="2"/>
  <c r="AJ28" i="1"/>
  <c r="P18" i="2"/>
  <c r="Q18" i="2" s="1"/>
  <c r="R18" i="2" s="1"/>
  <c r="P15" i="2"/>
  <c r="Q15" i="2" s="1"/>
  <c r="R15" i="2" s="1"/>
  <c r="P12" i="2"/>
  <c r="Q12" i="2" s="1"/>
  <c r="R12" i="2" s="1"/>
  <c r="P13" i="2"/>
  <c r="Q13" i="2" s="1"/>
  <c r="R13" i="2" s="1"/>
  <c r="P14" i="2"/>
  <c r="Q14" i="2" s="1"/>
  <c r="R14" i="2" s="1"/>
  <c r="P17" i="2"/>
  <c r="Q17" i="2" s="1"/>
  <c r="R17" i="2" s="1"/>
  <c r="AE31" i="2"/>
  <c r="P16" i="2"/>
  <c r="Q16" i="2" s="1"/>
  <c r="R16" i="2" s="1"/>
  <c r="AI28" i="1"/>
  <c r="AE32" i="2"/>
  <c r="AI28" i="2" s="1"/>
  <c r="S6" i="1"/>
  <c r="U6" i="1" s="1"/>
  <c r="S5" i="1"/>
  <c r="U5" i="1" s="1"/>
  <c r="S3" i="1"/>
  <c r="U3" i="1" s="1"/>
  <c r="S7" i="1"/>
  <c r="U7" i="1" s="1"/>
  <c r="S2" i="1"/>
  <c r="U2" i="1" s="1"/>
  <c r="S4" i="1"/>
  <c r="U4" i="1" s="1"/>
  <c r="S8" i="1"/>
  <c r="U8" i="1" s="1"/>
  <c r="AI27" i="2" l="1"/>
  <c r="AE24" i="2"/>
  <c r="AE26" i="2" s="1"/>
  <c r="AJ28" i="2"/>
  <c r="S2" i="2"/>
  <c r="S4" i="2"/>
  <c r="U4" i="2" s="1"/>
  <c r="S3" i="2"/>
  <c r="U3" i="2" s="1"/>
  <c r="S8" i="2"/>
  <c r="U8" i="2" s="1"/>
  <c r="S6" i="2"/>
  <c r="U6" i="2" s="1"/>
  <c r="S7" i="2"/>
  <c r="U7" i="2" s="1"/>
  <c r="S5" i="2"/>
  <c r="U5" i="2" s="1"/>
  <c r="AB35" i="1"/>
  <c r="AI25" i="1" s="1"/>
  <c r="AB34" i="1"/>
  <c r="AJ25" i="1" s="1"/>
  <c r="W6" i="1"/>
  <c r="X6" i="1" s="1"/>
  <c r="W3" i="1"/>
  <c r="X3" i="1" s="1"/>
  <c r="W7" i="1"/>
  <c r="X7" i="1" s="1"/>
  <c r="W4" i="1"/>
  <c r="X4" i="1" s="1"/>
  <c r="W8" i="1"/>
  <c r="X8" i="1" s="1"/>
  <c r="W5" i="1"/>
  <c r="X5" i="1" s="1"/>
  <c r="W2" i="1"/>
  <c r="X2" i="1" s="1"/>
  <c r="AE27" i="2" l="1"/>
  <c r="AI26" i="2" s="1"/>
  <c r="AJ26" i="2"/>
  <c r="U2" i="2"/>
  <c r="AB34" i="2"/>
  <c r="AB35" i="2"/>
  <c r="AI25" i="2" s="1"/>
  <c r="V4" i="1"/>
  <c r="V6" i="1"/>
  <c r="V2" i="1"/>
  <c r="V5" i="1"/>
  <c r="V7" i="1"/>
  <c r="V8" i="1"/>
  <c r="V3" i="1"/>
  <c r="AJ25" i="2" l="1"/>
  <c r="V6" i="2"/>
  <c r="V7" i="2"/>
  <c r="V4" i="2"/>
  <c r="V8" i="2"/>
  <c r="V3" i="2"/>
  <c r="V5" i="2"/>
  <c r="V2" i="2"/>
</calcChain>
</file>

<file path=xl/sharedStrings.xml><?xml version="1.0" encoding="utf-8"?>
<sst xmlns="http://schemas.openxmlformats.org/spreadsheetml/2006/main" count="162" uniqueCount="77">
  <si>
    <t>throttleFlt, deg</t>
  </si>
  <si>
    <t>v4, vdc</t>
  </si>
  <si>
    <t>Vemf, V pk-pk</t>
  </si>
  <si>
    <t>numPoles</t>
  </si>
  <si>
    <t>Kv</t>
  </si>
  <si>
    <t>Vc</t>
  </si>
  <si>
    <t>max RPM</t>
  </si>
  <si>
    <t>fan,RPM</t>
  </si>
  <si>
    <t>fan, %</t>
  </si>
  <si>
    <t>Calc fan, rpm</t>
  </si>
  <si>
    <t>Throttle, deg</t>
  </si>
  <si>
    <t>Calc NG from Nf, rpm</t>
  </si>
  <si>
    <t>Calc Ng from Nf, %</t>
  </si>
  <si>
    <t>Calc Ng from Throttle, rpm</t>
  </si>
  <si>
    <t>for 100% Ng at</t>
  </si>
  <si>
    <t>ln(throttle)</t>
  </si>
  <si>
    <t>Charger V, vdc</t>
  </si>
  <si>
    <t>Charger I, A</t>
  </si>
  <si>
    <t>Charger Pwr, W</t>
  </si>
  <si>
    <t>P_V4_NF</t>
  </si>
  <si>
    <t>P_P_PNF</t>
  </si>
  <si>
    <t>P_NG_NF</t>
  </si>
  <si>
    <t>P_NF_NG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</si>
  <si>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</si>
  <si>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</si>
  <si>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</si>
  <si>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</si>
  <si>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</si>
  <si>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</si>
  <si>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</si>
  <si>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</si>
  <si>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</si>
  <si>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Calc fan, %</t>
  </si>
  <si>
    <t>vf2v, v</t>
  </si>
  <si>
    <t>Tfan, micros</t>
  </si>
  <si>
    <t>Tng, micros</t>
  </si>
  <si>
    <t>FreqFan, Hz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</si>
  <si>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</si>
  <si>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</si>
  <si>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</si>
  <si>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</si>
  <si>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</si>
  <si>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</si>
  <si>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</si>
  <si>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</si>
  <si>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</si>
  <si>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</si>
  <si>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watts max ESC output</t>
  </si>
  <si>
    <t>ESC</t>
  </si>
  <si>
    <t>Enter 'value' until 100% Ng at max ESC watts</t>
  </si>
  <si>
    <t>Enter AD Scalings</t>
  </si>
  <si>
    <t>pcnfRef, %</t>
  </si>
  <si>
    <t>Computed Values</t>
  </si>
  <si>
    <t>Test Data</t>
  </si>
  <si>
    <t>what works</t>
  </si>
  <si>
    <t>nf</t>
  </si>
  <si>
    <t>ng</t>
  </si>
  <si>
    <t>freq</t>
  </si>
  <si>
    <t>same as Arduino</t>
  </si>
  <si>
    <t>Charger Pwr, SHP</t>
  </si>
  <si>
    <t>Ng Torque, ft-lbf</t>
  </si>
  <si>
    <t>dQ/dNg, ft-lbf/rpm</t>
  </si>
  <si>
    <t>Tau</t>
  </si>
  <si>
    <t>JgEst, ft-lbf/(rpm/sec)</t>
  </si>
  <si>
    <t>JgEst, lbm-ft^2</t>
  </si>
  <si>
    <t>JgEst, lbm-in^2</t>
  </si>
  <si>
    <t>avg=</t>
  </si>
  <si>
    <t>TTL, ms</t>
  </si>
  <si>
    <t>original throttle, deg</t>
  </si>
  <si>
    <t>ttl, ms</t>
  </si>
  <si>
    <t>cal thtl</t>
  </si>
  <si>
    <t>Nf for 0% Ng</t>
  </si>
  <si>
    <t>-----&gt;</t>
  </si>
  <si>
    <t>10/13/2016 determined to scale deg throttle to 1000-2000 microseconds by setting in code for Servo</t>
  </si>
  <si>
    <t>Nf, %</t>
  </si>
  <si>
    <t>Entries for potESC.ino Arduino</t>
  </si>
  <si>
    <t>Entries for potESC.ino Photon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</si>
</sst>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164" fontId="0" fillId="2" borderId="10" xfId="0" applyNumberFormat="1" applyFill="1" applyBorder="1"/>
    <xf numFmtId="0" fontId="0" fillId="3" borderId="10" xfId="0" applyFill="1" applyBorder="1"/>
    <xf numFmtId="0" fontId="0" fillId="0" borderId="11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2" borderId="5" xfId="0" applyFill="1" applyBorder="1"/>
    <xf numFmtId="1" fontId="0" fillId="2" borderId="8" xfId="0" applyNumberFormat="1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1" fontId="0" fillId="5" borderId="8" xfId="0" applyNumberFormat="1" applyFill="1" applyBorder="1" applyAlignment="1">
      <alignment horizontal="left"/>
    </xf>
    <xf numFmtId="165" fontId="0" fillId="5" borderId="8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5" borderId="7" xfId="0" applyNumberFormat="1" applyFill="1" applyBorder="1" applyAlignment="1">
      <alignment horizontal="left"/>
    </xf>
    <xf numFmtId="0" fontId="0" fillId="6" borderId="0" xfId="0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/>
    <xf numFmtId="1" fontId="0" fillId="0" borderId="0" xfId="0" applyNumberFormat="1" applyFill="1" applyBorder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CalArduino!$Q$1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CalArduino!$J$2:$J$30</c:f>
              <c:numCache>
                <c:formatCode>0.0</c:formatCode>
                <c:ptCount val="29"/>
                <c:pt idx="0">
                  <c:v>11.64</c:v>
                </c:pt>
                <c:pt idx="1">
                  <c:v>18.12</c:v>
                </c:pt>
                <c:pt idx="2">
                  <c:v>36</c:v>
                </c:pt>
                <c:pt idx="3">
                  <c:v>55.199999999999996</c:v>
                </c:pt>
                <c:pt idx="4">
                  <c:v>64.800000000000011</c:v>
                </c:pt>
                <c:pt idx="5">
                  <c:v>104.39999999999999</c:v>
                </c:pt>
                <c:pt idx="6">
                  <c:v>156</c:v>
                </c:pt>
              </c:numCache>
            </c:numRef>
          </c:xVal>
          <c:yVal>
            <c:numRef>
              <c:f>CalArduino!$Q$2:$Q$30</c:f>
              <c:numCache>
                <c:formatCode>0</c:formatCode>
                <c:ptCount val="29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40256"/>
        <c:axId val="193837904"/>
      </c:scatterChart>
      <c:valAx>
        <c:axId val="19384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37904"/>
        <c:crosses val="autoZero"/>
        <c:crossBetween val="midCat"/>
      </c:valAx>
      <c:valAx>
        <c:axId val="1938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CalArduino!$P$1</c:f>
              <c:strCache>
                <c:ptCount val="1"/>
                <c:pt idx="0">
                  <c:v>fan,RPM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CalArduino!$O$2:$O$8</c:f>
              <c:numCache>
                <c:formatCode>0</c:formatCode>
                <c:ptCount val="7"/>
                <c:pt idx="0">
                  <c:v>7812.5000000000009</c:v>
                </c:pt>
                <c:pt idx="1">
                  <c:v>9433.962264150945</c:v>
                </c:pt>
                <c:pt idx="2">
                  <c:v>12244.897959183674</c:v>
                </c:pt>
                <c:pt idx="3">
                  <c:v>15000.000000000002</c:v>
                </c:pt>
                <c:pt idx="4">
                  <c:v>15544.041450777202</c:v>
                </c:pt>
                <c:pt idx="5">
                  <c:v>18633.540372670806</c:v>
                </c:pt>
                <c:pt idx="6">
                  <c:v>21306.818181818184</c:v>
                </c:pt>
              </c:numCache>
            </c:numRef>
          </c:xVal>
          <c:yVal>
            <c:numRef>
              <c:f>CalArduino!$P$2:$P$8</c:f>
              <c:numCache>
                <c:formatCode>0</c:formatCode>
                <c:ptCount val="7"/>
                <c:pt idx="0">
                  <c:v>3278.688524590164</c:v>
                </c:pt>
                <c:pt idx="1">
                  <c:v>4950.4950495049507</c:v>
                </c:pt>
                <c:pt idx="2">
                  <c:v>7812.5000000000009</c:v>
                </c:pt>
                <c:pt idx="3">
                  <c:v>10067.114093959732</c:v>
                </c:pt>
                <c:pt idx="4">
                  <c:v>10869.565217391306</c:v>
                </c:pt>
                <c:pt idx="5">
                  <c:v>13761.467889908257</c:v>
                </c:pt>
                <c:pt idx="6">
                  <c:v>15957.44680851064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35552"/>
        <c:axId val="193837120"/>
      </c:scatterChart>
      <c:valAx>
        <c:axId val="19383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37120"/>
        <c:crosses val="autoZero"/>
        <c:crossBetween val="midCat"/>
      </c:valAx>
      <c:valAx>
        <c:axId val="19383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3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Attempt by ESC to Reduce Power Slope At 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35323397075365581"/>
                  <c:y val="0.126610413367750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CalArduino!$K$2:$K$8</c:f>
              <c:numCache>
                <c:formatCode>General</c:formatCode>
                <c:ptCount val="7"/>
                <c:pt idx="0">
                  <c:v>78.089999999999989</c:v>
                </c:pt>
                <c:pt idx="1">
                  <c:v>83.699999999999974</c:v>
                </c:pt>
                <c:pt idx="2">
                  <c:v>102.40000000000002</c:v>
                </c:pt>
                <c:pt idx="3">
                  <c:v>121.10000000000002</c:v>
                </c:pt>
                <c:pt idx="4">
                  <c:v>128.57999999999998</c:v>
                </c:pt>
                <c:pt idx="5">
                  <c:v>153.82499999999999</c:v>
                </c:pt>
                <c:pt idx="6">
                  <c:v>170.46799999999999</c:v>
                </c:pt>
              </c:numCache>
            </c:numRef>
          </c:xVal>
          <c:yVal>
            <c:numRef>
              <c:f>CalArduino!$Q$2:$Q$8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37512"/>
        <c:axId val="193838296"/>
      </c:scatterChart>
      <c:scatterChart>
        <c:scatterStyle val="lineMarker"/>
        <c:varyColors val="0"/>
        <c:ser>
          <c:idx val="1"/>
          <c:order val="1"/>
          <c:tx>
            <c:strRef>
              <c:f>CalArduino!$Y$1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CalArduino!$K$2:$K$8</c:f>
              <c:numCache>
                <c:formatCode>General</c:formatCode>
                <c:ptCount val="7"/>
                <c:pt idx="0">
                  <c:v>78.089999999999989</c:v>
                </c:pt>
                <c:pt idx="1">
                  <c:v>83.699999999999974</c:v>
                </c:pt>
                <c:pt idx="2">
                  <c:v>102.40000000000002</c:v>
                </c:pt>
                <c:pt idx="3">
                  <c:v>121.10000000000002</c:v>
                </c:pt>
                <c:pt idx="4">
                  <c:v>128.57999999999998</c:v>
                </c:pt>
                <c:pt idx="5">
                  <c:v>153.82499999999999</c:v>
                </c:pt>
                <c:pt idx="6">
                  <c:v>170.46799999999999</c:v>
                </c:pt>
              </c:numCache>
            </c:numRef>
          </c:xVal>
          <c:yVal>
            <c:numRef>
              <c:f>CalArduino!$Y$2:$Y$8</c:f>
              <c:numCache>
                <c:formatCode>General</c:formatCode>
                <c:ptCount val="7"/>
                <c:pt idx="0">
                  <c:v>11.64</c:v>
                </c:pt>
                <c:pt idx="1">
                  <c:v>18.12</c:v>
                </c:pt>
                <c:pt idx="2">
                  <c:v>36</c:v>
                </c:pt>
                <c:pt idx="3">
                  <c:v>55.199999999999996</c:v>
                </c:pt>
                <c:pt idx="4">
                  <c:v>64.800000000000011</c:v>
                </c:pt>
                <c:pt idx="5">
                  <c:v>104.39999999999999</c:v>
                </c:pt>
                <c:pt idx="6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91272"/>
        <c:axId val="513800152"/>
      </c:scatterChart>
      <c:valAx>
        <c:axId val="19383751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38296"/>
        <c:crosses val="autoZero"/>
        <c:crossBetween val="midCat"/>
      </c:valAx>
      <c:valAx>
        <c:axId val="19383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37512"/>
        <c:crosses val="autoZero"/>
        <c:crossBetween val="midCat"/>
      </c:valAx>
      <c:valAx>
        <c:axId val="513800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91272"/>
        <c:crosses val="max"/>
        <c:crossBetween val="midCat"/>
      </c:valAx>
      <c:valAx>
        <c:axId val="141291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3800152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915115991666955E-2"/>
          <c:y val="0.82389355699646971"/>
          <c:w val="0.75743135247107563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CalArduino!$Y$1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CalArduino!$Q$2:$Q$8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xVal>
          <c:yVal>
            <c:numRef>
              <c:f>CalArduino!$Y$2:$Y$8</c:f>
              <c:numCache>
                <c:formatCode>General</c:formatCode>
                <c:ptCount val="7"/>
                <c:pt idx="0">
                  <c:v>11.64</c:v>
                </c:pt>
                <c:pt idx="1">
                  <c:v>18.12</c:v>
                </c:pt>
                <c:pt idx="2">
                  <c:v>36</c:v>
                </c:pt>
                <c:pt idx="3">
                  <c:v>55.199999999999996</c:v>
                </c:pt>
                <c:pt idx="4">
                  <c:v>64.800000000000011</c:v>
                </c:pt>
                <c:pt idx="5">
                  <c:v>104.39999999999999</c:v>
                </c:pt>
                <c:pt idx="6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39864"/>
        <c:axId val="193841432"/>
      </c:scatterChart>
      <c:valAx>
        <c:axId val="19383986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93841432"/>
        <c:crosses val="autoZero"/>
        <c:crossBetween val="midCat"/>
      </c:valAx>
      <c:valAx>
        <c:axId val="193841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839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52674358798312"/>
          <c:y val="0.24957033840520826"/>
          <c:w val="0.85584877842541363"/>
          <c:h val="0.601843341646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CalArduino!$AC$1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CalArduino!$Q$2:$Q$8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xVal>
          <c:yVal>
            <c:numRef>
              <c:f>CalArduino!$AC$2:$AC$8</c:f>
              <c:numCache>
                <c:formatCode>General</c:formatCode>
                <c:ptCount val="7"/>
                <c:pt idx="1">
                  <c:v>0.18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49472"/>
        <c:axId val="195151040"/>
      </c:scatterChart>
      <c:valAx>
        <c:axId val="19514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95151040"/>
        <c:crosses val="autoZero"/>
        <c:crossBetween val="midCat"/>
      </c:valAx>
      <c:valAx>
        <c:axId val="19515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49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CalArduino!$U$1</c:f>
              <c:strCache>
                <c:ptCount val="1"/>
                <c:pt idx="0">
                  <c:v>Calc Ng from Nf,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32"/>
            <c:dispRSqr val="0"/>
            <c:dispEq val="0"/>
          </c:trendline>
          <c:xVal>
            <c:numRef>
              <c:f>CalArduino!$R$2:$R$8</c:f>
              <c:numCache>
                <c:formatCode>0</c:formatCode>
                <c:ptCount val="7"/>
                <c:pt idx="0">
                  <c:v>14.799635701275045</c:v>
                </c:pt>
                <c:pt idx="1">
                  <c:v>22.345984598459847</c:v>
                </c:pt>
                <c:pt idx="2">
                  <c:v>35.26475694444445</c:v>
                </c:pt>
                <c:pt idx="3">
                  <c:v>45.44183445190157</c:v>
                </c:pt>
                <c:pt idx="4">
                  <c:v>49.064009661835762</c:v>
                </c:pt>
                <c:pt idx="5">
                  <c:v>62.117737003058117</c:v>
                </c:pt>
                <c:pt idx="6">
                  <c:v>72.030141843971634</c:v>
                </c:pt>
              </c:numCache>
            </c:numRef>
          </c:xVal>
          <c:yVal>
            <c:numRef>
              <c:f>CalArduino!$U$2:$U$8</c:f>
              <c:numCache>
                <c:formatCode>0</c:formatCode>
                <c:ptCount val="7"/>
                <c:pt idx="0">
                  <c:v>34.560601222019052</c:v>
                </c:pt>
                <c:pt idx="1">
                  <c:v>42.561283203103258</c:v>
                </c:pt>
                <c:pt idx="2">
                  <c:v>56.257839052092237</c:v>
                </c:pt>
                <c:pt idx="3">
                  <c:v>67.047634454261498</c:v>
                </c:pt>
                <c:pt idx="4">
                  <c:v>70.887885193961779</c:v>
                </c:pt>
                <c:pt idx="5">
                  <c:v>84.727521095750703</c:v>
                </c:pt>
                <c:pt idx="6">
                  <c:v>95.236709032912501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366232"/>
        <c:axId val="560365840"/>
      </c:scatterChart>
      <c:valAx>
        <c:axId val="560366232"/>
        <c:scaling>
          <c:orientation val="minMax"/>
          <c:max val="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65840"/>
        <c:crosses val="autoZero"/>
        <c:crossBetween val="midCat"/>
      </c:valAx>
      <c:valAx>
        <c:axId val="56036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66232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CalPhoton!$Q$1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CalPhoton!$J$2:$J$30</c:f>
              <c:numCache>
                <c:formatCode>0.0</c:formatCode>
                <c:ptCount val="29"/>
                <c:pt idx="0">
                  <c:v>18.954000000000001</c:v>
                </c:pt>
                <c:pt idx="1">
                  <c:v>23.065999999999999</c:v>
                </c:pt>
                <c:pt idx="2">
                  <c:v>44.176200000000001</c:v>
                </c:pt>
                <c:pt idx="3">
                  <c:v>77.8596</c:v>
                </c:pt>
                <c:pt idx="4">
                  <c:v>100.6914</c:v>
                </c:pt>
                <c:pt idx="5">
                  <c:v>155.69400000000002</c:v>
                </c:pt>
              </c:numCache>
            </c:numRef>
          </c:xVal>
          <c:yVal>
            <c:numRef>
              <c:f>CalPhoton!$Q$2:$Q$30</c:f>
              <c:numCache>
                <c:formatCode>0</c:formatCode>
                <c:ptCount val="29"/>
                <c:pt idx="0">
                  <c:v>35.535006556692458</c:v>
                </c:pt>
                <c:pt idx="1">
                  <c:v>41.694986197572746</c:v>
                </c:pt>
                <c:pt idx="2">
                  <c:v>58.497191347429769</c:v>
                </c:pt>
                <c:pt idx="3">
                  <c:v>71.633456576421381</c:v>
                </c:pt>
                <c:pt idx="4">
                  <c:v>78.025081169228997</c:v>
                </c:pt>
                <c:pt idx="5">
                  <c:v>87.695216353429245</c:v>
                </c:pt>
                <c:pt idx="6">
                  <c:v>99.436452599869568</c:v>
                </c:pt>
                <c:pt idx="9">
                  <c:v>0</c:v>
                </c:pt>
                <c:pt idx="10">
                  <c:v>262.41235611095965</c:v>
                </c:pt>
                <c:pt idx="11">
                  <c:v>307.90143653592179</c:v>
                </c:pt>
                <c:pt idx="12">
                  <c:v>431.97925918101981</c:v>
                </c:pt>
                <c:pt idx="13">
                  <c:v>528.98552548741941</c:v>
                </c:pt>
                <c:pt idx="14">
                  <c:v>576.18521478815251</c:v>
                </c:pt>
                <c:pt idx="15">
                  <c:v>647.59544384070819</c:v>
                </c:pt>
                <c:pt idx="16">
                  <c:v>734.29995766057539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51432"/>
        <c:axId val="195154568"/>
      </c:scatterChart>
      <c:valAx>
        <c:axId val="19515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54568"/>
        <c:crosses val="autoZero"/>
        <c:crossBetween val="midCat"/>
      </c:valAx>
      <c:valAx>
        <c:axId val="1951545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51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8</xdr:row>
      <xdr:rowOff>144780</xdr:rowOff>
    </xdr:from>
    <xdr:to>
      <xdr:col>15</xdr:col>
      <xdr:colOff>30480</xdr:colOff>
      <xdr:row>23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24</xdr:row>
      <xdr:rowOff>175260</xdr:rowOff>
    </xdr:from>
    <xdr:to>
      <xdr:col>11</xdr:col>
      <xdr:colOff>114300</xdr:colOff>
      <xdr:row>35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49530</xdr:colOff>
      <xdr:row>8</xdr:row>
      <xdr:rowOff>129546</xdr:rowOff>
    </xdr:from>
    <xdr:to>
      <xdr:col>24</xdr:col>
      <xdr:colOff>228600</xdr:colOff>
      <xdr:row>24</xdr:row>
      <xdr:rowOff>160020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363855</xdr:colOff>
      <xdr:row>25</xdr:row>
      <xdr:rowOff>78111</xdr:rowOff>
    </xdr:from>
    <xdr:to>
      <xdr:col>19</xdr:col>
      <xdr:colOff>83820</xdr:colOff>
      <xdr:row>38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154305</xdr:colOff>
      <xdr:row>0</xdr:row>
      <xdr:rowOff>1</xdr:rowOff>
    </xdr:from>
    <xdr:to>
      <xdr:col>38</xdr:col>
      <xdr:colOff>152400</xdr:colOff>
      <xdr:row>9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</xdr:colOff>
      <xdr:row>37</xdr:row>
      <xdr:rowOff>15246</xdr:rowOff>
    </xdr:from>
    <xdr:to>
      <xdr:col>14</xdr:col>
      <xdr:colOff>304800</xdr:colOff>
      <xdr:row>54</xdr:row>
      <xdr:rowOff>160020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9</xdr:row>
      <xdr:rowOff>60960</xdr:rowOff>
    </xdr:from>
    <xdr:to>
      <xdr:col>16</xdr:col>
      <xdr:colOff>53340</xdr:colOff>
      <xdr:row>23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5"/>
  <sheetViews>
    <sheetView tabSelected="1" topLeftCell="V1" workbookViewId="0">
      <pane ySplit="2" topLeftCell="A16" activePane="bottomLeft" state="frozen"/>
      <selection pane="bottomLeft" activeCell="W33" sqref="W33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5" width="6.33203125" style="1" customWidth="1"/>
    <col min="6" max="6" width="4.6640625" style="1" customWidth="1"/>
    <col min="7" max="7" width="5" style="1" bestFit="1" customWidth="1"/>
    <col min="8" max="8" width="5.33203125" style="1" customWidth="1"/>
    <col min="9" max="9" width="5.44140625" style="1" customWidth="1"/>
    <col min="10" max="10" width="7.109375" style="1" customWidth="1"/>
    <col min="11" max="11" width="5.109375" style="1" customWidth="1"/>
    <col min="12" max="13" width="6.6640625" style="1" customWidth="1"/>
    <col min="14" max="14" width="4.33203125" style="1" customWidth="1"/>
    <col min="15" max="15" width="7.33203125" style="1" bestFit="1" customWidth="1"/>
    <col min="16" max="17" width="6.33203125" style="1" customWidth="1"/>
    <col min="18" max="18" width="4.33203125" style="1" customWidth="1"/>
    <col min="19" max="19" width="7.6640625" style="1" customWidth="1"/>
    <col min="20" max="20" width="8" style="1" customWidth="1"/>
    <col min="21" max="21" width="6.33203125" style="1" customWidth="1"/>
    <col min="22" max="22" width="8.109375" style="1" bestFit="1" customWidth="1"/>
    <col min="23" max="25" width="6.109375" customWidth="1"/>
    <col min="27" max="27" width="9.88671875" bestFit="1" customWidth="1"/>
    <col min="28" max="28" width="10.6640625" customWidth="1"/>
    <col min="29" max="29" width="6.5546875" bestFit="1" customWidth="1"/>
    <col min="30" max="31" width="9.6640625" customWidth="1"/>
    <col min="32" max="32" width="7.88671875" customWidth="1"/>
    <col min="33" max="33" width="10" customWidth="1"/>
    <col min="34" max="34" width="11.5546875" customWidth="1"/>
    <col min="35" max="35" width="11.109375" customWidth="1"/>
    <col min="37" max="37" width="9.6640625" customWidth="1"/>
  </cols>
  <sheetData>
    <row r="1" spans="1:36" ht="57.6" x14ac:dyDescent="0.3">
      <c r="A1" t="s">
        <v>53</v>
      </c>
      <c r="B1" s="74" t="s">
        <v>67</v>
      </c>
      <c r="C1" s="75" t="s">
        <v>0</v>
      </c>
      <c r="D1" s="75" t="s">
        <v>1</v>
      </c>
      <c r="E1" s="75" t="s">
        <v>16</v>
      </c>
      <c r="F1" s="75" t="s">
        <v>17</v>
      </c>
      <c r="G1" s="75" t="s">
        <v>35</v>
      </c>
      <c r="H1" s="75" t="s">
        <v>34</v>
      </c>
      <c r="I1" s="76" t="s">
        <v>2</v>
      </c>
      <c r="J1" s="4" t="s">
        <v>18</v>
      </c>
      <c r="K1" s="4" t="s">
        <v>10</v>
      </c>
      <c r="L1" s="4" t="s">
        <v>15</v>
      </c>
      <c r="M1" s="4" t="s">
        <v>37</v>
      </c>
      <c r="N1" s="4" t="s">
        <v>36</v>
      </c>
      <c r="O1" s="4" t="s">
        <v>38</v>
      </c>
      <c r="P1" s="4" t="s">
        <v>7</v>
      </c>
      <c r="Q1" s="4" t="s">
        <v>39</v>
      </c>
      <c r="R1" s="4" t="s">
        <v>74</v>
      </c>
      <c r="S1" s="4" t="s">
        <v>11</v>
      </c>
      <c r="T1" s="4" t="s">
        <v>10</v>
      </c>
      <c r="U1" s="4" t="s">
        <v>12</v>
      </c>
      <c r="V1" s="4" t="s">
        <v>13</v>
      </c>
      <c r="W1" s="4" t="s">
        <v>9</v>
      </c>
      <c r="X1" s="4" t="s">
        <v>32</v>
      </c>
      <c r="Y1" s="4" t="str">
        <f t="shared" ref="Y1:Y8" si="0">J1</f>
        <v>Charger Pwr, W</v>
      </c>
      <c r="Z1" s="4" t="s">
        <v>59</v>
      </c>
      <c r="AA1" s="4" t="s">
        <v>60</v>
      </c>
      <c r="AB1" s="4" t="s">
        <v>61</v>
      </c>
      <c r="AC1" s="4" t="s">
        <v>62</v>
      </c>
      <c r="AD1" s="4" t="s">
        <v>63</v>
      </c>
      <c r="AE1" s="4" t="s">
        <v>64</v>
      </c>
      <c r="AF1" s="4" t="s">
        <v>65</v>
      </c>
    </row>
    <row r="2" spans="1:36" x14ac:dyDescent="0.3">
      <c r="B2" s="77">
        <v>1.4338333333333333</v>
      </c>
      <c r="C2" s="73">
        <v>78.089999999999989</v>
      </c>
      <c r="D2" s="73">
        <v>0.5</v>
      </c>
      <c r="E2" s="73">
        <v>12</v>
      </c>
      <c r="F2" s="73">
        <v>0.97</v>
      </c>
      <c r="G2" s="73">
        <v>3840</v>
      </c>
      <c r="H2" s="73">
        <v>9150</v>
      </c>
      <c r="I2" s="78">
        <v>3.2</v>
      </c>
      <c r="J2" s="2">
        <f>E2*F2</f>
        <v>11.64</v>
      </c>
      <c r="K2" s="1">
        <f t="shared" ref="K2:K8" si="1">C2</f>
        <v>78.089999999999989</v>
      </c>
      <c r="L2" s="1">
        <f>LN(K2)</f>
        <v>4.3578620076745835</v>
      </c>
      <c r="M2" s="3">
        <f t="shared" ref="M2:N8" si="2">1/G2/0.000001</f>
        <v>260.41666666666669</v>
      </c>
      <c r="N2" s="3">
        <f t="shared" si="2"/>
        <v>109.2896174863388</v>
      </c>
      <c r="O2" s="3">
        <f t="shared" ref="O2:P8" si="3">M2*60/$AB$12</f>
        <v>7812.5000000000009</v>
      </c>
      <c r="P2" s="3">
        <f t="shared" si="3"/>
        <v>3278.688524590164</v>
      </c>
      <c r="Q2" s="3">
        <f>O2/$AB$20*100</f>
        <v>35.26475694444445</v>
      </c>
      <c r="R2" s="3">
        <f>P2/$AB$20*100</f>
        <v>14.799635701275045</v>
      </c>
      <c r="S2" s="3">
        <f>P2*$AE$31+$AE$32</f>
        <v>7656.5024245703744</v>
      </c>
      <c r="T2" s="3">
        <f t="shared" ref="T2:T8" si="4">K2</f>
        <v>78.089999999999989</v>
      </c>
      <c r="U2" s="3">
        <f>S2/$AB$20*100</f>
        <v>34.560601222019052</v>
      </c>
      <c r="V2" s="3">
        <f>$AB$34*LN(C2)+$AB$35</f>
        <v>7881.4473423580348</v>
      </c>
      <c r="W2" s="3">
        <f>D2*D2*$AB$31+D2*$AB$32+$AB$33</f>
        <v>3494.6201834301496</v>
      </c>
      <c r="X2" s="3">
        <f>W2/$AB$20*100</f>
        <v>15.774327216872205</v>
      </c>
      <c r="Y2" s="4">
        <f t="shared" si="0"/>
        <v>11.64</v>
      </c>
      <c r="Z2">
        <f>Y2*0.001341022</f>
        <v>1.5609496080000002E-2</v>
      </c>
      <c r="AA2">
        <f>Z2/O2*5252</f>
        <v>1.0493577396756479E-2</v>
      </c>
      <c r="AB2">
        <f>-AA2/2/O2</f>
        <v>-6.715889533924146E-7</v>
      </c>
    </row>
    <row r="3" spans="1:36" ht="13.95" customHeight="1" x14ac:dyDescent="0.3">
      <c r="B3" s="77">
        <v>1.4649999999999999</v>
      </c>
      <c r="C3" s="73">
        <v>83.699999999999974</v>
      </c>
      <c r="D3" s="73">
        <v>0.74199999999999999</v>
      </c>
      <c r="E3" s="73">
        <v>12</v>
      </c>
      <c r="F3" s="73">
        <v>1.51</v>
      </c>
      <c r="G3" s="73">
        <v>3180</v>
      </c>
      <c r="H3" s="73">
        <v>6060</v>
      </c>
      <c r="I3" s="78">
        <v>4.5999999999999996</v>
      </c>
      <c r="J3" s="2">
        <f t="shared" ref="J3:J8" si="5">E3*F3</f>
        <v>18.12</v>
      </c>
      <c r="K3" s="1">
        <f t="shared" si="1"/>
        <v>83.699999999999974</v>
      </c>
      <c r="L3" s="1">
        <f t="shared" ref="L3:L8" si="6">LN(K3)</f>
        <v>4.4272389774954295</v>
      </c>
      <c r="M3" s="3">
        <f t="shared" si="2"/>
        <v>314.46540880503147</v>
      </c>
      <c r="N3" s="3">
        <f t="shared" si="2"/>
        <v>165.01650165016503</v>
      </c>
      <c r="O3" s="3">
        <f t="shared" si="3"/>
        <v>9433.962264150945</v>
      </c>
      <c r="P3" s="3">
        <f t="shared" si="3"/>
        <v>4950.4950495049507</v>
      </c>
      <c r="Q3" s="3">
        <f>O3/$AB$20*100</f>
        <v>42.58385744234802</v>
      </c>
      <c r="R3" s="3">
        <f>P3/$AB$20*100</f>
        <v>22.345984598459847</v>
      </c>
      <c r="S3" s="3">
        <f>P3*$AE$31+$AE$32</f>
        <v>9428.9612019182605</v>
      </c>
      <c r="T3" s="3">
        <f t="shared" si="4"/>
        <v>83.699999999999974</v>
      </c>
      <c r="U3" s="3">
        <f>S3/$AB$20*100</f>
        <v>42.561283203103258</v>
      </c>
      <c r="V3" s="3">
        <f>$AB$34*LN(C3)+$AB$35</f>
        <v>9017.3859752740245</v>
      </c>
      <c r="W3" s="3">
        <f>D3*D3*$AB$31+D3*$AB$32+$AB$33</f>
        <v>5100.5484588755035</v>
      </c>
      <c r="X3" s="3">
        <f>W3/$AB$20*100</f>
        <v>23.02330901575748</v>
      </c>
      <c r="Y3" s="4">
        <f t="shared" si="0"/>
        <v>18.12</v>
      </c>
      <c r="Z3">
        <f t="shared" ref="Z3:Z8" si="7">Y3*0.001341022</f>
        <v>2.4299318640000005E-2</v>
      </c>
      <c r="AA3">
        <f t="shared" ref="AA3:AA8" si="8">Z3/O3*5252</f>
        <v>1.3527722278711681E-2</v>
      </c>
      <c r="AB3">
        <f t="shared" ref="AB3:AB8" si="9">-AA3/2/O3</f>
        <v>-7.1696928077171894E-7</v>
      </c>
      <c r="AC3">
        <v>0.18</v>
      </c>
      <c r="AD3">
        <f t="shared" ref="AD3:AD6" si="10">-AC3*AB3</f>
        <v>1.2905447053890941E-7</v>
      </c>
      <c r="AE3">
        <f t="shared" ref="AE3:AE6" si="11">AD3/6.66*2048.5</f>
        <v>3.9694907342185574E-5</v>
      </c>
      <c r="AF3">
        <f t="shared" ref="AF3:AF6" si="12">AE3*144</f>
        <v>5.716066657274723E-3</v>
      </c>
    </row>
    <row r="4" spans="1:36" ht="13.95" customHeight="1" x14ac:dyDescent="0.3">
      <c r="B4" s="77">
        <v>1.568888888888889</v>
      </c>
      <c r="C4" s="73">
        <v>102.40000000000002</v>
      </c>
      <c r="D4" s="73">
        <v>1.17</v>
      </c>
      <c r="E4" s="73">
        <v>12</v>
      </c>
      <c r="F4" s="73">
        <v>3</v>
      </c>
      <c r="G4" s="73">
        <v>2450</v>
      </c>
      <c r="H4" s="73">
        <v>3840</v>
      </c>
      <c r="I4" s="78">
        <v>7.4</v>
      </c>
      <c r="J4" s="2">
        <f t="shared" si="5"/>
        <v>36</v>
      </c>
      <c r="K4" s="1">
        <f t="shared" si="1"/>
        <v>102.40000000000002</v>
      </c>
      <c r="L4" s="1">
        <f t="shared" si="6"/>
        <v>4.6288867126054072</v>
      </c>
      <c r="M4" s="3">
        <f t="shared" si="2"/>
        <v>408.16326530612247</v>
      </c>
      <c r="N4" s="3">
        <f t="shared" si="2"/>
        <v>260.41666666666669</v>
      </c>
      <c r="O4" s="3">
        <f t="shared" si="3"/>
        <v>12244.897959183674</v>
      </c>
      <c r="P4" s="3">
        <f t="shared" si="3"/>
        <v>7812.5000000000009</v>
      </c>
      <c r="Q4" s="3">
        <f>O4/$AB$20*100</f>
        <v>55.272108843537424</v>
      </c>
      <c r="R4" s="3">
        <f>P4/$AB$20*100</f>
        <v>35.26475694444445</v>
      </c>
      <c r="S4" s="3">
        <f>P4*$AE$31+$AE$32</f>
        <v>12463.275113078895</v>
      </c>
      <c r="T4" s="3">
        <f t="shared" si="4"/>
        <v>102.40000000000002</v>
      </c>
      <c r="U4" s="3">
        <f>S4/$AB$20*100</f>
        <v>56.257839052092237</v>
      </c>
      <c r="V4" s="3">
        <f>$AB$34*LN(C4)+$AB$35</f>
        <v>12319.050103052141</v>
      </c>
      <c r="W4" s="3">
        <f>D4*D4*$AB$31+D4*$AB$32+$AB$33</f>
        <v>7804.2947828053293</v>
      </c>
      <c r="X4" s="3">
        <f>W4/$AB$20*100</f>
        <v>35.227719505718504</v>
      </c>
      <c r="Y4" s="4">
        <f t="shared" si="0"/>
        <v>36</v>
      </c>
      <c r="Z4">
        <f t="shared" si="7"/>
        <v>4.8276792000000006E-2</v>
      </c>
      <c r="AA4">
        <f t="shared" si="8"/>
        <v>2.070655977936E-2</v>
      </c>
      <c r="AB4">
        <f t="shared" si="9"/>
        <v>-8.4551785765719992E-7</v>
      </c>
      <c r="AC4">
        <v>0.18</v>
      </c>
      <c r="AD4">
        <f t="shared" si="10"/>
        <v>1.5219321437829598E-7</v>
      </c>
      <c r="AE4">
        <f t="shared" si="11"/>
        <v>4.6811981930020919E-5</v>
      </c>
      <c r="AF4">
        <f t="shared" si="12"/>
        <v>6.7409253979230123E-3</v>
      </c>
    </row>
    <row r="5" spans="1:36" ht="13.95" customHeight="1" x14ac:dyDescent="0.3">
      <c r="B5" s="77">
        <v>1.6727777777777779</v>
      </c>
      <c r="C5" s="73">
        <v>121.10000000000002</v>
      </c>
      <c r="D5" s="73">
        <v>1.52</v>
      </c>
      <c r="E5" s="73">
        <v>12</v>
      </c>
      <c r="F5" s="73">
        <v>4.5999999999999996</v>
      </c>
      <c r="G5" s="73">
        <v>2000</v>
      </c>
      <c r="H5" s="73">
        <v>2980</v>
      </c>
      <c r="I5" s="78">
        <v>9.4</v>
      </c>
      <c r="J5" s="2">
        <f t="shared" si="5"/>
        <v>55.199999999999996</v>
      </c>
      <c r="K5" s="1">
        <f t="shared" si="1"/>
        <v>121.10000000000002</v>
      </c>
      <c r="L5" s="1">
        <f t="shared" si="6"/>
        <v>4.7966166505590468</v>
      </c>
      <c r="M5" s="3">
        <f t="shared" si="2"/>
        <v>500.00000000000006</v>
      </c>
      <c r="N5" s="3">
        <f t="shared" si="2"/>
        <v>335.57046979865771</v>
      </c>
      <c r="O5" s="3">
        <f t="shared" si="3"/>
        <v>15000.000000000002</v>
      </c>
      <c r="P5" s="3">
        <f t="shared" si="3"/>
        <v>10067.114093959732</v>
      </c>
      <c r="Q5" s="3">
        <f>O5/$AB$20*100</f>
        <v>67.708333333333343</v>
      </c>
      <c r="R5" s="3">
        <f>P5/$AB$20*100</f>
        <v>45.44183445190157</v>
      </c>
      <c r="S5" s="3">
        <f>P5*$AE$31+$AE$32</f>
        <v>14853.629786790238</v>
      </c>
      <c r="T5" s="3">
        <f t="shared" si="4"/>
        <v>121.10000000000002</v>
      </c>
      <c r="U5" s="3">
        <f>S5/$AB$20*100</f>
        <v>67.047634454261498</v>
      </c>
      <c r="V5" s="3">
        <f>$AB$34*LN(C5)+$AB$35</f>
        <v>15065.363712743565</v>
      </c>
      <c r="W5" s="3">
        <f>D5*D5*$AB$31+D5*$AB$32+$AB$33</f>
        <v>9885.6944218814369</v>
      </c>
      <c r="X5" s="3">
        <f>W5/$AB$20*100</f>
        <v>44.622926209881491</v>
      </c>
      <c r="Y5" s="4">
        <f t="shared" si="0"/>
        <v>55.199999999999996</v>
      </c>
      <c r="Z5">
        <f t="shared" si="7"/>
        <v>7.4024414400000002E-2</v>
      </c>
      <c r="AA5">
        <f t="shared" si="8"/>
        <v>2.5918414961919996E-2</v>
      </c>
      <c r="AB5">
        <f t="shared" si="9"/>
        <v>-8.6394716539733309E-7</v>
      </c>
      <c r="AC5">
        <v>0.14000000000000001</v>
      </c>
      <c r="AD5">
        <f t="shared" si="10"/>
        <v>1.2095260315562663E-7</v>
      </c>
      <c r="AE5">
        <f t="shared" si="11"/>
        <v>3.7202914048693865E-5</v>
      </c>
      <c r="AF5">
        <f t="shared" si="12"/>
        <v>5.3572196230119162E-3</v>
      </c>
    </row>
    <row r="6" spans="1:36" ht="13.95" customHeight="1" x14ac:dyDescent="0.3">
      <c r="B6" s="77">
        <v>1.7143333333333333</v>
      </c>
      <c r="C6" s="73">
        <v>128.57999999999998</v>
      </c>
      <c r="D6" s="73">
        <v>1.7</v>
      </c>
      <c r="E6" s="73">
        <v>12</v>
      </c>
      <c r="F6" s="73">
        <v>5.4</v>
      </c>
      <c r="G6" s="73">
        <v>1930</v>
      </c>
      <c r="H6" s="73">
        <v>2760</v>
      </c>
      <c r="I6" s="78">
        <v>10.4</v>
      </c>
      <c r="J6" s="2">
        <f t="shared" si="5"/>
        <v>64.800000000000011</v>
      </c>
      <c r="K6" s="1">
        <f t="shared" si="1"/>
        <v>128.57999999999998</v>
      </c>
      <c r="L6" s="1">
        <f t="shared" si="6"/>
        <v>4.8565512787135408</v>
      </c>
      <c r="M6" s="3">
        <f t="shared" si="2"/>
        <v>518.13471502590676</v>
      </c>
      <c r="N6" s="3">
        <f t="shared" si="2"/>
        <v>362.31884057971018</v>
      </c>
      <c r="O6" s="3">
        <f t="shared" si="3"/>
        <v>15544.041450777202</v>
      </c>
      <c r="P6" s="3">
        <f t="shared" si="3"/>
        <v>10869.565217391306</v>
      </c>
      <c r="Q6" s="3">
        <f>O6/$AB$20*100</f>
        <v>70.164075993091544</v>
      </c>
      <c r="R6" s="3">
        <f>P6/$AB$20*100</f>
        <v>49.064009661835762</v>
      </c>
      <c r="S6" s="3">
        <f>P6*$AE$31+$AE$32</f>
        <v>15704.393027585378</v>
      </c>
      <c r="T6" s="3">
        <f t="shared" si="4"/>
        <v>128.57999999999998</v>
      </c>
      <c r="U6" s="3">
        <f>S6/$AB$20*100</f>
        <v>70.887885193961779</v>
      </c>
      <c r="V6" s="3">
        <f>$AB$34*LN(C6)+$AB$35</f>
        <v>16046.698869726548</v>
      </c>
      <c r="W6" s="3">
        <f>D6*D6*$AB$31+D6*$AB$32+$AB$33</f>
        <v>10910.72055031222</v>
      </c>
      <c r="X6" s="3">
        <f>W6/$AB$20*100</f>
        <v>49.249780261825997</v>
      </c>
      <c r="Y6" s="4">
        <f t="shared" si="0"/>
        <v>64.800000000000011</v>
      </c>
      <c r="Z6">
        <f t="shared" si="7"/>
        <v>8.6898225600000017E-2</v>
      </c>
      <c r="AA6">
        <f t="shared" si="8"/>
        <v>2.9361056601427207E-2</v>
      </c>
      <c r="AB6">
        <f t="shared" si="9"/>
        <v>-9.4444732067924179E-7</v>
      </c>
      <c r="AC6">
        <v>0.12</v>
      </c>
      <c r="AD6">
        <f t="shared" si="10"/>
        <v>1.1333367848150901E-7</v>
      </c>
      <c r="AE6">
        <f t="shared" si="11"/>
        <v>3.4859465520926602E-5</v>
      </c>
      <c r="AF6">
        <f t="shared" si="12"/>
        <v>5.0197630350134305E-3</v>
      </c>
    </row>
    <row r="7" spans="1:36" ht="13.95" customHeight="1" x14ac:dyDescent="0.3">
      <c r="B7" s="77">
        <v>1.8545833333333333</v>
      </c>
      <c r="C7" s="73">
        <v>153.82499999999999</v>
      </c>
      <c r="D7" s="73">
        <v>2.2000000000000002</v>
      </c>
      <c r="E7" s="73">
        <v>12</v>
      </c>
      <c r="F7" s="73">
        <v>8.6999999999999993</v>
      </c>
      <c r="G7" s="73">
        <v>1610</v>
      </c>
      <c r="H7" s="73">
        <v>2180</v>
      </c>
      <c r="I7" s="78">
        <v>13</v>
      </c>
      <c r="J7" s="2">
        <f t="shared" si="5"/>
        <v>104.39999999999999</v>
      </c>
      <c r="K7" s="1">
        <f t="shared" si="1"/>
        <v>153.82499999999999</v>
      </c>
      <c r="L7" s="1">
        <f t="shared" si="6"/>
        <v>5.0358155926265535</v>
      </c>
      <c r="M7" s="3">
        <f t="shared" si="2"/>
        <v>621.11801242236027</v>
      </c>
      <c r="N7" s="3">
        <f t="shared" si="2"/>
        <v>458.71559633027528</v>
      </c>
      <c r="O7" s="3">
        <f t="shared" si="3"/>
        <v>18633.540372670806</v>
      </c>
      <c r="P7" s="3">
        <f t="shared" si="3"/>
        <v>13761.467889908257</v>
      </c>
      <c r="Q7" s="3">
        <f>O7/$AB$20*100</f>
        <v>84.10973084886129</v>
      </c>
      <c r="R7" s="3">
        <f>P7/$AB$20*100</f>
        <v>62.117737003058117</v>
      </c>
      <c r="S7" s="3">
        <f>P7*$AE$31+$AE$32</f>
        <v>18770.404673520155</v>
      </c>
      <c r="T7" s="3">
        <f t="shared" si="4"/>
        <v>153.82499999999999</v>
      </c>
      <c r="U7" s="3">
        <f>S7/$AB$20*100</f>
        <v>84.727521095750703</v>
      </c>
      <c r="V7" s="3">
        <f>$AB$34*LN(C7)+$AB$35</f>
        <v>18981.869722573203</v>
      </c>
      <c r="W7" s="3">
        <f>D7*D7*$AB$31+D7*$AB$32+$AB$33</f>
        <v>13596.184005950465</v>
      </c>
      <c r="X7" s="3">
        <f>W7/$AB$20*100</f>
        <v>61.371663915748634</v>
      </c>
      <c r="Y7" s="4">
        <f t="shared" si="0"/>
        <v>104.39999999999999</v>
      </c>
      <c r="Z7">
        <f t="shared" si="7"/>
        <v>0.14000269679999999</v>
      </c>
      <c r="AA7">
        <f t="shared" si="8"/>
        <v>3.9460786779523201E-2</v>
      </c>
      <c r="AB7">
        <f t="shared" si="9"/>
        <v>-1.0588644452505392E-6</v>
      </c>
    </row>
    <row r="8" spans="1:36" ht="13.95" customHeight="1" thickBot="1" x14ac:dyDescent="0.35">
      <c r="B8" s="79">
        <v>1.9470444444444444</v>
      </c>
      <c r="C8" s="80">
        <v>170.46799999999999</v>
      </c>
      <c r="D8" s="80">
        <v>2.71</v>
      </c>
      <c r="E8" s="80">
        <v>12</v>
      </c>
      <c r="F8" s="80">
        <v>13</v>
      </c>
      <c r="G8" s="80">
        <v>1408</v>
      </c>
      <c r="H8" s="80">
        <v>1880</v>
      </c>
      <c r="I8" s="81">
        <v>15</v>
      </c>
      <c r="J8" s="2">
        <f t="shared" si="5"/>
        <v>156</v>
      </c>
      <c r="K8" s="1">
        <f t="shared" si="1"/>
        <v>170.46799999999999</v>
      </c>
      <c r="L8" s="1">
        <f t="shared" si="6"/>
        <v>5.1385475958244022</v>
      </c>
      <c r="M8" s="3">
        <f t="shared" si="2"/>
        <v>710.22727272727275</v>
      </c>
      <c r="N8" s="3">
        <f t="shared" si="2"/>
        <v>531.91489361702133</v>
      </c>
      <c r="O8" s="3">
        <f t="shared" si="3"/>
        <v>21306.818181818184</v>
      </c>
      <c r="P8" s="3">
        <f t="shared" si="3"/>
        <v>15957.44680851064</v>
      </c>
      <c r="Q8" s="3">
        <f>O8/$AB$20*100</f>
        <v>96.176609848484858</v>
      </c>
      <c r="R8" s="3">
        <f>P8/$AB$20*100</f>
        <v>72.030141843971634</v>
      </c>
      <c r="S8" s="3">
        <f>P8*$AE$31+$AE$32</f>
        <v>21098.594001137539</v>
      </c>
      <c r="T8" s="3">
        <f t="shared" si="4"/>
        <v>170.46799999999999</v>
      </c>
      <c r="U8" s="3">
        <f>S8/$AB$20*100</f>
        <v>95.236709032912501</v>
      </c>
      <c r="V8" s="3">
        <f>$AB$34*LN(C8)+$AB$35</f>
        <v>20663.944502873288</v>
      </c>
      <c r="W8" s="3">
        <f>D8*D8*$AB$31+D8*$AB$32+$AB$33</f>
        <v>16090.182242180526</v>
      </c>
      <c r="X8" s="3">
        <f>W8/$AB$20*100</f>
        <v>72.629294843175998</v>
      </c>
      <c r="Y8" s="4">
        <f t="shared" si="0"/>
        <v>156</v>
      </c>
      <c r="Z8">
        <f t="shared" si="7"/>
        <v>0.20919943200000002</v>
      </c>
      <c r="AA8">
        <f t="shared" si="8"/>
        <v>5.1566376898150398E-2</v>
      </c>
      <c r="AB8">
        <f t="shared" si="9"/>
        <v>-1.2100909778765959E-6</v>
      </c>
    </row>
    <row r="9" spans="1:36" ht="13.95" customHeight="1" x14ac:dyDescent="0.3">
      <c r="AC9" t="s">
        <v>66</v>
      </c>
      <c r="AD9">
        <f>AVERAGE(AD3:AD6)</f>
        <v>1.2888349163858527E-7</v>
      </c>
      <c r="AE9">
        <f>AVERAGE(AE3:AE6)</f>
        <v>3.9642317210456738E-5</v>
      </c>
      <c r="AF9">
        <f>AVERAGE(AF3:AF6)</f>
        <v>5.7084936783057703E-3</v>
      </c>
    </row>
    <row r="10" spans="1:36" ht="13.95" customHeight="1" x14ac:dyDescent="0.3">
      <c r="B10" s="5"/>
      <c r="C10" s="6"/>
      <c r="D10" s="6"/>
      <c r="E10" s="6"/>
      <c r="F10" s="6"/>
      <c r="G10" s="6"/>
      <c r="H10" s="6"/>
      <c r="I10" s="6"/>
      <c r="J10" s="2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36" ht="13.95" customHeight="1" thickBot="1" x14ac:dyDescent="0.35">
      <c r="B11" s="5"/>
      <c r="C11" s="6"/>
      <c r="D11" s="6"/>
      <c r="E11" s="6"/>
      <c r="F11" s="6"/>
      <c r="G11" s="6"/>
      <c r="H11" s="6"/>
      <c r="I11" s="6"/>
      <c r="J11" s="2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AA11" t="s">
        <v>45</v>
      </c>
      <c r="AD11" t="s">
        <v>46</v>
      </c>
      <c r="AG11" s="30"/>
    </row>
    <row r="12" spans="1:36" ht="13.95" customHeight="1" x14ac:dyDescent="0.3">
      <c r="A12" s="3" t="s">
        <v>41</v>
      </c>
      <c r="B12" s="11" t="s">
        <v>42</v>
      </c>
      <c r="C12" s="12"/>
      <c r="D12" s="12"/>
      <c r="E12" s="6"/>
      <c r="F12" s="6"/>
      <c r="G12" s="6"/>
      <c r="H12" s="6"/>
      <c r="I12" s="6"/>
      <c r="J12" s="2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AA12" s="17" t="s">
        <v>3</v>
      </c>
      <c r="AB12" s="18">
        <v>2</v>
      </c>
      <c r="AD12" s="17"/>
      <c r="AE12" s="23" t="s">
        <v>33</v>
      </c>
      <c r="AF12" s="7"/>
      <c r="AG12" s="30"/>
    </row>
    <row r="13" spans="1:36" x14ac:dyDescent="0.3">
      <c r="A13" s="3"/>
      <c r="B13" s="13" t="s">
        <v>43</v>
      </c>
      <c r="C13" s="14"/>
      <c r="D13" s="14"/>
      <c r="E13" s="6"/>
      <c r="F13" s="6"/>
      <c r="G13" s="6"/>
      <c r="H13" s="6"/>
      <c r="I13" s="6"/>
      <c r="J13" s="2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AA13" s="19" t="s">
        <v>4</v>
      </c>
      <c r="AB13" s="20">
        <v>4800</v>
      </c>
      <c r="AD13" s="24" t="s">
        <v>26</v>
      </c>
      <c r="AE13" s="25">
        <v>0</v>
      </c>
      <c r="AG13" s="30"/>
    </row>
    <row r="14" spans="1:36" ht="13.95" customHeight="1" thickBot="1" x14ac:dyDescent="0.35">
      <c r="A14" s="3"/>
      <c r="B14" s="15" t="s">
        <v>44</v>
      </c>
      <c r="C14" s="16"/>
      <c r="D14" s="16"/>
      <c r="E14" s="6"/>
      <c r="F14" s="6"/>
      <c r="G14" s="6"/>
      <c r="H14" s="6"/>
      <c r="I14" s="6"/>
      <c r="J14" s="2"/>
      <c r="M14" s="3"/>
      <c r="N14" s="3"/>
      <c r="O14" s="3"/>
      <c r="P14" s="2"/>
      <c r="Q14" s="3"/>
      <c r="R14" s="3"/>
      <c r="S14" s="3"/>
      <c r="T14" s="3"/>
      <c r="Y14" s="3"/>
      <c r="AA14" s="21" t="s">
        <v>5</v>
      </c>
      <c r="AB14" s="22">
        <v>12</v>
      </c>
      <c r="AD14" s="26" t="s">
        <v>27</v>
      </c>
      <c r="AE14" s="27">
        <v>5</v>
      </c>
      <c r="AG14" s="30"/>
    </row>
    <row r="15" spans="1:36" ht="13.95" customHeight="1" x14ac:dyDescent="0.3">
      <c r="B15" s="5"/>
      <c r="C15" s="6"/>
      <c r="D15" s="6"/>
      <c r="E15" s="6"/>
      <c r="F15" s="6"/>
      <c r="G15" s="6"/>
      <c r="H15" s="6"/>
      <c r="I15" s="6"/>
      <c r="J15" s="2"/>
      <c r="M15" s="3"/>
      <c r="N15" s="3"/>
      <c r="O15" s="3"/>
      <c r="P15" s="3"/>
      <c r="Q15" s="3"/>
      <c r="R15" s="3"/>
      <c r="S15" s="3"/>
      <c r="T15" s="3"/>
      <c r="Y15" s="3"/>
      <c r="AG15" s="30"/>
    </row>
    <row r="16" spans="1:36" ht="24" thickBot="1" x14ac:dyDescent="0.5">
      <c r="B16" s="5"/>
      <c r="C16" s="6"/>
      <c r="D16" s="6"/>
      <c r="E16" s="6"/>
      <c r="F16" s="6"/>
      <c r="G16" s="6"/>
      <c r="H16" s="6"/>
      <c r="I16" s="6"/>
      <c r="J16" s="2"/>
      <c r="M16" s="3"/>
      <c r="N16" s="3"/>
      <c r="O16" s="3"/>
      <c r="P16" s="3"/>
      <c r="Q16" s="3"/>
      <c r="R16" s="3"/>
      <c r="S16" s="3"/>
      <c r="T16" s="3"/>
      <c r="Y16" s="3"/>
      <c r="AA16" t="s">
        <v>48</v>
      </c>
      <c r="AG16" s="94" t="s">
        <v>72</v>
      </c>
      <c r="AH16" s="5" t="s">
        <v>75</v>
      </c>
      <c r="AI16" s="5"/>
      <c r="AJ16" s="5"/>
    </row>
    <row r="17" spans="2:41" ht="15" thickBot="1" x14ac:dyDescent="0.35">
      <c r="B17" s="5"/>
      <c r="C17" s="6"/>
      <c r="D17" s="6"/>
      <c r="E17" s="6"/>
      <c r="F17" s="6"/>
      <c r="G17" s="6"/>
      <c r="H17" s="6"/>
      <c r="I17" s="6"/>
      <c r="J17" s="2"/>
      <c r="M17" s="3"/>
      <c r="N17" s="3"/>
      <c r="O17" s="3"/>
      <c r="P17" s="3"/>
      <c r="Q17" s="3"/>
      <c r="R17" s="3"/>
      <c r="S17" s="3"/>
      <c r="T17" s="3"/>
      <c r="U17" s="3"/>
      <c r="W17" s="3"/>
      <c r="X17" s="3"/>
      <c r="Y17" s="3"/>
      <c r="AA17" s="34">
        <v>210</v>
      </c>
      <c r="AB17" s="35" t="s">
        <v>47</v>
      </c>
      <c r="AC17" s="36"/>
      <c r="AD17" s="35"/>
      <c r="AE17" s="35"/>
      <c r="AF17" s="37"/>
      <c r="AH17" s="62" t="s">
        <v>25</v>
      </c>
      <c r="AI17" s="63">
        <f>AB25</f>
        <v>5</v>
      </c>
      <c r="AJ17" s="64"/>
      <c r="AK17" s="29"/>
    </row>
    <row r="18" spans="2:41" x14ac:dyDescent="0.3">
      <c r="B18" s="5"/>
      <c r="C18" s="6"/>
      <c r="D18" s="6"/>
      <c r="E18" s="6"/>
      <c r="F18" s="6"/>
      <c r="G18" s="6"/>
      <c r="H18" s="6"/>
      <c r="I18" s="6"/>
      <c r="J18" s="2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AA18" s="8"/>
      <c r="AC18" s="8"/>
      <c r="AD18" s="8"/>
      <c r="AH18" s="65" t="s">
        <v>24</v>
      </c>
      <c r="AI18" s="66">
        <f>AB24</f>
        <v>0</v>
      </c>
      <c r="AJ18" s="45"/>
      <c r="AK18" s="31"/>
    </row>
    <row r="19" spans="2:41" ht="15" thickBot="1" x14ac:dyDescent="0.35">
      <c r="C19" s="6"/>
      <c r="D19" s="6"/>
      <c r="E19" s="6"/>
      <c r="F19" s="6"/>
      <c r="G19" s="6"/>
      <c r="H19" s="6"/>
      <c r="I19" s="6"/>
      <c r="J19" s="2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AA19" t="s">
        <v>49</v>
      </c>
      <c r="AH19" s="65" t="s">
        <v>27</v>
      </c>
      <c r="AI19" s="66">
        <f>AE14</f>
        <v>5</v>
      </c>
      <c r="AJ19" s="30"/>
      <c r="AK19" s="31"/>
    </row>
    <row r="20" spans="2:41" ht="15" thickBot="1" x14ac:dyDescent="0.35">
      <c r="AA20" s="38" t="s">
        <v>6</v>
      </c>
      <c r="AB20" s="39">
        <f>AB13*AB14/AC20</f>
        <v>22153.846153846152</v>
      </c>
      <c r="AC20" s="40">
        <v>2.6</v>
      </c>
      <c r="AD20" s="35" t="s">
        <v>14</v>
      </c>
      <c r="AE20" s="41"/>
      <c r="AH20" s="65" t="s">
        <v>26</v>
      </c>
      <c r="AI20" s="66">
        <f>AE13</f>
        <v>0</v>
      </c>
      <c r="AJ20" s="30"/>
      <c r="AK20" s="31"/>
    </row>
    <row r="21" spans="2:41" x14ac:dyDescent="0.3">
      <c r="AH21" s="65" t="s">
        <v>40</v>
      </c>
      <c r="AI21" s="66">
        <f>AB20/100</f>
        <v>221.53846153846152</v>
      </c>
      <c r="AJ21" s="30"/>
      <c r="AK21" s="31"/>
    </row>
    <row r="22" spans="2:41" ht="15" thickBot="1" x14ac:dyDescent="0.35">
      <c r="C22" s="6"/>
      <c r="D22" s="6"/>
      <c r="E22" s="6"/>
      <c r="F22" s="6"/>
      <c r="G22" s="6"/>
      <c r="H22" s="6"/>
      <c r="I22" s="6"/>
      <c r="J22" s="9"/>
      <c r="K22" s="6"/>
      <c r="L22" s="6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AA22" t="s">
        <v>50</v>
      </c>
      <c r="AH22" s="65" t="s">
        <v>28</v>
      </c>
      <c r="AI22" s="66">
        <f>AD25</f>
        <v>180</v>
      </c>
      <c r="AJ22" s="30"/>
      <c r="AK22" s="31"/>
    </row>
    <row r="23" spans="2:41" ht="28.8" x14ac:dyDescent="0.3">
      <c r="C23" s="6"/>
      <c r="D23" s="6"/>
      <c r="E23" s="6"/>
      <c r="F23" s="6"/>
      <c r="G23" s="6"/>
      <c r="H23" s="6"/>
      <c r="I23" s="6"/>
      <c r="J23" s="9"/>
      <c r="K23" s="6"/>
      <c r="L23" s="6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AA23" s="17"/>
      <c r="AB23" s="42" t="s">
        <v>29</v>
      </c>
      <c r="AC23" s="28"/>
      <c r="AD23" s="42" t="s">
        <v>30</v>
      </c>
      <c r="AE23" s="29" t="s">
        <v>51</v>
      </c>
      <c r="AH23" s="65" t="s">
        <v>23</v>
      </c>
      <c r="AI23" s="66">
        <f>AD24</f>
        <v>0</v>
      </c>
      <c r="AJ23" s="30"/>
      <c r="AK23" s="31"/>
    </row>
    <row r="24" spans="2:41" x14ac:dyDescent="0.3">
      <c r="C24" s="6"/>
      <c r="D24" s="6"/>
      <c r="E24" s="6"/>
      <c r="F24" s="6"/>
      <c r="G24" s="6"/>
      <c r="H24" s="6"/>
      <c r="I24" s="6"/>
      <c r="J24" s="9"/>
      <c r="K24" s="6"/>
      <c r="L24" s="6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AA24" s="57" t="s">
        <v>24</v>
      </c>
      <c r="AB24" s="58">
        <v>0</v>
      </c>
      <c r="AC24" s="45" t="s">
        <v>23</v>
      </c>
      <c r="AD24" s="59">
        <v>0</v>
      </c>
      <c r="AE24" s="89">
        <f>AE34/AB20*100</f>
        <v>-17.719588605194325</v>
      </c>
      <c r="AF24" t="s">
        <v>71</v>
      </c>
      <c r="AH24" s="65" t="s">
        <v>19</v>
      </c>
      <c r="AI24" s="66">
        <f>AB33</f>
        <v>0</v>
      </c>
      <c r="AJ24" s="67">
        <f>AB32</f>
        <v>7227.227639740272</v>
      </c>
      <c r="AK24" s="68">
        <f>AB31</f>
        <v>-475.97454575994487</v>
      </c>
    </row>
    <row r="25" spans="2:41" x14ac:dyDescent="0.3">
      <c r="B25" t="s">
        <v>73</v>
      </c>
      <c r="C25" s="6"/>
      <c r="D25" s="6"/>
      <c r="E25" s="6"/>
      <c r="F25" s="6"/>
      <c r="G25" s="6"/>
      <c r="H25" s="6"/>
      <c r="I25" s="6"/>
      <c r="J25" s="9"/>
      <c r="K25" s="6"/>
      <c r="L25" s="6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AA25" s="57" t="s">
        <v>25</v>
      </c>
      <c r="AB25" s="58">
        <v>5</v>
      </c>
      <c r="AC25" s="45" t="s">
        <v>28</v>
      </c>
      <c r="AD25" s="59">
        <v>180</v>
      </c>
      <c r="AE25" s="60">
        <v>77</v>
      </c>
      <c r="AH25" s="65" t="s">
        <v>31</v>
      </c>
      <c r="AI25" s="66">
        <f>AB35</f>
        <v>-63471.680708889646</v>
      </c>
      <c r="AJ25" s="67">
        <f>AB34</f>
        <v>16373.425300201903</v>
      </c>
      <c r="AK25" s="31"/>
    </row>
    <row r="26" spans="2:41" x14ac:dyDescent="0.3">
      <c r="B26" t="s">
        <v>68</v>
      </c>
      <c r="C26" s="6" t="s">
        <v>69</v>
      </c>
      <c r="D26" s="6" t="s">
        <v>70</v>
      </c>
      <c r="E26" s="6"/>
      <c r="F26" s="6"/>
      <c r="G26" s="6"/>
      <c r="H26" s="6"/>
      <c r="I26" s="6"/>
      <c r="J26" s="9"/>
      <c r="K26" s="6"/>
      <c r="L26" s="6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AA26" s="19"/>
      <c r="AB26" s="30" t="s">
        <v>54</v>
      </c>
      <c r="AC26" s="30"/>
      <c r="AD26" s="61"/>
      <c r="AE26" s="89">
        <f>(AE25-AE24)/(AB25-AB24)</f>
        <v>18.943917721038865</v>
      </c>
      <c r="AH26" s="65" t="s">
        <v>20</v>
      </c>
      <c r="AI26" s="91">
        <f>AE27</f>
        <v>-17.719588605194332</v>
      </c>
      <c r="AJ26" s="92">
        <f>AE26</f>
        <v>18.943917721038865</v>
      </c>
      <c r="AK26" s="31"/>
    </row>
    <row r="27" spans="2:41" x14ac:dyDescent="0.3">
      <c r="B27" s="73">
        <v>87</v>
      </c>
      <c r="C27" s="6">
        <f>B27/180*(2.4-0.53)+0.53</f>
        <v>1.4338333333333333</v>
      </c>
      <c r="D27" s="88">
        <f>(C27-1)*180</f>
        <v>78.089999999999989</v>
      </c>
      <c r="E27" s="6"/>
      <c r="F27" s="6"/>
      <c r="G27" s="6"/>
      <c r="H27" s="6"/>
      <c r="I27" s="6"/>
      <c r="J27" s="9"/>
      <c r="K27" s="6"/>
      <c r="L27" s="6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AA27" s="19"/>
      <c r="AB27" s="30"/>
      <c r="AC27" s="30"/>
      <c r="AD27" s="61"/>
      <c r="AE27" s="89">
        <f>AE25-AE26*(AB25-AB24)</f>
        <v>-17.719588605194332</v>
      </c>
      <c r="AH27" s="65" t="s">
        <v>21</v>
      </c>
      <c r="AI27" s="66">
        <f>AE34</f>
        <v>-3925.570398689204</v>
      </c>
      <c r="AJ27" s="69">
        <f>AE33</f>
        <v>0.94199104022164515</v>
      </c>
      <c r="AK27" s="31"/>
    </row>
    <row r="28" spans="2:41" ht="15" thickBot="1" x14ac:dyDescent="0.35">
      <c r="B28" s="73">
        <v>90</v>
      </c>
      <c r="C28" s="6">
        <f t="shared" ref="C28:C33" si="13">B28/180*(2.4-0.53)+0.53</f>
        <v>1.4649999999999999</v>
      </c>
      <c r="D28" s="88">
        <f t="shared" ref="D28:D33" si="14">(C28-1)*180</f>
        <v>83.699999999999974</v>
      </c>
      <c r="E28" s="6"/>
      <c r="F28" s="6"/>
      <c r="G28" s="6"/>
      <c r="H28" s="6"/>
      <c r="I28" s="6"/>
      <c r="J28" s="9"/>
      <c r="K28" s="6"/>
      <c r="L28" s="6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AA28" s="21"/>
      <c r="AB28" s="32"/>
      <c r="AC28" s="32"/>
      <c r="AD28" s="47"/>
      <c r="AE28" s="48" t="s">
        <v>20</v>
      </c>
      <c r="AH28" s="70" t="s">
        <v>22</v>
      </c>
      <c r="AI28" s="71">
        <f>AE32</f>
        <v>4180.4182204512181</v>
      </c>
      <c r="AJ28" s="72">
        <f>AE31</f>
        <v>1.0602056822563426</v>
      </c>
      <c r="AK28" s="33"/>
    </row>
    <row r="29" spans="2:41" x14ac:dyDescent="0.3">
      <c r="B29" s="73">
        <v>100</v>
      </c>
      <c r="C29" s="6">
        <f t="shared" si="13"/>
        <v>1.568888888888889</v>
      </c>
      <c r="D29" s="88">
        <f t="shared" si="14"/>
        <v>102.40000000000002</v>
      </c>
      <c r="E29" s="6"/>
      <c r="F29" s="6"/>
      <c r="G29" s="6"/>
      <c r="H29" s="6"/>
      <c r="I29" s="6"/>
      <c r="J29" s="9"/>
      <c r="K29" s="6"/>
      <c r="L29" s="6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2:41" ht="15" thickBot="1" x14ac:dyDescent="0.35">
      <c r="B30" s="73">
        <v>110</v>
      </c>
      <c r="C30" s="6">
        <f t="shared" si="13"/>
        <v>1.6727777777777779</v>
      </c>
      <c r="D30" s="88">
        <f t="shared" si="14"/>
        <v>121.10000000000002</v>
      </c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AA30" t="s">
        <v>52</v>
      </c>
    </row>
    <row r="31" spans="2:41" x14ac:dyDescent="0.3">
      <c r="B31" s="73">
        <v>114</v>
      </c>
      <c r="C31" s="6">
        <f t="shared" si="13"/>
        <v>1.7143333333333333</v>
      </c>
      <c r="D31" s="88">
        <f t="shared" si="14"/>
        <v>128.57999999999998</v>
      </c>
      <c r="AA31" s="49" t="s">
        <v>19</v>
      </c>
      <c r="AB31" s="50">
        <f>INDEX(LINEST($P$2:$P$8,$D$2:$D$8^{1,2},FALSE,FALSE),1)</f>
        <v>-475.97454575994487</v>
      </c>
      <c r="AC31" s="28"/>
      <c r="AD31" s="51" t="s">
        <v>22</v>
      </c>
      <c r="AE31" s="52">
        <f>INDEX(LINEST($O$2:$O$8,$P$2:$P$8),1)</f>
        <v>1.0602056822563426</v>
      </c>
      <c r="AN31" s="3"/>
      <c r="AO31" s="3"/>
    </row>
    <row r="32" spans="2:41" x14ac:dyDescent="0.3">
      <c r="B32" s="73">
        <v>127.5</v>
      </c>
      <c r="C32" s="6">
        <f t="shared" si="13"/>
        <v>1.8545833333333333</v>
      </c>
      <c r="D32" s="88">
        <f t="shared" si="14"/>
        <v>153.82499999999999</v>
      </c>
      <c r="AA32" s="43"/>
      <c r="AB32" s="53">
        <f>INDEX(LINEST($P$2:$P$8,$D$2:$D$8^{1,2},FALSE,FALSE),2)</f>
        <v>7227.227639740272</v>
      </c>
      <c r="AC32" s="30"/>
      <c r="AD32" s="44"/>
      <c r="AE32" s="46">
        <f>INDEX(LINEST($O$2:$O$8,$P$2:$P$8),2)</f>
        <v>4180.4182204512181</v>
      </c>
    </row>
    <row r="33" spans="2:31" ht="15" thickBot="1" x14ac:dyDescent="0.35">
      <c r="B33" s="80">
        <v>136.4</v>
      </c>
      <c r="C33" s="6">
        <f t="shared" si="13"/>
        <v>1.9470444444444444</v>
      </c>
      <c r="D33" s="88">
        <f t="shared" si="14"/>
        <v>170.46799999999999</v>
      </c>
      <c r="AA33" s="43"/>
      <c r="AB33" s="44">
        <f>INDEX(LINEST($P$2:$P$8,$D$2:$D$8^{1,2},FALSE,FALSE),3)</f>
        <v>0</v>
      </c>
      <c r="AC33" s="30"/>
      <c r="AD33" s="44" t="s">
        <v>21</v>
      </c>
      <c r="AE33" s="46">
        <f>INDEX(LINEST($P$2:$P$8,$O$2:$O$8),1)</f>
        <v>0.94199104022164515</v>
      </c>
    </row>
    <row r="34" spans="2:31" x14ac:dyDescent="0.3">
      <c r="AA34" s="43" t="s">
        <v>31</v>
      </c>
      <c r="AB34" s="54">
        <f>INDEX(LINEST($S$2:$S$8,$L$2:$L$8),1)</f>
        <v>16373.425300201903</v>
      </c>
      <c r="AC34" s="30"/>
      <c r="AD34" s="44"/>
      <c r="AE34" s="46">
        <f>INDEX(LINEST($P$2:$P$8,$O$2:$O$8),2)</f>
        <v>-3925.570398689204</v>
      </c>
    </row>
    <row r="35" spans="2:31" ht="15" thickBot="1" x14ac:dyDescent="0.35">
      <c r="AA35" s="55"/>
      <c r="AB35" s="56">
        <f>INDEX(LINEST($S$2:$S$8,$L$2:$L$8),2)</f>
        <v>-63471.680708889646</v>
      </c>
      <c r="AC35" s="32"/>
      <c r="AD35" s="32"/>
      <c r="AE35" s="3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5"/>
  <sheetViews>
    <sheetView topLeftCell="AA1" workbookViewId="0">
      <pane ySplit="2" topLeftCell="A9" activePane="bottomLeft" state="frozen"/>
      <selection pane="bottomLeft" activeCell="AO31" sqref="AO31"/>
    </sheetView>
  </sheetViews>
  <sheetFormatPr defaultRowHeight="14.4" x14ac:dyDescent="0.3"/>
  <cols>
    <col min="2" max="2" width="6" customWidth="1"/>
    <col min="3" max="3" width="6.88671875" style="1" customWidth="1"/>
    <col min="4" max="4" width="6.44140625" style="1" customWidth="1"/>
    <col min="5" max="5" width="6.33203125" style="1" customWidth="1"/>
    <col min="6" max="6" width="4.6640625" style="1" customWidth="1"/>
    <col min="7" max="7" width="5" style="1" bestFit="1" customWidth="1"/>
    <col min="8" max="8" width="5.33203125" style="1" customWidth="1"/>
    <col min="9" max="9" width="5.44140625" style="1" customWidth="1"/>
    <col min="10" max="10" width="7.109375" style="1" customWidth="1"/>
    <col min="11" max="11" width="5.109375" style="1" customWidth="1"/>
    <col min="12" max="13" width="6.6640625" style="1" customWidth="1"/>
    <col min="14" max="14" width="4.33203125" style="1" customWidth="1"/>
    <col min="15" max="15" width="7.33203125" style="1" bestFit="1" customWidth="1"/>
    <col min="16" max="17" width="6.33203125" style="1" customWidth="1"/>
    <col min="18" max="18" width="10.5546875" style="1" customWidth="1"/>
    <col min="19" max="20" width="7.6640625" style="1" customWidth="1"/>
    <col min="21" max="21" width="6.33203125" style="1" customWidth="1"/>
    <col min="22" max="22" width="8.109375" style="1" bestFit="1" customWidth="1"/>
    <col min="23" max="25" width="6.109375" customWidth="1"/>
    <col min="27" max="27" width="9.88671875" bestFit="1" customWidth="1"/>
    <col min="28" max="28" width="10.6640625" customWidth="1"/>
    <col min="29" max="29" width="6.5546875" bestFit="1" customWidth="1"/>
    <col min="30" max="30" width="9.6640625" customWidth="1"/>
    <col min="31" max="31" width="8.5546875" bestFit="1" customWidth="1"/>
    <col min="32" max="32" width="7.88671875" customWidth="1"/>
    <col min="33" max="33" width="10" customWidth="1"/>
    <col min="34" max="34" width="11.5546875" customWidth="1"/>
    <col min="35" max="35" width="11.109375" customWidth="1"/>
    <col min="37" max="37" width="9.6640625" customWidth="1"/>
  </cols>
  <sheetData>
    <row r="1" spans="1:40" ht="58.2" thickBot="1" x14ac:dyDescent="0.35">
      <c r="A1" t="s">
        <v>53</v>
      </c>
      <c r="B1" s="82" t="s">
        <v>69</v>
      </c>
      <c r="C1" s="83" t="s">
        <v>0</v>
      </c>
      <c r="D1" s="83" t="s">
        <v>1</v>
      </c>
      <c r="E1" s="83" t="s">
        <v>16</v>
      </c>
      <c r="F1" s="83" t="s">
        <v>17</v>
      </c>
      <c r="G1" s="83" t="s">
        <v>35</v>
      </c>
      <c r="H1" s="83" t="s">
        <v>34</v>
      </c>
      <c r="I1" s="84" t="s">
        <v>2</v>
      </c>
      <c r="J1" s="4" t="s">
        <v>18</v>
      </c>
      <c r="K1" s="4" t="s">
        <v>10</v>
      </c>
      <c r="L1" s="4" t="s">
        <v>15</v>
      </c>
      <c r="M1" s="4" t="s">
        <v>37</v>
      </c>
      <c r="N1" s="4" t="s">
        <v>36</v>
      </c>
      <c r="O1" s="4" t="s">
        <v>38</v>
      </c>
      <c r="P1" s="4" t="s">
        <v>7</v>
      </c>
      <c r="Q1" s="4" t="s">
        <v>39</v>
      </c>
      <c r="R1" s="4" t="s">
        <v>8</v>
      </c>
      <c r="S1" s="4" t="s">
        <v>11</v>
      </c>
      <c r="T1" s="4" t="s">
        <v>10</v>
      </c>
      <c r="U1" s="4" t="s">
        <v>12</v>
      </c>
      <c r="V1" s="4" t="s">
        <v>13</v>
      </c>
      <c r="W1" s="4" t="s">
        <v>9</v>
      </c>
      <c r="X1" s="4" t="s">
        <v>32</v>
      </c>
      <c r="Y1" s="4" t="str">
        <f t="shared" ref="Y1:Y8" si="0">J1</f>
        <v>Charger Pwr, W</v>
      </c>
    </row>
    <row r="2" spans="1:40" x14ac:dyDescent="0.3">
      <c r="B2" s="74">
        <v>1.1637222222222223</v>
      </c>
      <c r="C2" s="85">
        <v>29.47000000000002</v>
      </c>
      <c r="D2" s="85">
        <v>0.54</v>
      </c>
      <c r="E2" s="85">
        <v>12.15</v>
      </c>
      <c r="F2" s="85">
        <v>1.56</v>
      </c>
      <c r="G2" s="85">
        <v>3810.7961637948006</v>
      </c>
      <c r="H2" s="85">
        <v>8615</v>
      </c>
      <c r="I2" s="86">
        <v>2.88</v>
      </c>
      <c r="J2" s="2">
        <f>E2*F2</f>
        <v>18.954000000000001</v>
      </c>
      <c r="K2" s="1">
        <f t="shared" ref="K2:K8" si="1">C2</f>
        <v>29.47000000000002</v>
      </c>
      <c r="L2" s="1">
        <f>LN(K2)</f>
        <v>3.3833727967496041</v>
      </c>
      <c r="M2" s="3">
        <f t="shared" ref="M2:N8" si="2">1/G2/0.000001</f>
        <v>262.41235611095965</v>
      </c>
      <c r="N2" s="3">
        <f t="shared" si="2"/>
        <v>116.07661056297157</v>
      </c>
      <c r="O2" s="3">
        <f>M2*60/$AB$12</f>
        <v>7872.3706833287897</v>
      </c>
      <c r="P2" s="3">
        <f>N2*60/$AB$12</f>
        <v>3482.2983168891469</v>
      </c>
      <c r="Q2" s="3">
        <f>O2/$AB$20*100</f>
        <v>35.535006556692458</v>
      </c>
      <c r="R2" s="3">
        <f>P2/$AB$20*100</f>
        <v>15.7187076804024</v>
      </c>
      <c r="S2" s="3">
        <f>P2*$AE$31+$AE$32</f>
        <v>7872.3706833287897</v>
      </c>
      <c r="T2" s="3">
        <f t="shared" ref="T2:T8" si="3">K2</f>
        <v>29.47000000000002</v>
      </c>
      <c r="U2" s="3">
        <f>S2/$AB$20*100</f>
        <v>35.535006556692458</v>
      </c>
      <c r="V2" s="3">
        <f>$AB$34*LN(C2)+$AB$35</f>
        <v>7254.3033712821489</v>
      </c>
      <c r="W2" s="3">
        <f>D2*D2*$AB$31+D2*$AB$32+$AB$33</f>
        <v>3895.0045670565887</v>
      </c>
      <c r="X2" s="3">
        <f>W2/$AB$20*100</f>
        <v>17.581617837408213</v>
      </c>
      <c r="Y2" s="4">
        <f t="shared" si="0"/>
        <v>18.954000000000001</v>
      </c>
    </row>
    <row r="3" spans="1:40" ht="13.95" customHeight="1" x14ac:dyDescent="0.3">
      <c r="B3" s="77">
        <v>1.2052777777777779</v>
      </c>
      <c r="C3" s="73">
        <v>36.950000000000017</v>
      </c>
      <c r="D3" s="73">
        <v>0.68</v>
      </c>
      <c r="E3" s="73">
        <v>12.14</v>
      </c>
      <c r="F3" s="73">
        <v>1.9</v>
      </c>
      <c r="G3" s="73">
        <v>3247.7925769058029</v>
      </c>
      <c r="H3" s="73">
        <v>6290</v>
      </c>
      <c r="I3" s="78">
        <v>4.0199999999999996</v>
      </c>
      <c r="J3" s="2">
        <f t="shared" ref="J3:J7" si="4">E3*F3</f>
        <v>23.065999999999999</v>
      </c>
      <c r="K3" s="1">
        <f t="shared" si="1"/>
        <v>36.950000000000017</v>
      </c>
      <c r="L3" s="1">
        <f t="shared" ref="L3:L8" si="5">LN(K3)</f>
        <v>3.609565647394211</v>
      </c>
      <c r="M3" s="3">
        <f t="shared" si="2"/>
        <v>307.90143653592179</v>
      </c>
      <c r="N3" s="3">
        <f t="shared" si="2"/>
        <v>158.98251192368841</v>
      </c>
      <c r="O3" s="3">
        <f>M3*60/$AB$12</f>
        <v>9237.0430960776539</v>
      </c>
      <c r="P3" s="3">
        <f>N3*60/$AB$12</f>
        <v>4769.4753577106521</v>
      </c>
      <c r="Q3" s="3">
        <f>O3/$AB$20*100</f>
        <v>41.694986197572746</v>
      </c>
      <c r="R3" s="3">
        <f>P3/$AB$20*100</f>
        <v>21.528881822999473</v>
      </c>
      <c r="S3" s="3">
        <f>P3*$AE$31+$AE$32</f>
        <v>9237.0430960776539</v>
      </c>
      <c r="T3" s="3">
        <f t="shared" si="3"/>
        <v>36.950000000000017</v>
      </c>
      <c r="U3" s="3">
        <f>S3/$AB$20*100</f>
        <v>41.694986197572746</v>
      </c>
      <c r="V3" s="3">
        <f>$AB$34*LN(C3)+$AB$35</f>
        <v>9298.3552461146719</v>
      </c>
      <c r="W3" s="3">
        <f>D3*D3*$AB$31+D3*$AB$32+$AB$33</f>
        <v>4863.4075129077619</v>
      </c>
      <c r="X3" s="3">
        <f>W3/$AB$20*100</f>
        <v>21.952881134653094</v>
      </c>
      <c r="Y3" s="4">
        <f t="shared" si="0"/>
        <v>23.065999999999999</v>
      </c>
    </row>
    <row r="4" spans="1:40" ht="13.95" customHeight="1" x14ac:dyDescent="0.3">
      <c r="B4" s="77">
        <v>1.3299444444444444</v>
      </c>
      <c r="C4" s="73">
        <v>59.389999999999986</v>
      </c>
      <c r="D4" s="73">
        <v>1.18</v>
      </c>
      <c r="E4" s="73">
        <v>12.07</v>
      </c>
      <c r="F4" s="73">
        <v>3.66</v>
      </c>
      <c r="G4" s="73">
        <v>2314.9259570838622</v>
      </c>
      <c r="H4" s="73">
        <v>3623</v>
      </c>
      <c r="I4" s="78">
        <v>7.4</v>
      </c>
      <c r="J4" s="2">
        <f t="shared" si="4"/>
        <v>44.176200000000001</v>
      </c>
      <c r="K4" s="1">
        <f t="shared" si="1"/>
        <v>59.389999999999986</v>
      </c>
      <c r="L4" s="1">
        <f t="shared" si="5"/>
        <v>4.0841258620277685</v>
      </c>
      <c r="M4" s="3">
        <f t="shared" si="2"/>
        <v>431.97925918101981</v>
      </c>
      <c r="N4" s="3">
        <f t="shared" si="2"/>
        <v>276.01435274634281</v>
      </c>
      <c r="O4" s="3">
        <f>M4*60/$AB$12</f>
        <v>12959.377775430594</v>
      </c>
      <c r="P4" s="3">
        <f>N4*60/$AB$12</f>
        <v>8280.4305823902851</v>
      </c>
      <c r="Q4" s="3">
        <f>O4/$AB$20*100</f>
        <v>58.497191347429769</v>
      </c>
      <c r="R4" s="3">
        <f>P4/$AB$20*100</f>
        <v>37.376943601067261</v>
      </c>
      <c r="S4" s="3">
        <f>P4*$AE$31+$AE$32</f>
        <v>12959.377775430594</v>
      </c>
      <c r="T4" s="3">
        <f t="shared" si="3"/>
        <v>59.389999999999986</v>
      </c>
      <c r="U4" s="3">
        <f>S4/$AB$20*100</f>
        <v>58.497191347429769</v>
      </c>
      <c r="V4" s="3">
        <f>$AB$34*LN(C4)+$AB$35</f>
        <v>13586.844885279916</v>
      </c>
      <c r="W4" s="3">
        <f>D4*D4*$AB$31+D4*$AB$32+$AB$33</f>
        <v>8182.7859228288444</v>
      </c>
      <c r="X4" s="3">
        <f>W4/$AB$20*100</f>
        <v>36.936186457213537</v>
      </c>
      <c r="Y4" s="4">
        <f t="shared" si="0"/>
        <v>44.176200000000001</v>
      </c>
    </row>
    <row r="5" spans="1:40" ht="13.95" customHeight="1" x14ac:dyDescent="0.3">
      <c r="B5" s="77">
        <v>1.4442222222222223</v>
      </c>
      <c r="C5" s="73">
        <v>79.960000000000008</v>
      </c>
      <c r="D5" s="73">
        <v>1.57</v>
      </c>
      <c r="E5" s="73">
        <v>11.96</v>
      </c>
      <c r="F5" s="73">
        <v>6.51</v>
      </c>
      <c r="G5" s="73">
        <v>1890.4108937169444</v>
      </c>
      <c r="H5" s="73">
        <v>2721</v>
      </c>
      <c r="I5" s="78">
        <v>9.5</v>
      </c>
      <c r="J5" s="2">
        <f t="shared" si="4"/>
        <v>77.8596</v>
      </c>
      <c r="K5" s="1">
        <f t="shared" si="1"/>
        <v>79.960000000000008</v>
      </c>
      <c r="L5" s="1">
        <f t="shared" si="5"/>
        <v>4.3815265096321996</v>
      </c>
      <c r="M5" s="3">
        <f t="shared" si="2"/>
        <v>528.98552548741941</v>
      </c>
      <c r="N5" s="3">
        <f t="shared" si="2"/>
        <v>367.51194413818456</v>
      </c>
      <c r="O5" s="3">
        <f>M5*60/$AB$12</f>
        <v>15869.565764622583</v>
      </c>
      <c r="P5" s="3">
        <f>N5*60/$AB$12</f>
        <v>11025.358324145536</v>
      </c>
      <c r="Q5" s="3">
        <f>O5/$AB$20*100</f>
        <v>71.633456576421381</v>
      </c>
      <c r="R5" s="3">
        <f>P5/$AB$20*100</f>
        <v>49.76724243537916</v>
      </c>
      <c r="S5" s="3">
        <f>P5*$AE$31+$AE$32</f>
        <v>15869.565764622583</v>
      </c>
      <c r="T5" s="3">
        <f t="shared" si="3"/>
        <v>79.960000000000008</v>
      </c>
      <c r="U5" s="3">
        <f>S5/$AB$20*100</f>
        <v>71.633456576421381</v>
      </c>
      <c r="V5" s="3">
        <f>$AB$34*LN(C5)+$AB$35</f>
        <v>16274.384962607019</v>
      </c>
      <c r="W5" s="3">
        <f>D5*D5*$AB$31+D5*$AB$32+$AB$33</f>
        <v>10620.908743264476</v>
      </c>
      <c r="X5" s="3">
        <f>W5/$AB$20*100</f>
        <v>47.941601966124367</v>
      </c>
      <c r="Y5" s="4">
        <f t="shared" si="0"/>
        <v>77.8596</v>
      </c>
    </row>
    <row r="6" spans="1:40" ht="13.95" customHeight="1" x14ac:dyDescent="0.3">
      <c r="B6" s="77">
        <v>1.5169444444444444</v>
      </c>
      <c r="C6" s="73">
        <v>93.05</v>
      </c>
      <c r="D6" s="73">
        <v>1.88</v>
      </c>
      <c r="E6" s="73">
        <v>11.86</v>
      </c>
      <c r="F6" s="73">
        <v>8.49</v>
      </c>
      <c r="G6" s="73">
        <v>1735.553038041201</v>
      </c>
      <c r="H6" s="73">
        <v>2427</v>
      </c>
      <c r="I6" s="78">
        <v>10.5</v>
      </c>
      <c r="J6" s="2">
        <f t="shared" si="4"/>
        <v>100.6914</v>
      </c>
      <c r="K6" s="1">
        <f t="shared" si="1"/>
        <v>93.05</v>
      </c>
      <c r="L6" s="1">
        <f t="shared" si="5"/>
        <v>4.5331369830882595</v>
      </c>
      <c r="M6" s="3">
        <f t="shared" si="2"/>
        <v>576.18521478815251</v>
      </c>
      <c r="N6" s="3">
        <f t="shared" si="2"/>
        <v>412.03131437989288</v>
      </c>
      <c r="O6" s="3">
        <f>M6*60/$AB$12</f>
        <v>17285.556443644575</v>
      </c>
      <c r="P6" s="3">
        <f>N6*60/$AB$12</f>
        <v>12360.939431396786</v>
      </c>
      <c r="Q6" s="3">
        <f>O6/$AB$20*100</f>
        <v>78.025081169228997</v>
      </c>
      <c r="R6" s="3">
        <f>P6/$AB$20*100</f>
        <v>55.795907155610493</v>
      </c>
      <c r="S6" s="3">
        <f>P6*$AE$31+$AE$32</f>
        <v>17285.556443644575</v>
      </c>
      <c r="T6" s="3">
        <f t="shared" si="3"/>
        <v>93.05</v>
      </c>
      <c r="U6" s="3">
        <f>S6/$AB$20*100</f>
        <v>78.025081169228997</v>
      </c>
      <c r="V6" s="3">
        <f>$AB$34*LN(C6)+$AB$35</f>
        <v>17644.453342880533</v>
      </c>
      <c r="W6" s="3">
        <f>D6*D6*$AB$31+D6*$AB$32+$AB$33</f>
        <v>12464.506405406451</v>
      </c>
      <c r="X6" s="3">
        <f>W6/$AB$20*100</f>
        <v>56.263396968848568</v>
      </c>
      <c r="Y6" s="4">
        <f t="shared" si="0"/>
        <v>100.6914</v>
      </c>
    </row>
    <row r="7" spans="1:40" ht="13.95" customHeight="1" x14ac:dyDescent="0.3">
      <c r="B7" s="77">
        <v>1.6208333333333333</v>
      </c>
      <c r="C7" s="73">
        <v>111.75</v>
      </c>
      <c r="D7" s="73">
        <v>2.2400000000000002</v>
      </c>
      <c r="E7" s="73">
        <v>11.55</v>
      </c>
      <c r="F7" s="73">
        <v>13.48</v>
      </c>
      <c r="G7" s="73">
        <v>1544.1739275824405</v>
      </c>
      <c r="H7" s="73">
        <v>2086</v>
      </c>
      <c r="I7" s="78">
        <v>12.4</v>
      </c>
      <c r="J7" s="2">
        <f t="shared" si="4"/>
        <v>155.69400000000002</v>
      </c>
      <c r="K7" s="1">
        <f t="shared" si="1"/>
        <v>111.75</v>
      </c>
      <c r="L7" s="1">
        <f t="shared" si="5"/>
        <v>4.7162642334936784</v>
      </c>
      <c r="M7" s="3">
        <f t="shared" si="2"/>
        <v>647.59544384070819</v>
      </c>
      <c r="N7" s="3">
        <f t="shared" si="2"/>
        <v>479.38638542665387</v>
      </c>
      <c r="O7" s="3">
        <f>M7*60/$AB$12</f>
        <v>19427.863315221246</v>
      </c>
      <c r="P7" s="3">
        <f>N7*60/$AB$12</f>
        <v>14381.591562799616</v>
      </c>
      <c r="Q7" s="3">
        <f>O7/$AB$20*100</f>
        <v>87.695216353429245</v>
      </c>
      <c r="R7" s="3">
        <f>P7/$AB$20*100</f>
        <v>64.916906359859382</v>
      </c>
      <c r="S7" s="3">
        <f>P7*$AE$31+$AE$32</f>
        <v>19427.863315221246</v>
      </c>
      <c r="T7" s="3">
        <f t="shared" si="3"/>
        <v>111.75</v>
      </c>
      <c r="U7" s="3">
        <f>S7/$AB$20*100</f>
        <v>87.695216353429245</v>
      </c>
      <c r="V7" s="3">
        <f>$AB$34*LN(C7)+$AB$35</f>
        <v>19299.331463286977</v>
      </c>
      <c r="W7" s="3">
        <f>D7*D7*$AB$31+D7*$AB$32+$AB$33</f>
        <v>14500.533861250384</v>
      </c>
      <c r="X7" s="3">
        <f>W7/$AB$20*100</f>
        <v>65.4537986792552</v>
      </c>
      <c r="Y7" s="4">
        <f t="shared" si="0"/>
        <v>155.69400000000002</v>
      </c>
    </row>
    <row r="8" spans="1:40" ht="13.95" customHeight="1" thickBot="1" x14ac:dyDescent="0.35">
      <c r="B8" s="79">
        <v>1.7766666666666666</v>
      </c>
      <c r="C8" s="80">
        <v>139.79999999999998</v>
      </c>
      <c r="D8" s="80">
        <v>2.68</v>
      </c>
      <c r="E8" s="80"/>
      <c r="F8" s="80"/>
      <c r="G8" s="80">
        <v>1361.8412878381814</v>
      </c>
      <c r="H8" s="80">
        <v>1782</v>
      </c>
      <c r="I8" s="81">
        <v>14.4</v>
      </c>
      <c r="J8" s="2"/>
      <c r="K8" s="1">
        <f t="shared" si="1"/>
        <v>139.79999999999998</v>
      </c>
      <c r="L8" s="1">
        <f t="shared" si="5"/>
        <v>4.9402128297997097</v>
      </c>
      <c r="M8" s="3">
        <f t="shared" si="2"/>
        <v>734.29995766057527</v>
      </c>
      <c r="N8" s="3">
        <f t="shared" si="2"/>
        <v>561.16722783389457</v>
      </c>
      <c r="O8" s="3">
        <f>M8*60/$AB$12</f>
        <v>22028.998729817256</v>
      </c>
      <c r="P8" s="3">
        <f>N8*60/$AB$12</f>
        <v>16835.016835016839</v>
      </c>
      <c r="Q8" s="3">
        <f>O8/$AB$20*100</f>
        <v>99.436452599869568</v>
      </c>
      <c r="R8" s="3">
        <f>P8/$AB$20*100</f>
        <v>75.991395435839905</v>
      </c>
      <c r="S8" s="3">
        <f>P8*$AE$31+$AE$32</f>
        <v>22028.99872981726</v>
      </c>
      <c r="T8" s="3">
        <f t="shared" si="3"/>
        <v>139.79999999999998</v>
      </c>
      <c r="U8" s="3">
        <f>S8/$AB$20*100</f>
        <v>99.436452599869583</v>
      </c>
      <c r="V8" s="3">
        <f>$AB$34*LN(C8)+$AB$35</f>
        <v>21323.102536691451</v>
      </c>
      <c r="W8" s="3">
        <f>D8*D8*$AB$31+D8*$AB$32+$AB$33</f>
        <v>16835.887969335279</v>
      </c>
      <c r="X8" s="3">
        <f>W8/$AB$20*100</f>
        <v>75.995327639360639</v>
      </c>
      <c r="Y8" s="4">
        <f t="shared" si="0"/>
        <v>0</v>
      </c>
    </row>
    <row r="9" spans="1:40" ht="13.95" customHeight="1" x14ac:dyDescent="0.3"/>
    <row r="10" spans="1:40" ht="13.95" customHeight="1" x14ac:dyDescent="0.3">
      <c r="B10" s="5"/>
      <c r="C10" s="6"/>
      <c r="D10" s="6"/>
      <c r="E10" s="6"/>
      <c r="F10" s="6"/>
      <c r="G10" s="6"/>
      <c r="H10" s="6"/>
      <c r="I10" s="6"/>
      <c r="J10" s="2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40" ht="13.95" customHeight="1" thickBot="1" x14ac:dyDescent="0.35">
      <c r="B11" s="5"/>
      <c r="C11" s="6"/>
      <c r="D11" s="6"/>
      <c r="E11" s="6"/>
      <c r="F11" s="6"/>
      <c r="G11" s="6"/>
      <c r="H11" s="6"/>
      <c r="I11" s="6"/>
      <c r="J11" s="2"/>
      <c r="M11" s="3"/>
      <c r="N11" s="3"/>
      <c r="O11" s="3" t="s">
        <v>55</v>
      </c>
      <c r="P11" s="3" t="s">
        <v>56</v>
      </c>
      <c r="Q11" s="3" t="s">
        <v>57</v>
      </c>
      <c r="R11" s="3"/>
      <c r="S11" s="3"/>
      <c r="T11" s="3"/>
      <c r="U11" s="3"/>
      <c r="V11" s="3"/>
      <c r="W11" s="3"/>
      <c r="X11" s="3"/>
      <c r="Y11" s="3"/>
      <c r="AA11" t="s">
        <v>45</v>
      </c>
      <c r="AD11" t="s">
        <v>46</v>
      </c>
      <c r="AG11" s="30"/>
      <c r="AH11" s="30"/>
      <c r="AI11" s="30"/>
      <c r="AJ11" s="30"/>
      <c r="AK11" s="30"/>
      <c r="AL11" s="30"/>
      <c r="AM11" s="30"/>
      <c r="AN11" s="30"/>
    </row>
    <row r="12" spans="1:40" ht="13.95" customHeight="1" x14ac:dyDescent="0.3">
      <c r="A12" s="3" t="s">
        <v>41</v>
      </c>
      <c r="B12" s="11" t="s">
        <v>42</v>
      </c>
      <c r="C12" s="12"/>
      <c r="D12" s="12"/>
      <c r="E12" s="6"/>
      <c r="F12" s="6"/>
      <c r="G12" s="6"/>
      <c r="H12" s="6"/>
      <c r="I12" s="6"/>
      <c r="J12" s="2"/>
      <c r="M12" s="3"/>
      <c r="N12" s="3"/>
      <c r="O12" s="3">
        <v>3482.2983168891469</v>
      </c>
      <c r="P12" s="3">
        <f>O12*CalArduino!$AE$31+CalArduino!$AE$32</f>
        <v>7872.3706833287897</v>
      </c>
      <c r="Q12" s="3">
        <f>P12/60*$AB$12</f>
        <v>262.41235611095965</v>
      </c>
      <c r="R12" s="3">
        <f>1/Q12/0.000001</f>
        <v>3810.7961637948006</v>
      </c>
      <c r="S12" s="3"/>
      <c r="T12" s="3"/>
      <c r="U12" s="3"/>
      <c r="V12" s="3"/>
      <c r="W12" s="3"/>
      <c r="X12" s="3"/>
      <c r="Y12" s="3"/>
      <c r="AA12" s="17" t="s">
        <v>3</v>
      </c>
      <c r="AB12" s="18">
        <v>2</v>
      </c>
      <c r="AD12" s="17"/>
      <c r="AE12" s="23" t="s">
        <v>33</v>
      </c>
      <c r="AF12" s="7"/>
      <c r="AG12" s="30"/>
      <c r="AH12" s="30"/>
      <c r="AI12" s="30"/>
      <c r="AJ12" s="30"/>
      <c r="AK12" s="30"/>
      <c r="AL12" s="30"/>
      <c r="AM12" s="30"/>
      <c r="AN12" s="30"/>
    </row>
    <row r="13" spans="1:40" x14ac:dyDescent="0.3">
      <c r="A13" s="3"/>
      <c r="B13" s="13" t="s">
        <v>43</v>
      </c>
      <c r="C13" s="14"/>
      <c r="D13" s="14"/>
      <c r="E13" s="6"/>
      <c r="F13" s="6"/>
      <c r="G13" s="6"/>
      <c r="H13" s="6"/>
      <c r="I13" s="6"/>
      <c r="J13" s="2"/>
      <c r="M13" s="3"/>
      <c r="N13" s="3"/>
      <c r="O13" s="3">
        <v>4769.4753577106521</v>
      </c>
      <c r="P13" s="3">
        <f>O13*CalArduino!$AE$31+CalArduino!$AE$32</f>
        <v>9237.0430960776539</v>
      </c>
      <c r="Q13" s="3">
        <f>P13/60*$AB$12</f>
        <v>307.90143653592179</v>
      </c>
      <c r="R13" s="3">
        <f t="shared" ref="R13:R18" si="6">1/Q13/0.000001</f>
        <v>3247.7925769058029</v>
      </c>
      <c r="S13" s="3"/>
      <c r="T13" s="3"/>
      <c r="U13" s="3"/>
      <c r="V13" s="3"/>
      <c r="W13" s="3"/>
      <c r="X13" s="3"/>
      <c r="Y13" s="3"/>
      <c r="AA13" s="19" t="s">
        <v>4</v>
      </c>
      <c r="AB13" s="20">
        <v>4800</v>
      </c>
      <c r="AD13" s="24" t="s">
        <v>26</v>
      </c>
      <c r="AE13" s="25">
        <v>0</v>
      </c>
      <c r="AG13" s="30"/>
      <c r="AH13" s="30"/>
      <c r="AI13" s="30"/>
      <c r="AJ13" s="30"/>
      <c r="AK13" s="30"/>
      <c r="AL13" s="30"/>
      <c r="AM13" s="30"/>
      <c r="AN13" s="30"/>
    </row>
    <row r="14" spans="1:40" ht="13.95" customHeight="1" thickBot="1" x14ac:dyDescent="0.35">
      <c r="A14" s="3"/>
      <c r="B14" s="15" t="s">
        <v>44</v>
      </c>
      <c r="C14" s="16"/>
      <c r="D14" s="16"/>
      <c r="E14" s="6"/>
      <c r="F14" s="6"/>
      <c r="G14" s="6"/>
      <c r="H14" s="6"/>
      <c r="I14" s="6"/>
      <c r="J14" s="2"/>
      <c r="M14" s="3"/>
      <c r="N14" s="3"/>
      <c r="O14" s="3">
        <v>8280.4305823902851</v>
      </c>
      <c r="P14" s="3">
        <f>O14*CalArduino!$AE$31+CalArduino!$AE$32</f>
        <v>12959.377775430594</v>
      </c>
      <c r="Q14" s="3">
        <f>P14/60*$AB$12</f>
        <v>431.97925918101981</v>
      </c>
      <c r="R14" s="3">
        <f t="shared" si="6"/>
        <v>2314.9259570838622</v>
      </c>
      <c r="S14" s="3"/>
      <c r="T14" s="3"/>
      <c r="Y14" s="3"/>
      <c r="AA14" s="21" t="s">
        <v>5</v>
      </c>
      <c r="AB14" s="22">
        <v>12</v>
      </c>
      <c r="AD14" s="26" t="s">
        <v>27</v>
      </c>
      <c r="AE14" s="27">
        <v>5</v>
      </c>
      <c r="AG14" s="30"/>
      <c r="AH14" s="30"/>
      <c r="AI14" s="93"/>
      <c r="AJ14" s="93"/>
      <c r="AK14" s="30"/>
      <c r="AL14" s="30"/>
      <c r="AM14" s="30"/>
      <c r="AN14" s="30"/>
    </row>
    <row r="15" spans="1:40" ht="13.95" customHeight="1" x14ac:dyDescent="0.3">
      <c r="B15" s="5"/>
      <c r="C15" s="6"/>
      <c r="D15" s="6"/>
      <c r="E15" s="6"/>
      <c r="F15" s="6"/>
      <c r="G15" s="6"/>
      <c r="H15" s="6"/>
      <c r="I15" s="6"/>
      <c r="J15" s="2"/>
      <c r="M15" s="3"/>
      <c r="N15" s="3"/>
      <c r="O15" s="3">
        <v>11025.358324145536</v>
      </c>
      <c r="P15" s="3">
        <f>O15*CalArduino!$AE$31+CalArduino!$AE$32</f>
        <v>15869.565764622583</v>
      </c>
      <c r="Q15" s="3">
        <f>P15/60*$AB$12</f>
        <v>528.98552548741941</v>
      </c>
      <c r="R15" s="3">
        <f t="shared" si="6"/>
        <v>1890.4108937169444</v>
      </c>
      <c r="S15" s="3"/>
      <c r="T15" s="3"/>
      <c r="Y15" s="3"/>
      <c r="AG15" s="30"/>
      <c r="AH15" s="30"/>
      <c r="AI15" s="30"/>
      <c r="AJ15" s="30"/>
      <c r="AK15" s="30"/>
      <c r="AL15" s="30"/>
      <c r="AM15" s="30"/>
      <c r="AN15" s="30"/>
    </row>
    <row r="16" spans="1:40" ht="24" thickBot="1" x14ac:dyDescent="0.5">
      <c r="B16" s="5"/>
      <c r="C16" s="6"/>
      <c r="D16" s="6"/>
      <c r="E16" s="6"/>
      <c r="F16" s="6"/>
      <c r="G16" s="6"/>
      <c r="H16" s="6"/>
      <c r="I16" s="6"/>
      <c r="J16" s="2"/>
      <c r="M16" s="3"/>
      <c r="N16" s="3"/>
      <c r="O16" s="3">
        <v>12360.939431396786</v>
      </c>
      <c r="P16" s="3">
        <f>O16*CalArduino!$AE$31+CalArduino!$AE$32</f>
        <v>17285.556443644575</v>
      </c>
      <c r="Q16" s="3">
        <f>P16/60*$AB$12</f>
        <v>576.18521478815251</v>
      </c>
      <c r="R16" s="3">
        <f t="shared" si="6"/>
        <v>1735.553038041201</v>
      </c>
      <c r="S16" s="3"/>
      <c r="T16" s="3"/>
      <c r="Y16" s="3"/>
      <c r="AA16" t="s">
        <v>48</v>
      </c>
      <c r="AG16" s="94" t="s">
        <v>72</v>
      </c>
      <c r="AH16" s="5" t="s">
        <v>76</v>
      </c>
      <c r="AI16" s="5"/>
      <c r="AJ16" s="5"/>
    </row>
    <row r="17" spans="2:41" ht="15" thickBot="1" x14ac:dyDescent="0.35">
      <c r="B17" s="5"/>
      <c r="C17" s="6"/>
      <c r="D17" s="6"/>
      <c r="E17" s="6"/>
      <c r="F17" s="6"/>
      <c r="G17" s="6"/>
      <c r="H17" s="6"/>
      <c r="I17" s="6"/>
      <c r="J17" s="2"/>
      <c r="M17" s="3"/>
      <c r="N17" s="3"/>
      <c r="O17" s="3">
        <v>14381.591562799616</v>
      </c>
      <c r="P17" s="3">
        <f>O17*CalArduino!$AE$31+CalArduino!$AE$32</f>
        <v>19427.863315221246</v>
      </c>
      <c r="Q17" s="3">
        <f>P17/60*$AB$12</f>
        <v>647.59544384070819</v>
      </c>
      <c r="R17" s="3">
        <f t="shared" si="6"/>
        <v>1544.1739275824405</v>
      </c>
      <c r="S17" s="3"/>
      <c r="T17" s="3"/>
      <c r="U17" s="3"/>
      <c r="W17" s="3"/>
      <c r="X17" s="3"/>
      <c r="Y17" s="3"/>
      <c r="AA17" s="34">
        <v>210</v>
      </c>
      <c r="AB17" s="35" t="s">
        <v>47</v>
      </c>
      <c r="AC17" s="36"/>
      <c r="AD17" s="35"/>
      <c r="AE17" s="35"/>
      <c r="AF17" s="37"/>
      <c r="AH17" s="62" t="s">
        <v>25</v>
      </c>
      <c r="AI17" s="87">
        <f>AB25</f>
        <v>3.3</v>
      </c>
      <c r="AJ17" s="64"/>
      <c r="AK17" s="29"/>
    </row>
    <row r="18" spans="2:41" x14ac:dyDescent="0.3">
      <c r="B18" s="5"/>
      <c r="C18" s="6"/>
      <c r="D18" s="6"/>
      <c r="E18" s="6"/>
      <c r="F18" s="6"/>
      <c r="G18" s="6"/>
      <c r="H18" s="6"/>
      <c r="I18" s="6"/>
      <c r="J18" s="2"/>
      <c r="M18" s="3"/>
      <c r="N18" s="3"/>
      <c r="O18" s="3">
        <v>16835.016835016839</v>
      </c>
      <c r="P18" s="3">
        <f>O18*CalArduino!$AE$31+CalArduino!$AE$32</f>
        <v>22028.99872981726</v>
      </c>
      <c r="Q18" s="3">
        <f>P18/60*$AB$12</f>
        <v>734.29995766057539</v>
      </c>
      <c r="R18" s="3">
        <f t="shared" si="6"/>
        <v>1361.8412878381814</v>
      </c>
      <c r="S18" s="3"/>
      <c r="T18" s="3"/>
      <c r="U18" s="3"/>
      <c r="V18" s="3"/>
      <c r="W18" s="3"/>
      <c r="X18" s="3"/>
      <c r="Y18" s="3"/>
      <c r="AA18" s="8"/>
      <c r="AC18" s="8"/>
      <c r="AD18" s="8"/>
      <c r="AH18" s="65" t="s">
        <v>24</v>
      </c>
      <c r="AI18" s="66">
        <f>AB24</f>
        <v>0</v>
      </c>
      <c r="AJ18" s="45"/>
      <c r="AK18" s="31"/>
    </row>
    <row r="19" spans="2:41" ht="15" thickBot="1" x14ac:dyDescent="0.35">
      <c r="C19" s="6"/>
      <c r="D19" s="6"/>
      <c r="E19" s="6"/>
      <c r="F19" s="6"/>
      <c r="G19" s="6"/>
      <c r="H19" s="6"/>
      <c r="I19" s="6"/>
      <c r="J19" s="2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AA19" t="s">
        <v>49</v>
      </c>
      <c r="AH19" s="65" t="s">
        <v>27</v>
      </c>
      <c r="AI19" s="66">
        <f>AE14</f>
        <v>5</v>
      </c>
      <c r="AJ19" s="30"/>
      <c r="AK19" s="31"/>
    </row>
    <row r="20" spans="2:41" ht="15" thickBot="1" x14ac:dyDescent="0.35">
      <c r="AA20" s="38" t="s">
        <v>6</v>
      </c>
      <c r="AB20" s="39">
        <f>AB13*AB14/AC20</f>
        <v>22153.846153846152</v>
      </c>
      <c r="AC20" s="40">
        <v>2.6</v>
      </c>
      <c r="AD20" s="35" t="s">
        <v>14</v>
      </c>
      <c r="AE20" s="41"/>
      <c r="AF20" s="8"/>
      <c r="AH20" s="65" t="s">
        <v>26</v>
      </c>
      <c r="AI20" s="66">
        <f>AE13</f>
        <v>0</v>
      </c>
      <c r="AJ20" s="30"/>
      <c r="AK20" s="31"/>
    </row>
    <row r="21" spans="2:41" x14ac:dyDescent="0.3">
      <c r="AF21" s="8"/>
      <c r="AH21" s="65" t="s">
        <v>40</v>
      </c>
      <c r="AI21" s="90">
        <f>AB20/100</f>
        <v>221.53846153846152</v>
      </c>
      <c r="AJ21" s="30"/>
      <c r="AK21" s="31"/>
    </row>
    <row r="22" spans="2:41" ht="15" thickBot="1" x14ac:dyDescent="0.35">
      <c r="C22" s="6"/>
      <c r="D22" s="6"/>
      <c r="E22" s="6"/>
      <c r="F22" s="6"/>
      <c r="G22" s="6"/>
      <c r="H22" s="6"/>
      <c r="I22" s="6"/>
      <c r="J22" s="9"/>
      <c r="K22" s="6"/>
      <c r="L22" s="6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AA22" t="s">
        <v>50</v>
      </c>
      <c r="AH22" s="65" t="s">
        <v>28</v>
      </c>
      <c r="AI22" s="66">
        <f>AD25</f>
        <v>180</v>
      </c>
      <c r="AJ22" s="30"/>
      <c r="AK22" s="31"/>
      <c r="AO22" s="3"/>
    </row>
    <row r="23" spans="2:41" ht="28.8" x14ac:dyDescent="0.3">
      <c r="C23" s="6"/>
      <c r="D23" s="6"/>
      <c r="E23" s="6"/>
      <c r="F23" s="6"/>
      <c r="G23" s="6"/>
      <c r="H23" s="6"/>
      <c r="I23" s="6"/>
      <c r="J23" s="9"/>
      <c r="K23" s="6"/>
      <c r="L23" s="6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AA23" s="17"/>
      <c r="AB23" s="42" t="s">
        <v>29</v>
      </c>
      <c r="AC23" s="28"/>
      <c r="AD23" s="42" t="s">
        <v>30</v>
      </c>
      <c r="AE23" s="29" t="s">
        <v>51</v>
      </c>
      <c r="AH23" s="65" t="s">
        <v>23</v>
      </c>
      <c r="AI23" s="66">
        <f>AD24</f>
        <v>0</v>
      </c>
      <c r="AJ23" s="30"/>
      <c r="AK23" s="31"/>
    </row>
    <row r="24" spans="2:41" x14ac:dyDescent="0.3">
      <c r="C24" s="6"/>
      <c r="D24" s="6"/>
      <c r="E24" s="6"/>
      <c r="F24" s="6"/>
      <c r="G24" s="6"/>
      <c r="H24" s="6"/>
      <c r="I24" s="6"/>
      <c r="J24" s="9"/>
      <c r="K24" s="6"/>
      <c r="L24" s="6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AA24" s="57" t="s">
        <v>24</v>
      </c>
      <c r="AB24" s="58">
        <v>0</v>
      </c>
      <c r="AC24" s="45" t="s">
        <v>23</v>
      </c>
      <c r="AD24" s="59">
        <v>0</v>
      </c>
      <c r="AE24" s="89">
        <f>AE34/AB20*100</f>
        <v>-17.719588605194325</v>
      </c>
      <c r="AF24" t="s">
        <v>71</v>
      </c>
      <c r="AH24" s="65" t="s">
        <v>19</v>
      </c>
      <c r="AI24" s="66">
        <f>AB33</f>
        <v>0</v>
      </c>
      <c r="AJ24" s="67">
        <f>AB32</f>
        <v>7447.8773934613901</v>
      </c>
      <c r="AK24" s="68">
        <f>AB31</f>
        <v>-435.01106108560458</v>
      </c>
    </row>
    <row r="25" spans="2:41" x14ac:dyDescent="0.3">
      <c r="B25" t="s">
        <v>73</v>
      </c>
      <c r="C25" s="6"/>
      <c r="D25" s="6"/>
      <c r="E25" s="6"/>
      <c r="F25" s="6"/>
      <c r="G25" s="6"/>
      <c r="H25" s="6"/>
      <c r="I25" s="6"/>
      <c r="J25" s="9"/>
      <c r="K25" s="6"/>
      <c r="L25" s="6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AA25" s="57" t="s">
        <v>25</v>
      </c>
      <c r="AB25" s="58">
        <v>3.3</v>
      </c>
      <c r="AC25" s="45" t="s">
        <v>28</v>
      </c>
      <c r="AD25" s="59">
        <v>180</v>
      </c>
      <c r="AE25" s="60">
        <v>77</v>
      </c>
      <c r="AH25" s="65" t="s">
        <v>31</v>
      </c>
      <c r="AI25" s="66">
        <f>AB35</f>
        <v>-23320.445073439671</v>
      </c>
      <c r="AJ25" s="67">
        <f>AB34</f>
        <v>9036.7660560772038</v>
      </c>
      <c r="AK25" s="31"/>
    </row>
    <row r="26" spans="2:41" ht="15" thickBot="1" x14ac:dyDescent="0.35">
      <c r="B26" t="s">
        <v>68</v>
      </c>
      <c r="C26" s="6" t="s">
        <v>69</v>
      </c>
      <c r="D26" s="6" t="s">
        <v>70</v>
      </c>
      <c r="E26" s="6"/>
      <c r="F26" s="6"/>
      <c r="G26" s="6"/>
      <c r="H26" s="6"/>
      <c r="I26" s="6"/>
      <c r="J26" s="9"/>
      <c r="K26" s="6"/>
      <c r="L26" s="6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AA26" s="19"/>
      <c r="AB26" s="30" t="s">
        <v>54</v>
      </c>
      <c r="AC26" s="30"/>
      <c r="AD26" s="61"/>
      <c r="AE26" s="89">
        <f>(AE25-AE24)/(AB25-AB24)</f>
        <v>28.702905637937679</v>
      </c>
      <c r="AH26" s="65" t="s">
        <v>20</v>
      </c>
      <c r="AI26" s="91">
        <f>AE27</f>
        <v>-17.719588605194332</v>
      </c>
      <c r="AJ26" s="92">
        <f>AE26</f>
        <v>28.702905637937679</v>
      </c>
      <c r="AK26" s="31"/>
    </row>
    <row r="27" spans="2:41" x14ac:dyDescent="0.3">
      <c r="B27" s="85">
        <v>61</v>
      </c>
      <c r="C27" s="6">
        <f>B27/180*(2.4-0.53)+0.53</f>
        <v>1.1637222222222223</v>
      </c>
      <c r="D27" s="88">
        <f>(C27-1)*180</f>
        <v>29.47000000000002</v>
      </c>
      <c r="E27" s="6"/>
      <c r="F27" s="6"/>
      <c r="G27" s="6"/>
      <c r="H27" s="6"/>
      <c r="I27" s="6"/>
      <c r="J27" s="9"/>
      <c r="K27" s="6"/>
      <c r="L27" s="6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AA27" s="19"/>
      <c r="AB27" s="30"/>
      <c r="AC27" s="30"/>
      <c r="AD27" s="61"/>
      <c r="AE27" s="89">
        <f>AE25-AE26*(AB25-AB24)</f>
        <v>-17.719588605194332</v>
      </c>
      <c r="AH27" s="65" t="s">
        <v>21</v>
      </c>
      <c r="AI27" s="66">
        <f>AE34</f>
        <v>-3925.570398689204</v>
      </c>
      <c r="AJ27" s="69">
        <f>AE33</f>
        <v>0.94199104022164515</v>
      </c>
      <c r="AK27" s="31"/>
    </row>
    <row r="28" spans="2:41" ht="15" thickBot="1" x14ac:dyDescent="0.35">
      <c r="B28" s="73">
        <v>65</v>
      </c>
      <c r="C28" s="6">
        <f t="shared" ref="C28:C33" si="7">B28/180*(2.4-0.53)+0.53</f>
        <v>1.2052777777777779</v>
      </c>
      <c r="D28" s="88">
        <f t="shared" ref="D28:D33" si="8">(C28-1)*180</f>
        <v>36.950000000000017</v>
      </c>
      <c r="E28" s="6"/>
      <c r="F28" s="6"/>
      <c r="G28" s="6"/>
      <c r="H28" s="6"/>
      <c r="I28" s="6"/>
      <c r="J28" s="9"/>
      <c r="K28" s="6"/>
      <c r="L28" s="6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AA28" s="21"/>
      <c r="AB28" s="32"/>
      <c r="AC28" s="32"/>
      <c r="AD28" s="47"/>
      <c r="AE28" s="48" t="s">
        <v>20</v>
      </c>
      <c r="AH28" s="70" t="s">
        <v>22</v>
      </c>
      <c r="AI28" s="71">
        <f>AE32</f>
        <v>4180.4182204512181</v>
      </c>
      <c r="AJ28" s="72">
        <f>AE31</f>
        <v>1.0602056822563426</v>
      </c>
      <c r="AK28" s="33"/>
    </row>
    <row r="29" spans="2:41" x14ac:dyDescent="0.3">
      <c r="B29" s="73">
        <v>77</v>
      </c>
      <c r="C29" s="6">
        <f t="shared" si="7"/>
        <v>1.3299444444444444</v>
      </c>
      <c r="D29" s="88">
        <f t="shared" si="8"/>
        <v>59.389999999999986</v>
      </c>
      <c r="E29" s="6"/>
      <c r="F29" s="6"/>
      <c r="G29" s="6"/>
      <c r="H29" s="6"/>
      <c r="I29" s="6"/>
      <c r="J29" s="9"/>
      <c r="K29" s="6"/>
      <c r="L29" s="6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2:41" ht="15" thickBot="1" x14ac:dyDescent="0.35">
      <c r="B30" s="73">
        <v>88</v>
      </c>
      <c r="C30" s="6">
        <f t="shared" si="7"/>
        <v>1.4442222222222223</v>
      </c>
      <c r="D30" s="88">
        <f t="shared" si="8"/>
        <v>79.960000000000008</v>
      </c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AA30" t="s">
        <v>52</v>
      </c>
      <c r="AC30" t="s">
        <v>58</v>
      </c>
    </row>
    <row r="31" spans="2:41" x14ac:dyDescent="0.3">
      <c r="B31" s="73">
        <v>95</v>
      </c>
      <c r="C31" s="6">
        <f t="shared" si="7"/>
        <v>1.5169444444444444</v>
      </c>
      <c r="D31" s="88">
        <f t="shared" si="8"/>
        <v>93.05</v>
      </c>
      <c r="AA31" s="49" t="s">
        <v>19</v>
      </c>
      <c r="AB31" s="50">
        <f>INDEX(LINEST($P$2:$P$8,$D$2:$D$8^{1,2},FALSE,FALSE),1)</f>
        <v>-435.01106108560458</v>
      </c>
      <c r="AC31" s="28"/>
      <c r="AD31" s="51" t="s">
        <v>22</v>
      </c>
      <c r="AE31" s="52">
        <f>CalArduino!AE31</f>
        <v>1.0602056822563426</v>
      </c>
    </row>
    <row r="32" spans="2:41" x14ac:dyDescent="0.3">
      <c r="B32" s="73">
        <v>105</v>
      </c>
      <c r="C32" s="6">
        <f t="shared" si="7"/>
        <v>1.6208333333333333</v>
      </c>
      <c r="D32" s="88">
        <f t="shared" si="8"/>
        <v>111.75</v>
      </c>
      <c r="AA32" s="43"/>
      <c r="AB32" s="53">
        <f>INDEX(LINEST($P$2:$P$8,$D$2:$D$8^{1,2},FALSE,FALSE),2)</f>
        <v>7447.8773934613901</v>
      </c>
      <c r="AC32" s="30"/>
      <c r="AD32" s="44"/>
      <c r="AE32" s="46">
        <f>CalArduino!AE32</f>
        <v>4180.4182204512181</v>
      </c>
      <c r="AM32" s="3"/>
      <c r="AN32" s="3"/>
    </row>
    <row r="33" spans="2:38" ht="15" thickBot="1" x14ac:dyDescent="0.35">
      <c r="B33" s="80">
        <v>120</v>
      </c>
      <c r="C33" s="6">
        <f t="shared" si="7"/>
        <v>1.7766666666666666</v>
      </c>
      <c r="D33" s="88">
        <f t="shared" si="8"/>
        <v>139.79999999999998</v>
      </c>
      <c r="AA33" s="43"/>
      <c r="AB33" s="44">
        <f>INDEX(LINEST($P$2:$P$8,$D$2:$D$8^{1,2},FALSE,FALSE),3)</f>
        <v>0</v>
      </c>
      <c r="AC33" s="30"/>
      <c r="AD33" s="44" t="s">
        <v>21</v>
      </c>
      <c r="AE33" s="46">
        <f>CalArduino!AE33</f>
        <v>0.94199104022164515</v>
      </c>
      <c r="AL33" s="3"/>
    </row>
    <row r="34" spans="2:38" x14ac:dyDescent="0.3">
      <c r="AA34" s="43" t="s">
        <v>31</v>
      </c>
      <c r="AB34" s="54">
        <f>INDEX(LINEST($S$2:$S$8,$L$2:$L$8),1)</f>
        <v>9036.7660560772038</v>
      </c>
      <c r="AC34" s="30"/>
      <c r="AD34" s="44"/>
      <c r="AE34" s="46">
        <f>CalArduino!AE34</f>
        <v>-3925.570398689204</v>
      </c>
    </row>
    <row r="35" spans="2:38" ht="15" thickBot="1" x14ac:dyDescent="0.35">
      <c r="AA35" s="55"/>
      <c r="AB35" s="56">
        <f>INDEX(LINEST($S$2:$S$8,$L$2:$L$8),2)</f>
        <v>-23320.445073439671</v>
      </c>
      <c r="AC35" s="32"/>
      <c r="AD35" s="32"/>
      <c r="AE35" s="33"/>
      <c r="AJ35" s="3"/>
      <c r="AK35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CalArduino</vt:lpstr>
      <vt:lpstr>CalPhoton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Dave Gutz</cp:lastModifiedBy>
  <dcterms:created xsi:type="dcterms:W3CDTF">2016-09-13T12:10:02Z</dcterms:created>
  <dcterms:modified xsi:type="dcterms:W3CDTF">2016-10-14T07:25:14Z</dcterms:modified>
</cp:coreProperties>
</file>