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7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8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9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10.xml" ContentType="application/vnd.openxmlformats-officedocument.drawing+xml"/>
  <Override PartName="/xl/charts/chart6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75.xml" ContentType="application/vnd.openxmlformats-officedocument.drawingml.chart+xml"/>
  <Override PartName="/xl/drawings/drawing12.xml" ContentType="application/vnd.openxmlformats-officedocument.drawing+xml"/>
  <Override PartName="/xl/charts/chart7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7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drawings/drawing13.xml" ContentType="application/vnd.openxmlformats-officedocument.drawing+xml"/>
  <Override PartName="/xl/charts/chart8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8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8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9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9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4.xml" ContentType="application/vnd.openxmlformats-officedocument.drawing+xml"/>
  <Override PartName="/xl/charts/chart9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e\Documents\GitHub\ESC\myESC-Particle-DEV\saves\"/>
    </mc:Choice>
  </mc:AlternateContent>
  <bookViews>
    <workbookView xWindow="0" yWindow="0" windowWidth="20976" windowHeight="8400" firstSheet="6" activeTab="7"/>
  </bookViews>
  <sheets>
    <sheet name="Gain Approx" sheetId="15" r:id="rId1"/>
    <sheet name="Time Const Comp" sheetId="11" r:id="rId2"/>
    <sheet name="Ard0_Turn0_ESC0_G0b_T0a" sheetId="14" r:id="rId3"/>
    <sheet name="Ard1_Turn1x_ESC1_G1b_T1a" sheetId="13" r:id="rId4"/>
    <sheet name="Ard2_Turn2_ESC2_G2b_T2a" sheetId="8" r:id="rId5"/>
    <sheet name="Ard3_Turn3_ESC3_G3b_T3a" sheetId="9" r:id="rId6"/>
    <sheet name="Ard4_Turn4_ESC4_G4b_T4a" sheetId="10" r:id="rId7"/>
    <sheet name="Ard_Turn_ESC_Gb_Ta" sheetId="17" r:id="rId8"/>
    <sheet name="Ardx_Turnx_ESCx_Gxb_Txa" sheetId="16" r:id="rId9"/>
    <sheet name="CalPhotonTurnigy" sheetId="4" r:id="rId10"/>
    <sheet name="TauPhotonTurnigy" sheetId="5" r:id="rId11"/>
    <sheet name="CalArduinoTurnigy" sheetId="3" r:id="rId12"/>
    <sheet name="CalArduinoHiTec" sheetId="1" r:id="rId13"/>
    <sheet name="CalPhotonHiTec" sheetId="2" r:id="rId14"/>
  </sheets>
  <definedNames>
    <definedName name="Meas_TauT__s" localSheetId="7">Ard_Turn_ESC_Gb_Ta!$K$37:$K$42</definedName>
    <definedName name="Meas_TauT__s" localSheetId="2">Ard0_Turn0_ESC0_G0b_T0a!$K$38:$K$43</definedName>
    <definedName name="Meas_TauT__s" localSheetId="3">Ard1_Turn1x_ESC1_G1b_T1a!$K$38:$K$43</definedName>
    <definedName name="Meas_TauT__s" localSheetId="4">Ard2_Turn2_ESC2_G2b_T2a!$K$38:$K$43</definedName>
    <definedName name="Meas_TauT__s" localSheetId="5">Ard3_Turn3_ESC3_G3b_T3a!$K$39:$K$44</definedName>
    <definedName name="Meas_TauT__s" localSheetId="6">Ard4_Turn4_ESC4_G4b_T4a!$K$37:$K$42</definedName>
    <definedName name="Meas_TauT__s" localSheetId="8">Ardx_Turnx_ESCx_Gxb_Txa!$K$39:$K$44</definedName>
    <definedName name="Meas_TauT__s">#REF!</definedName>
    <definedName name="MeasNt" localSheetId="7">Ard_Turn_ESC_Gb_Ta!$I$37:$I$42</definedName>
    <definedName name="MeasNt" localSheetId="2">Ard0_Turn0_ESC0_G0b_T0a!$I$38:$I$43</definedName>
    <definedName name="MeasNt" localSheetId="3">Ard1_Turn1x_ESC1_G1b_T1a!$I$38:$I$43</definedName>
    <definedName name="MeasNt" localSheetId="4">Ard2_Turn2_ESC2_G2b_T2a!$I$38:$I$43</definedName>
    <definedName name="MeasNt" localSheetId="5">Ard3_Turn3_ESC3_G3b_T3a!$I$39:$I$44</definedName>
    <definedName name="MeasNt" localSheetId="6">Ard4_Turn4_ESC4_G4b_T4a!$I$37:$I$42</definedName>
    <definedName name="MeasNt" localSheetId="8">Ardx_Turnx_ESCx_Gxb_Txa!$I$39:$I$44</definedName>
    <definedName name="MeasNt">#REF!</definedName>
    <definedName name="MeasTauT" localSheetId="7">Ard_Turn_ESC_Gb_Ta!$K$37:$K$42</definedName>
    <definedName name="MeasTauT" localSheetId="2">Ard0_Turn0_ESC0_G0b_T0a!$K$38:$K$43</definedName>
    <definedName name="MeasTauT" localSheetId="3">Ard1_Turn1x_ESC1_G1b_T1a!$K$38:$K$43</definedName>
    <definedName name="MeasTauT" localSheetId="4">Ard2_Turn2_ESC2_G2b_T2a!$K$38:$K$43</definedName>
    <definedName name="MeasTauT" localSheetId="5">Ard3_Turn3_ESC3_G3b_T3a!$K$39:$K$44</definedName>
    <definedName name="MeasTauT" localSheetId="6">Ard4_Turn4_ESC4_G4b_T4a!$K$37:$K$42</definedName>
    <definedName name="MeasTauT" localSheetId="8">Ardx_Turnx_ESCx_Gxb_Txa!$K$39:$K$44</definedName>
    <definedName name="MeasTauT">#REF!</definedName>
    <definedName name="Nt" localSheetId="7">Ard_Turn_ESC_Gb_Ta!$I$37:$I$42</definedName>
    <definedName name="Nt" localSheetId="2">Ard0_Turn0_ESC0_G0b_T0a!$I$38:$I$43</definedName>
    <definedName name="Nt" localSheetId="3">Ard1_Turn1x_ESC1_G1b_T1a!$I$38:$I$43</definedName>
    <definedName name="Nt" localSheetId="4">Ard2_Turn2_ESC2_G2b_T2a!$I$38:$I$43</definedName>
    <definedName name="Nt" localSheetId="5">Ard3_Turn3_ESC3_G3b_T3a!$I$39:$I$44</definedName>
    <definedName name="Nt" localSheetId="6">Ard4_Turn4_ESC4_G4b_T4a!$I$37:$I$42</definedName>
    <definedName name="Nt" localSheetId="8">Ardx_Turnx_ESCx_Gxb_Txa!$I$39:$I$44</definedName>
    <definedName name="Nt">#REF!</definedName>
    <definedName name="Nts">#REF!</definedName>
  </definedNames>
  <calcPr calcId="152511"/>
</workbook>
</file>

<file path=xl/calcChain.xml><?xml version="1.0" encoding="utf-8"?>
<calcChain xmlns="http://schemas.openxmlformats.org/spreadsheetml/2006/main">
  <c r="V55" i="17" l="1"/>
  <c r="U55" i="17"/>
  <c r="T55" i="17"/>
  <c r="S55" i="17"/>
  <c r="R55" i="17"/>
  <c r="Q55" i="17"/>
  <c r="V54" i="17"/>
  <c r="U54" i="17"/>
  <c r="T54" i="17"/>
  <c r="S54" i="17"/>
  <c r="R54" i="17"/>
  <c r="Q54" i="17"/>
  <c r="J53" i="17"/>
  <c r="S49" i="17" s="1"/>
  <c r="J52" i="17"/>
  <c r="T49" i="17" s="1"/>
  <c r="V51" i="17"/>
  <c r="U51" i="17"/>
  <c r="T51" i="17"/>
  <c r="S51" i="17"/>
  <c r="R51" i="17"/>
  <c r="Q51" i="17"/>
  <c r="V50" i="17"/>
  <c r="U50" i="17"/>
  <c r="T50" i="17"/>
  <c r="S50" i="17"/>
  <c r="R50" i="17"/>
  <c r="Q50" i="17"/>
  <c r="E48" i="17"/>
  <c r="I43" i="17"/>
  <c r="J54" i="17" s="1"/>
  <c r="R49" i="17" s="1"/>
  <c r="I38" i="17"/>
  <c r="Q35" i="17"/>
  <c r="Q33" i="17"/>
  <c r="Q32" i="17"/>
  <c r="C32" i="17"/>
  <c r="Z12" i="17" s="1"/>
  <c r="Q31" i="17"/>
  <c r="Q30" i="17"/>
  <c r="AH13" i="17" s="1"/>
  <c r="AI13" i="17" s="1"/>
  <c r="C30" i="17"/>
  <c r="C31" i="17" s="1"/>
  <c r="Q29" i="17"/>
  <c r="J29" i="17"/>
  <c r="J28" i="17"/>
  <c r="J30" i="17" s="1"/>
  <c r="J31" i="17" s="1"/>
  <c r="J27" i="17"/>
  <c r="Q26" i="17"/>
  <c r="Q25" i="17"/>
  <c r="Q24" i="17"/>
  <c r="Q23" i="17"/>
  <c r="Q22" i="17"/>
  <c r="O12" i="17"/>
  <c r="Q12" i="17" s="1"/>
  <c r="AE12" i="17" s="1"/>
  <c r="N12" i="17"/>
  <c r="P12" i="17" s="1"/>
  <c r="R12" i="17" s="1"/>
  <c r="L12" i="17"/>
  <c r="M12" i="17" s="1"/>
  <c r="K12" i="17"/>
  <c r="U12" i="17" s="1"/>
  <c r="C12" i="17"/>
  <c r="AH11" i="17"/>
  <c r="AI11" i="17" s="1"/>
  <c r="O11" i="17"/>
  <c r="Q11" i="17" s="1"/>
  <c r="S11" i="17" s="1"/>
  <c r="N11" i="17"/>
  <c r="P11" i="17" s="1"/>
  <c r="R11" i="17" s="1"/>
  <c r="M11" i="17"/>
  <c r="L11" i="17"/>
  <c r="T11" i="17" s="1"/>
  <c r="K11" i="17"/>
  <c r="U11" i="17" s="1"/>
  <c r="C11" i="17"/>
  <c r="T10" i="17"/>
  <c r="O10" i="17"/>
  <c r="Q10" i="17" s="1"/>
  <c r="N10" i="17"/>
  <c r="P10" i="17" s="1"/>
  <c r="R10" i="17" s="1"/>
  <c r="L10" i="17"/>
  <c r="M10" i="17" s="1"/>
  <c r="K10" i="17"/>
  <c r="U10" i="17" s="1"/>
  <c r="C10" i="17"/>
  <c r="AH9" i="17"/>
  <c r="AI9" i="17" s="1"/>
  <c r="O9" i="17"/>
  <c r="Q9" i="17" s="1"/>
  <c r="AE9" i="17" s="1"/>
  <c r="N9" i="17"/>
  <c r="P9" i="17" s="1"/>
  <c r="R9" i="17" s="1"/>
  <c r="M9" i="17"/>
  <c r="L9" i="17"/>
  <c r="T9" i="17" s="1"/>
  <c r="K9" i="17"/>
  <c r="U9" i="17" s="1"/>
  <c r="C9" i="17"/>
  <c r="T8" i="17"/>
  <c r="O8" i="17"/>
  <c r="Q8" i="17" s="1"/>
  <c r="N8" i="17"/>
  <c r="P8" i="17" s="1"/>
  <c r="R8" i="17" s="1"/>
  <c r="L8" i="17"/>
  <c r="M8" i="17" s="1"/>
  <c r="K8" i="17"/>
  <c r="U8" i="17" s="1"/>
  <c r="C8" i="17"/>
  <c r="AH7" i="17"/>
  <c r="AI7" i="17" s="1"/>
  <c r="O7" i="17"/>
  <c r="Q7" i="17" s="1"/>
  <c r="N7" i="17"/>
  <c r="P7" i="17" s="1"/>
  <c r="R7" i="17" s="1"/>
  <c r="L7" i="17"/>
  <c r="T7" i="17" s="1"/>
  <c r="K7" i="17"/>
  <c r="U7" i="17" s="1"/>
  <c r="C7" i="17"/>
  <c r="AI6" i="17"/>
  <c r="AH6" i="17"/>
  <c r="O6" i="17"/>
  <c r="Q6" i="17" s="1"/>
  <c r="N6" i="17"/>
  <c r="P6" i="17" s="1"/>
  <c r="R6" i="17" s="1"/>
  <c r="M6" i="17"/>
  <c r="L6" i="17"/>
  <c r="T6" i="17" s="1"/>
  <c r="K6" i="17"/>
  <c r="U6" i="17" s="1"/>
  <c r="C6" i="17"/>
  <c r="AH5" i="17"/>
  <c r="AI5" i="17" s="1"/>
  <c r="O5" i="17"/>
  <c r="Q5" i="17" s="1"/>
  <c r="N5" i="17"/>
  <c r="P5" i="17" s="1"/>
  <c r="M5" i="17"/>
  <c r="L5" i="17"/>
  <c r="T5" i="17" s="1"/>
  <c r="K5" i="17"/>
  <c r="U5" i="17" s="1"/>
  <c r="C5" i="17"/>
  <c r="AH4" i="17"/>
  <c r="AI4" i="17" s="1"/>
  <c r="Q4" i="17"/>
  <c r="S4" i="17" s="1"/>
  <c r="O4" i="17"/>
  <c r="N4" i="17"/>
  <c r="P4" i="17" s="1"/>
  <c r="R4" i="17" s="1"/>
  <c r="L4" i="17"/>
  <c r="T4" i="17" s="1"/>
  <c r="K4" i="17"/>
  <c r="U4" i="17" s="1"/>
  <c r="C4" i="17"/>
  <c r="AH3" i="17"/>
  <c r="AI3" i="17" s="1"/>
  <c r="O3" i="17"/>
  <c r="Q3" i="17" s="1"/>
  <c r="N3" i="17"/>
  <c r="P3" i="17" s="1"/>
  <c r="L3" i="17"/>
  <c r="T3" i="17" s="1"/>
  <c r="K3" i="17"/>
  <c r="U3" i="17" s="1"/>
  <c r="C3" i="17"/>
  <c r="AE2" i="17"/>
  <c r="U2" i="17"/>
  <c r="S2" i="17"/>
  <c r="P2" i="17"/>
  <c r="R2" i="17" s="1"/>
  <c r="O2" i="17"/>
  <c r="N2" i="17"/>
  <c r="K2" i="17"/>
  <c r="U1" i="17"/>
  <c r="M4" i="17" l="1"/>
  <c r="S12" i="17"/>
  <c r="V7" i="17"/>
  <c r="M3" i="17"/>
  <c r="V10" i="17"/>
  <c r="V12" i="17"/>
  <c r="R3" i="17"/>
  <c r="W3" i="17"/>
  <c r="X3" i="17" s="1"/>
  <c r="Y3" i="17" s="1"/>
  <c r="V3" i="17"/>
  <c r="AE8" i="17"/>
  <c r="S8" i="17"/>
  <c r="W9" i="17"/>
  <c r="X9" i="17" s="1"/>
  <c r="V9" i="17"/>
  <c r="AC12" i="17"/>
  <c r="AD12" i="17" s="1"/>
  <c r="Q36" i="17"/>
  <c r="AA12" i="17"/>
  <c r="AB12" i="17" s="1"/>
  <c r="R41" i="17"/>
  <c r="Q41" i="17"/>
  <c r="R5" i="17"/>
  <c r="V8" i="17"/>
  <c r="W8" i="17"/>
  <c r="X8" i="17" s="1"/>
  <c r="J32" i="17"/>
  <c r="J33" i="17" s="1"/>
  <c r="V11" i="17"/>
  <c r="W11" i="17"/>
  <c r="X11" i="17" s="1"/>
  <c r="Y11" i="17" s="1"/>
  <c r="AF12" i="17"/>
  <c r="V4" i="17"/>
  <c r="W4" i="17"/>
  <c r="X4" i="17" s="1"/>
  <c r="AE3" i="17"/>
  <c r="S3" i="17"/>
  <c r="W6" i="17"/>
  <c r="X6" i="17" s="1"/>
  <c r="V6" i="17"/>
  <c r="AE6" i="17"/>
  <c r="S6" i="17"/>
  <c r="M7" i="17"/>
  <c r="R40" i="17" s="1"/>
  <c r="W2" i="17"/>
  <c r="AE4" i="17"/>
  <c r="S9" i="17"/>
  <c r="AE10" i="17"/>
  <c r="S10" i="17"/>
  <c r="AH10" i="17"/>
  <c r="AI10" i="17" s="1"/>
  <c r="AE11" i="17"/>
  <c r="T12" i="17"/>
  <c r="V2" i="17"/>
  <c r="W5" i="17"/>
  <c r="X5" i="17" s="1"/>
  <c r="Y5" i="17" s="1"/>
  <c r="AE5" i="17"/>
  <c r="S5" i="17"/>
  <c r="S39" i="17"/>
  <c r="R42" i="17"/>
  <c r="R39" i="17"/>
  <c r="Q42" i="17"/>
  <c r="Q39" i="17"/>
  <c r="V5" i="17"/>
  <c r="W7" i="17"/>
  <c r="X7" i="17" s="1"/>
  <c r="W12" i="17"/>
  <c r="X12" i="17" s="1"/>
  <c r="AE7" i="17"/>
  <c r="S7" i="17"/>
  <c r="W10" i="17"/>
  <c r="X10" i="17" s="1"/>
  <c r="AH12" i="17"/>
  <c r="AI12" i="17" s="1"/>
  <c r="AH8" i="17"/>
  <c r="AI8" i="17" s="1"/>
  <c r="J50" i="17"/>
  <c r="J51" i="17"/>
  <c r="U49" i="17" s="1"/>
  <c r="J55" i="17"/>
  <c r="S39" i="10"/>
  <c r="R39" i="10"/>
  <c r="Q39" i="10"/>
  <c r="R42" i="10"/>
  <c r="R41" i="10"/>
  <c r="Q42" i="10"/>
  <c r="Q41" i="10"/>
  <c r="Y9" i="17" l="1"/>
  <c r="J41" i="17"/>
  <c r="Y4" i="17"/>
  <c r="Y12" i="17"/>
  <c r="Y6" i="17"/>
  <c r="Y10" i="17"/>
  <c r="L46" i="17" s="1"/>
  <c r="Y7" i="17"/>
  <c r="Y8" i="17"/>
  <c r="J39" i="17"/>
  <c r="Z11" i="17"/>
  <c r="Z8" i="17"/>
  <c r="Z4" i="17"/>
  <c r="Z10" i="17"/>
  <c r="Z7" i="17"/>
  <c r="Z3" i="17"/>
  <c r="Z9" i="17"/>
  <c r="Z5" i="17"/>
  <c r="Z2" i="17"/>
  <c r="Z6" i="17"/>
  <c r="J40" i="17"/>
  <c r="J43" i="17"/>
  <c r="J42" i="17"/>
  <c r="Q40" i="17"/>
  <c r="J38" i="17"/>
  <c r="J46" i="17"/>
  <c r="J34" i="17"/>
  <c r="Q34" i="17"/>
  <c r="Q43" i="9"/>
  <c r="R41" i="9"/>
  <c r="K46" i="17" l="1"/>
  <c r="AA5" i="17"/>
  <c r="AB5" i="17" s="1"/>
  <c r="AC5" i="17"/>
  <c r="AA10" i="17"/>
  <c r="AB10" i="17" s="1"/>
  <c r="AC10" i="17"/>
  <c r="L40" i="17"/>
  <c r="M40" i="17" s="1"/>
  <c r="AC9" i="17"/>
  <c r="AA9" i="17"/>
  <c r="AB9" i="17" s="1"/>
  <c r="AA4" i="17"/>
  <c r="AB4" i="17" s="1"/>
  <c r="AC4" i="17"/>
  <c r="AJ13" i="17"/>
  <c r="AJ10" i="17"/>
  <c r="AK9" i="17"/>
  <c r="AL9" i="17" s="1"/>
  <c r="AM9" i="17" s="1"/>
  <c r="AJ7" i="17"/>
  <c r="AK6" i="17"/>
  <c r="AL6" i="17" s="1"/>
  <c r="AM6" i="17" s="1"/>
  <c r="AJ5" i="17"/>
  <c r="AR5" i="17" s="1"/>
  <c r="AS5" i="17" s="1"/>
  <c r="AJ3" i="17"/>
  <c r="AP3" i="17" s="1"/>
  <c r="AJ12" i="17"/>
  <c r="AJ11" i="17"/>
  <c r="AJ8" i="17"/>
  <c r="AP8" i="17" s="1"/>
  <c r="AJ6" i="17"/>
  <c r="AP6" i="17" s="1"/>
  <c r="AJ4" i="17"/>
  <c r="AK13" i="17"/>
  <c r="AL13" i="17" s="1"/>
  <c r="AM13" i="17" s="1"/>
  <c r="AK10" i="17"/>
  <c r="AL10" i="17" s="1"/>
  <c r="AM10" i="17" s="1"/>
  <c r="AK7" i="17"/>
  <c r="AL7" i="17" s="1"/>
  <c r="AM7" i="17" s="1"/>
  <c r="AK3" i="17"/>
  <c r="AL3" i="17" s="1"/>
  <c r="AM3" i="17" s="1"/>
  <c r="AK12" i="17"/>
  <c r="AL12" i="17" s="1"/>
  <c r="AM12" i="17" s="1"/>
  <c r="AK11" i="17"/>
  <c r="AL11" i="17" s="1"/>
  <c r="AM11" i="17" s="1"/>
  <c r="AJ9" i="17"/>
  <c r="AP9" i="17" s="1"/>
  <c r="AK8" i="17"/>
  <c r="AL8" i="17" s="1"/>
  <c r="AM8" i="17" s="1"/>
  <c r="AK5" i="17"/>
  <c r="AL5" i="17" s="1"/>
  <c r="AM5" i="17" s="1"/>
  <c r="AK4" i="17"/>
  <c r="AL4" i="17" s="1"/>
  <c r="AM4" i="17" s="1"/>
  <c r="D2" i="17"/>
  <c r="AC6" i="17"/>
  <c r="AA6" i="17"/>
  <c r="AB6" i="17" s="1"/>
  <c r="AA3" i="17"/>
  <c r="AB3" i="17" s="1"/>
  <c r="AC3" i="17"/>
  <c r="AC8" i="17"/>
  <c r="AA8" i="17"/>
  <c r="AB8" i="17" s="1"/>
  <c r="AR4" i="17"/>
  <c r="AS4" i="17" s="1"/>
  <c r="AR12" i="17"/>
  <c r="AS12" i="17" s="1"/>
  <c r="AA2" i="17"/>
  <c r="AC2" i="17"/>
  <c r="AA7" i="17"/>
  <c r="AB7" i="17" s="1"/>
  <c r="AC7" i="17"/>
  <c r="AC11" i="17"/>
  <c r="AA11" i="17"/>
  <c r="AB11" i="17" s="1"/>
  <c r="V57" i="16"/>
  <c r="U57" i="16"/>
  <c r="T57" i="16"/>
  <c r="S57" i="16"/>
  <c r="R57" i="16"/>
  <c r="Q57" i="16"/>
  <c r="V56" i="16"/>
  <c r="U56" i="16"/>
  <c r="T56" i="16"/>
  <c r="S56" i="16"/>
  <c r="R56" i="16"/>
  <c r="Q56" i="16"/>
  <c r="J56" i="16"/>
  <c r="R51" i="16" s="1"/>
  <c r="J55" i="16"/>
  <c r="S51" i="16" s="1"/>
  <c r="J54" i="16"/>
  <c r="T51" i="16" s="1"/>
  <c r="V53" i="16"/>
  <c r="U53" i="16"/>
  <c r="T53" i="16"/>
  <c r="S53" i="16"/>
  <c r="R53" i="16"/>
  <c r="Q53" i="16"/>
  <c r="J53" i="16"/>
  <c r="U51" i="16" s="1"/>
  <c r="V52" i="16"/>
  <c r="U52" i="16"/>
  <c r="T52" i="16"/>
  <c r="S52" i="16"/>
  <c r="R52" i="16"/>
  <c r="Q52" i="16"/>
  <c r="J52" i="16"/>
  <c r="E50" i="16"/>
  <c r="I45" i="16"/>
  <c r="J57" i="16" s="1"/>
  <c r="Q37" i="16"/>
  <c r="Q35" i="16"/>
  <c r="Q34" i="16"/>
  <c r="C34" i="16"/>
  <c r="Z14" i="16" s="1"/>
  <c r="AA14" i="16" s="1"/>
  <c r="Q33" i="16"/>
  <c r="Q32" i="16"/>
  <c r="AH14" i="16" s="1"/>
  <c r="AI14" i="16" s="1"/>
  <c r="C32" i="16"/>
  <c r="C33" i="16" s="1"/>
  <c r="Q31" i="16"/>
  <c r="AZ37" i="16" s="1"/>
  <c r="BA37" i="16" s="1"/>
  <c r="J31" i="16"/>
  <c r="J30" i="16"/>
  <c r="J32" i="16" s="1"/>
  <c r="J33" i="16" s="1"/>
  <c r="J29" i="16"/>
  <c r="Q28" i="16"/>
  <c r="Q27" i="16"/>
  <c r="Q26" i="16"/>
  <c r="Q25" i="16"/>
  <c r="Q24" i="16"/>
  <c r="O14" i="16"/>
  <c r="Q14" i="16" s="1"/>
  <c r="N14" i="16"/>
  <c r="P14" i="16" s="1"/>
  <c r="L14" i="16"/>
  <c r="M14" i="16" s="1"/>
  <c r="K14" i="16"/>
  <c r="U14" i="16" s="1"/>
  <c r="C14" i="16"/>
  <c r="O13" i="16"/>
  <c r="Q13" i="16" s="1"/>
  <c r="N13" i="16"/>
  <c r="P13" i="16" s="1"/>
  <c r="R13" i="16" s="1"/>
  <c r="L13" i="16"/>
  <c r="T13" i="16" s="1"/>
  <c r="K13" i="16"/>
  <c r="U13" i="16" s="1"/>
  <c r="C13" i="16"/>
  <c r="O12" i="16"/>
  <c r="Q12" i="16" s="1"/>
  <c r="N12" i="16"/>
  <c r="P12" i="16" s="1"/>
  <c r="R12" i="16" s="1"/>
  <c r="L12" i="16"/>
  <c r="K12" i="16"/>
  <c r="U12" i="16" s="1"/>
  <c r="C12" i="16"/>
  <c r="AH11" i="16"/>
  <c r="AI11" i="16" s="1"/>
  <c r="O11" i="16"/>
  <c r="Q11" i="16" s="1"/>
  <c r="N11" i="16"/>
  <c r="P11" i="16" s="1"/>
  <c r="L11" i="16"/>
  <c r="M11" i="16" s="1"/>
  <c r="K11" i="16"/>
  <c r="U11" i="16" s="1"/>
  <c r="C11" i="16"/>
  <c r="O10" i="16"/>
  <c r="Q10" i="16" s="1"/>
  <c r="N10" i="16"/>
  <c r="P10" i="16" s="1"/>
  <c r="R10" i="16" s="1"/>
  <c r="L10" i="16"/>
  <c r="T10" i="16" s="1"/>
  <c r="K10" i="16"/>
  <c r="U10" i="16" s="1"/>
  <c r="C10" i="16"/>
  <c r="O9" i="16"/>
  <c r="Q9" i="16" s="1"/>
  <c r="N9" i="16"/>
  <c r="P9" i="16" s="1"/>
  <c r="R9" i="16" s="1"/>
  <c r="L9" i="16"/>
  <c r="M9" i="16" s="1"/>
  <c r="K9" i="16"/>
  <c r="U9" i="16" s="1"/>
  <c r="C9" i="16"/>
  <c r="O8" i="16"/>
  <c r="Q8" i="16" s="1"/>
  <c r="N8" i="16"/>
  <c r="P8" i="16" s="1"/>
  <c r="L8" i="16"/>
  <c r="M8" i="16" s="1"/>
  <c r="K8" i="16"/>
  <c r="U8" i="16" s="1"/>
  <c r="C8" i="16"/>
  <c r="O7" i="16"/>
  <c r="Q7" i="16" s="1"/>
  <c r="N7" i="16"/>
  <c r="P7" i="16" s="1"/>
  <c r="R7" i="16" s="1"/>
  <c r="L7" i="16"/>
  <c r="T7" i="16" s="1"/>
  <c r="K7" i="16"/>
  <c r="U7" i="16" s="1"/>
  <c r="C7" i="16"/>
  <c r="O6" i="16"/>
  <c r="Q6" i="16" s="1"/>
  <c r="N6" i="16"/>
  <c r="P6" i="16" s="1"/>
  <c r="L6" i="16"/>
  <c r="K6" i="16"/>
  <c r="U6" i="16" s="1"/>
  <c r="C6" i="16"/>
  <c r="U5" i="16"/>
  <c r="O5" i="16"/>
  <c r="Q5" i="16" s="1"/>
  <c r="AE5" i="16" s="1"/>
  <c r="N5" i="16"/>
  <c r="P5" i="16" s="1"/>
  <c r="R5" i="16" s="1"/>
  <c r="L5" i="16"/>
  <c r="M5" i="16" s="1"/>
  <c r="K5" i="16"/>
  <c r="C5" i="16"/>
  <c r="T4" i="16"/>
  <c r="O4" i="16"/>
  <c r="Q4" i="16" s="1"/>
  <c r="N4" i="16"/>
  <c r="P4" i="16" s="1"/>
  <c r="L4" i="16"/>
  <c r="M4" i="16" s="1"/>
  <c r="K4" i="16"/>
  <c r="U4" i="16" s="1"/>
  <c r="C4" i="16"/>
  <c r="O3" i="16"/>
  <c r="Q3" i="16" s="1"/>
  <c r="AE3" i="16" s="1"/>
  <c r="N3" i="16"/>
  <c r="P3" i="16" s="1"/>
  <c r="L3" i="16"/>
  <c r="M3" i="16" s="1"/>
  <c r="K3" i="16"/>
  <c r="U3" i="16" s="1"/>
  <c r="C3" i="16"/>
  <c r="AE2" i="16"/>
  <c r="S2" i="16"/>
  <c r="O2" i="16"/>
  <c r="N2" i="16"/>
  <c r="P2" i="16" s="1"/>
  <c r="R2" i="16" s="1"/>
  <c r="K2" i="16"/>
  <c r="U2" i="16" s="1"/>
  <c r="U1" i="16"/>
  <c r="AX4" i="13"/>
  <c r="AX3" i="13"/>
  <c r="AR10" i="17" l="1"/>
  <c r="AS10" i="17" s="1"/>
  <c r="AR6" i="17"/>
  <c r="AS6" i="17" s="1"/>
  <c r="AR9" i="17"/>
  <c r="AS9" i="17" s="1"/>
  <c r="AD3" i="17"/>
  <c r="AF3" i="17"/>
  <c r="AO11" i="17"/>
  <c r="AN11" i="17" s="1"/>
  <c r="AO13" i="17"/>
  <c r="AN13" i="17" s="1"/>
  <c r="AD4" i="17"/>
  <c r="AF4" i="17"/>
  <c r="AD10" i="17"/>
  <c r="AF10" i="17"/>
  <c r="AP13" i="17"/>
  <c r="AQ13" i="17" s="1"/>
  <c r="AF2" i="17"/>
  <c r="AD2" i="17"/>
  <c r="C2" i="17"/>
  <c r="L2" i="17"/>
  <c r="AH2" i="17"/>
  <c r="AI2" i="17" s="1"/>
  <c r="AQ9" i="17"/>
  <c r="AO9" i="17"/>
  <c r="AN9" i="17" s="1"/>
  <c r="AO4" i="17"/>
  <c r="AN4" i="17" s="1"/>
  <c r="AO12" i="17"/>
  <c r="AN12" i="17" s="1"/>
  <c r="AO7" i="17"/>
  <c r="AN7" i="17" s="1"/>
  <c r="AR7" i="17"/>
  <c r="AS7" i="17" s="1"/>
  <c r="AP11" i="17"/>
  <c r="AQ11" i="17" s="1"/>
  <c r="AD11" i="17"/>
  <c r="AF11" i="17"/>
  <c r="AQ6" i="17"/>
  <c r="AO6" i="17"/>
  <c r="AN6" i="17" s="1"/>
  <c r="AQ3" i="17"/>
  <c r="AO3" i="17"/>
  <c r="AR11" i="17"/>
  <c r="AS11" i="17" s="1"/>
  <c r="AD5" i="17"/>
  <c r="AF5" i="17"/>
  <c r="AP4" i="17"/>
  <c r="AQ4" i="17" s="1"/>
  <c r="AP7" i="17"/>
  <c r="AQ7" i="17" s="1"/>
  <c r="AP12" i="17"/>
  <c r="AQ12" i="17" s="1"/>
  <c r="AD7" i="17"/>
  <c r="AF7" i="17"/>
  <c r="AD8" i="17"/>
  <c r="AF8" i="17"/>
  <c r="Q44" i="17" s="1"/>
  <c r="AD6" i="17"/>
  <c r="AF6" i="17"/>
  <c r="AQ8" i="17"/>
  <c r="AO8" i="17"/>
  <c r="AN8" i="17" s="1"/>
  <c r="AO5" i="17"/>
  <c r="AN5" i="17" s="1"/>
  <c r="AO10" i="17"/>
  <c r="AN10" i="17" s="1"/>
  <c r="AR3" i="17"/>
  <c r="AD9" i="17"/>
  <c r="AF9" i="17"/>
  <c r="AR8" i="17"/>
  <c r="AS8" i="17" s="1"/>
  <c r="AP5" i="17"/>
  <c r="AQ5" i="17" s="1"/>
  <c r="AP10" i="17"/>
  <c r="AQ10" i="17" s="1"/>
  <c r="AR13" i="17"/>
  <c r="AS13" i="17" s="1"/>
  <c r="T5" i="16"/>
  <c r="M13" i="16"/>
  <c r="T3" i="16"/>
  <c r="W6" i="16"/>
  <c r="AE4" i="16"/>
  <c r="S4" i="16"/>
  <c r="AE8" i="16"/>
  <c r="S8" i="16"/>
  <c r="AE11" i="16"/>
  <c r="S11" i="16"/>
  <c r="W2" i="16"/>
  <c r="V2" i="16"/>
  <c r="AE12" i="16"/>
  <c r="S12" i="16"/>
  <c r="AE14" i="16"/>
  <c r="S14" i="16"/>
  <c r="AE6" i="16"/>
  <c r="S6" i="16"/>
  <c r="W9" i="16"/>
  <c r="AZ47" i="16"/>
  <c r="BA47" i="16" s="1"/>
  <c r="AZ44" i="16"/>
  <c r="BA44" i="16" s="1"/>
  <c r="AZ40" i="16"/>
  <c r="BA40" i="16" s="1"/>
  <c r="AZ36" i="16"/>
  <c r="BA36" i="16" s="1"/>
  <c r="V10" i="16"/>
  <c r="AZ43" i="16"/>
  <c r="BA43" i="16" s="1"/>
  <c r="AZ39" i="16"/>
  <c r="BA39" i="16" s="1"/>
  <c r="AZ35" i="16"/>
  <c r="BA35" i="16" s="1"/>
  <c r="V12" i="16"/>
  <c r="V5" i="16"/>
  <c r="V7" i="16"/>
  <c r="W5" i="16"/>
  <c r="X5" i="16" s="1"/>
  <c r="AZ46" i="16"/>
  <c r="BA46" i="16" s="1"/>
  <c r="AZ42" i="16"/>
  <c r="BA42" i="16" s="1"/>
  <c r="AZ38" i="16"/>
  <c r="BA38" i="16" s="1"/>
  <c r="AZ34" i="16"/>
  <c r="BA34" i="16" s="1"/>
  <c r="T9" i="16"/>
  <c r="V13" i="16"/>
  <c r="J34" i="16"/>
  <c r="J35" i="16" s="1"/>
  <c r="Q36" i="16" s="1"/>
  <c r="R6" i="16"/>
  <c r="M7" i="16"/>
  <c r="W7" i="16"/>
  <c r="X7" i="16" s="1"/>
  <c r="R8" i="16"/>
  <c r="T8" i="16"/>
  <c r="M10" i="16"/>
  <c r="W10" i="16"/>
  <c r="X10" i="16" s="1"/>
  <c r="R11" i="16"/>
  <c r="T11" i="16"/>
  <c r="R14" i="16"/>
  <c r="T14" i="16"/>
  <c r="AZ45" i="16"/>
  <c r="BA45" i="16" s="1"/>
  <c r="AZ41" i="16"/>
  <c r="BA41" i="16" s="1"/>
  <c r="AE7" i="16"/>
  <c r="S7" i="16"/>
  <c r="R43" i="16"/>
  <c r="Q43" i="16"/>
  <c r="R4" i="16"/>
  <c r="AB14" i="16"/>
  <c r="W14" i="16"/>
  <c r="X14" i="16" s="1"/>
  <c r="V14" i="16"/>
  <c r="T6" i="16"/>
  <c r="M6" i="16"/>
  <c r="R3" i="16"/>
  <c r="W13" i="16"/>
  <c r="X13" i="16" s="1"/>
  <c r="W11" i="16"/>
  <c r="X11" i="16" s="1"/>
  <c r="V11" i="16"/>
  <c r="W8" i="16"/>
  <c r="X8" i="16" s="1"/>
  <c r="V8" i="16"/>
  <c r="X6" i="16"/>
  <c r="W4" i="16"/>
  <c r="X4" i="16" s="1"/>
  <c r="V4" i="16"/>
  <c r="AE10" i="16"/>
  <c r="S10" i="16"/>
  <c r="T12" i="16"/>
  <c r="M12" i="16"/>
  <c r="S9" i="16"/>
  <c r="AE9" i="16"/>
  <c r="W3" i="16"/>
  <c r="X3" i="16" s="1"/>
  <c r="Y3" i="16" s="1"/>
  <c r="V3" i="16"/>
  <c r="X9" i="16"/>
  <c r="S3" i="16"/>
  <c r="S13" i="16"/>
  <c r="AE13" i="16"/>
  <c r="R41" i="16"/>
  <c r="S41" i="16"/>
  <c r="Q41" i="16"/>
  <c r="S5" i="16"/>
  <c r="Q44" i="16"/>
  <c r="J36" i="16"/>
  <c r="Q38" i="16"/>
  <c r="AH5" i="16"/>
  <c r="AI5" i="16" s="1"/>
  <c r="AH6" i="16"/>
  <c r="AI6" i="16" s="1"/>
  <c r="AH9" i="16"/>
  <c r="AI9" i="16" s="1"/>
  <c r="AH12" i="16"/>
  <c r="AI12" i="16" s="1"/>
  <c r="R44" i="16"/>
  <c r="AH7" i="16"/>
  <c r="AI7" i="16" s="1"/>
  <c r="W12" i="16"/>
  <c r="X12" i="16" s="1"/>
  <c r="Y12" i="16" s="1"/>
  <c r="AC14" i="16"/>
  <c r="AD14" i="16" s="1"/>
  <c r="V6" i="16"/>
  <c r="V9" i="16"/>
  <c r="AH10" i="16"/>
  <c r="AI10" i="16" s="1"/>
  <c r="AH3" i="16"/>
  <c r="AI3" i="16" s="1"/>
  <c r="AH13" i="16"/>
  <c r="AI13" i="16" s="1"/>
  <c r="AH4" i="16"/>
  <c r="AI4" i="16" s="1"/>
  <c r="AH8" i="16"/>
  <c r="AI8" i="16" s="1"/>
  <c r="K10" i="15"/>
  <c r="N10" i="15" s="1"/>
  <c r="K11" i="15"/>
  <c r="N11" i="15" s="1"/>
  <c r="K12" i="15"/>
  <c r="N12" i="15"/>
  <c r="K13" i="15"/>
  <c r="N13" i="15" s="1"/>
  <c r="Z6" i="15"/>
  <c r="AC6" i="15" s="1"/>
  <c r="Z7" i="15"/>
  <c r="AC7" i="15" s="1"/>
  <c r="Z8" i="15"/>
  <c r="AC8" i="15" s="1"/>
  <c r="Z9" i="15"/>
  <c r="Z10" i="15"/>
  <c r="AC10" i="15"/>
  <c r="Z11" i="15"/>
  <c r="AC11" i="15" s="1"/>
  <c r="Z12" i="15"/>
  <c r="AC12" i="15" s="1"/>
  <c r="AG8" i="17" l="1"/>
  <c r="Q43" i="17" s="1"/>
  <c r="AT12" i="17" s="1"/>
  <c r="AU12" i="17" s="1"/>
  <c r="AJ2" i="17"/>
  <c r="AO2" i="17" s="1"/>
  <c r="AK2" i="17"/>
  <c r="AL2" i="17" s="1"/>
  <c r="AM2" i="17" s="1"/>
  <c r="T2" i="17"/>
  <c r="M2" i="17"/>
  <c r="AD11" i="15"/>
  <c r="O13" i="15"/>
  <c r="BC42" i="16"/>
  <c r="AF14" i="16"/>
  <c r="Y4" i="16"/>
  <c r="K48" i="16" s="1"/>
  <c r="R42" i="16"/>
  <c r="AD12" i="15"/>
  <c r="O11" i="15"/>
  <c r="Y7" i="16"/>
  <c r="Y8" i="16"/>
  <c r="Y14" i="16"/>
  <c r="Y9" i="16"/>
  <c r="Y6" i="16"/>
  <c r="J41" i="16"/>
  <c r="J40" i="16"/>
  <c r="J43" i="16"/>
  <c r="Z12" i="16"/>
  <c r="Z6" i="16"/>
  <c r="Z2" i="16"/>
  <c r="Z9" i="16"/>
  <c r="Z5" i="16"/>
  <c r="Z11" i="16"/>
  <c r="Z4" i="16"/>
  <c r="Z8" i="16"/>
  <c r="Z3" i="16"/>
  <c r="Z13" i="16"/>
  <c r="Z10" i="16"/>
  <c r="Z7" i="16"/>
  <c r="J44" i="16"/>
  <c r="J45" i="16"/>
  <c r="Y11" i="16"/>
  <c r="L42" i="16"/>
  <c r="M42" i="16" s="1"/>
  <c r="Y13" i="16"/>
  <c r="Q42" i="16"/>
  <c r="Y5" i="16"/>
  <c r="J42" i="16"/>
  <c r="Y10" i="16"/>
  <c r="O12" i="15"/>
  <c r="AD7" i="15"/>
  <c r="AD8" i="15"/>
  <c r="AC9" i="15"/>
  <c r="AD9" i="15" s="1"/>
  <c r="AT10" i="17" l="1"/>
  <c r="AU10" i="17" s="1"/>
  <c r="AT9" i="17"/>
  <c r="AU9" i="17" s="1"/>
  <c r="AT11" i="17"/>
  <c r="AU11" i="17" s="1"/>
  <c r="AT7" i="17"/>
  <c r="AU7" i="17" s="1"/>
  <c r="AT8" i="17"/>
  <c r="AU8" i="17" s="1"/>
  <c r="AT6" i="17"/>
  <c r="AU6" i="17" s="1"/>
  <c r="AD10" i="15"/>
  <c r="J48" i="16"/>
  <c r="AC8" i="16"/>
  <c r="AA8" i="16"/>
  <c r="AB8" i="16" s="1"/>
  <c r="AC11" i="16"/>
  <c r="AA11" i="16"/>
  <c r="AB11" i="16" s="1"/>
  <c r="AA6" i="16"/>
  <c r="AB6" i="16" s="1"/>
  <c r="AC6" i="16"/>
  <c r="AA9" i="16"/>
  <c r="AB9" i="16" s="1"/>
  <c r="AC9" i="16"/>
  <c r="AA2" i="16"/>
  <c r="AC2" i="16"/>
  <c r="AA12" i="16"/>
  <c r="AB12" i="16" s="1"/>
  <c r="AC12" i="16"/>
  <c r="AC3" i="16"/>
  <c r="AA3" i="16"/>
  <c r="AB3" i="16" s="1"/>
  <c r="AC5" i="16"/>
  <c r="AA5" i="16"/>
  <c r="AB5" i="16" s="1"/>
  <c r="AC13" i="16"/>
  <c r="AA13" i="16"/>
  <c r="AB13" i="16" s="1"/>
  <c r="AC4" i="16"/>
  <c r="AA4" i="16"/>
  <c r="AB4" i="16" s="1"/>
  <c r="L48" i="16"/>
  <c r="AK6" i="16"/>
  <c r="AL6" i="16" s="1"/>
  <c r="AM6" i="16" s="1"/>
  <c r="AK13" i="16"/>
  <c r="AL13" i="16" s="1"/>
  <c r="AM13" i="16" s="1"/>
  <c r="AK10" i="16"/>
  <c r="AL10" i="16" s="1"/>
  <c r="AM10" i="16" s="1"/>
  <c r="AK7" i="16"/>
  <c r="AL7" i="16" s="1"/>
  <c r="AM7" i="16" s="1"/>
  <c r="D2" i="16"/>
  <c r="AJ13" i="16"/>
  <c r="AJ10" i="16"/>
  <c r="AJ7" i="16"/>
  <c r="AK12" i="16"/>
  <c r="AL12" i="16" s="1"/>
  <c r="AM12" i="16" s="1"/>
  <c r="AK9" i="16"/>
  <c r="AL9" i="16" s="1"/>
  <c r="AM9" i="16" s="1"/>
  <c r="AJ12" i="16"/>
  <c r="AJ9" i="16"/>
  <c r="AJ6" i="16"/>
  <c r="AK5" i="16"/>
  <c r="AL5" i="16" s="1"/>
  <c r="AM5" i="16" s="1"/>
  <c r="AJ5" i="16"/>
  <c r="AK4" i="16"/>
  <c r="AL4" i="16" s="1"/>
  <c r="AM4" i="16" s="1"/>
  <c r="AJ14" i="16"/>
  <c r="AJ8" i="16"/>
  <c r="AK3" i="16"/>
  <c r="AL3" i="16" s="1"/>
  <c r="AM3" i="16" s="1"/>
  <c r="AK11" i="16"/>
  <c r="AL11" i="16" s="1"/>
  <c r="AM11" i="16" s="1"/>
  <c r="AK14" i="16"/>
  <c r="AL14" i="16" s="1"/>
  <c r="AM14" i="16" s="1"/>
  <c r="AJ11" i="16"/>
  <c r="AK8" i="16"/>
  <c r="AL8" i="16" s="1"/>
  <c r="AM8" i="16" s="1"/>
  <c r="AJ4" i="16"/>
  <c r="AJ3" i="16"/>
  <c r="AC7" i="16"/>
  <c r="AA7" i="16"/>
  <c r="AB7" i="16" s="1"/>
  <c r="AC10" i="16"/>
  <c r="AA10" i="16"/>
  <c r="AB10" i="16" s="1"/>
  <c r="AV12" i="14"/>
  <c r="O12" i="14"/>
  <c r="Q12" i="14" s="1"/>
  <c r="AE12" i="14" s="1"/>
  <c r="N12" i="14"/>
  <c r="P12" i="14" s="1"/>
  <c r="L12" i="14"/>
  <c r="T12" i="14" s="1"/>
  <c r="K12" i="14"/>
  <c r="U12" i="14" s="1"/>
  <c r="C12" i="14"/>
  <c r="AP3" i="16" l="1"/>
  <c r="AP6" i="16"/>
  <c r="AQ6" i="16" s="1"/>
  <c r="AP9" i="16"/>
  <c r="AP13" i="16"/>
  <c r="AO5" i="16"/>
  <c r="AN5" i="16" s="1"/>
  <c r="AD10" i="16"/>
  <c r="AF10" i="16"/>
  <c r="AP7" i="16"/>
  <c r="AR8" i="16"/>
  <c r="AS8" i="16" s="1"/>
  <c r="AD11" i="16"/>
  <c r="AF11" i="16"/>
  <c r="AO10" i="16"/>
  <c r="AN10" i="16" s="1"/>
  <c r="AD8" i="16"/>
  <c r="AF8" i="16"/>
  <c r="AD5" i="16"/>
  <c r="AF5" i="16"/>
  <c r="AO11" i="16"/>
  <c r="AN11" i="16" s="1"/>
  <c r="AR4" i="16"/>
  <c r="AS4" i="16" s="1"/>
  <c r="AR11" i="16"/>
  <c r="AS11" i="16" s="1"/>
  <c r="AR6" i="16"/>
  <c r="AS6" i="16" s="1"/>
  <c r="AR3" i="16"/>
  <c r="AO12" i="16"/>
  <c r="AN12" i="16" s="1"/>
  <c r="AO4" i="16"/>
  <c r="AN4" i="16" s="1"/>
  <c r="AR14" i="16"/>
  <c r="AS14" i="16" s="1"/>
  <c r="AD3" i="16"/>
  <c r="AF3" i="16"/>
  <c r="AR5" i="16"/>
  <c r="AS5" i="16" s="1"/>
  <c r="L2" i="16"/>
  <c r="C2" i="16"/>
  <c r="AH2" i="16"/>
  <c r="AI2" i="16" s="1"/>
  <c r="AR9" i="16"/>
  <c r="AS9" i="16" s="1"/>
  <c r="AD9" i="16"/>
  <c r="AF9" i="16"/>
  <c r="AG9" i="16" s="1"/>
  <c r="AQ9" i="16"/>
  <c r="AO9" i="16"/>
  <c r="AN9" i="16" s="1"/>
  <c r="AP10" i="16"/>
  <c r="AQ10" i="16" s="1"/>
  <c r="AP4" i="16"/>
  <c r="AQ4" i="16" s="1"/>
  <c r="AQ7" i="16"/>
  <c r="AO7" i="16"/>
  <c r="AN7" i="16" s="1"/>
  <c r="AP14" i="16"/>
  <c r="AQ14" i="16" s="1"/>
  <c r="AR12" i="16"/>
  <c r="AS12" i="16" s="1"/>
  <c r="AP12" i="16"/>
  <c r="AQ12" i="16" s="1"/>
  <c r="AR13" i="16"/>
  <c r="AS13" i="16" s="1"/>
  <c r="AR10" i="16"/>
  <c r="AS10" i="16" s="1"/>
  <c r="AP8" i="16"/>
  <c r="AQ8" i="16" s="1"/>
  <c r="AD6" i="16"/>
  <c r="AF6" i="16"/>
  <c r="AP11" i="16"/>
  <c r="AQ11" i="16" s="1"/>
  <c r="AD13" i="16"/>
  <c r="AF13" i="16"/>
  <c r="AR7" i="16"/>
  <c r="AS7" i="16" s="1"/>
  <c r="AO6" i="16"/>
  <c r="AN6" i="16" s="1"/>
  <c r="AD7" i="16"/>
  <c r="AF7" i="16"/>
  <c r="AQ3" i="16"/>
  <c r="AO3" i="16"/>
  <c r="AD12" i="16"/>
  <c r="AF12" i="16"/>
  <c r="AF2" i="16"/>
  <c r="AD2" i="16"/>
  <c r="AQ13" i="16"/>
  <c r="AO13" i="16"/>
  <c r="AN13" i="16" s="1"/>
  <c r="AO8" i="16"/>
  <c r="AN8" i="16" s="1"/>
  <c r="AO14" i="16"/>
  <c r="AN14" i="16" s="1"/>
  <c r="AD4" i="16"/>
  <c r="AF4" i="16"/>
  <c r="AP5" i="16"/>
  <c r="AQ5" i="16" s="1"/>
  <c r="M12" i="14"/>
  <c r="Z3" i="15"/>
  <c r="AE69" i="15" s="1"/>
  <c r="Z4" i="15"/>
  <c r="AE70" i="15" s="1"/>
  <c r="Z5" i="15"/>
  <c r="AE71" i="15" s="1"/>
  <c r="AE72" i="15"/>
  <c r="AE73" i="15"/>
  <c r="AE74" i="15"/>
  <c r="AE75" i="15"/>
  <c r="AE76" i="15"/>
  <c r="AE77" i="15"/>
  <c r="AE78" i="15"/>
  <c r="AE79" i="15"/>
  <c r="AE80" i="15"/>
  <c r="U3" i="15"/>
  <c r="AE56" i="15" s="1"/>
  <c r="U4" i="15"/>
  <c r="AE57" i="15" s="1"/>
  <c r="U5" i="15"/>
  <c r="AE58" i="15" s="1"/>
  <c r="U6" i="15"/>
  <c r="AE59" i="15" s="1"/>
  <c r="U7" i="15"/>
  <c r="AE60" i="15" s="1"/>
  <c r="U8" i="15"/>
  <c r="AE61" i="15" s="1"/>
  <c r="U9" i="15"/>
  <c r="AE62" i="15" s="1"/>
  <c r="U10" i="15"/>
  <c r="AE63" i="15" s="1"/>
  <c r="U11" i="15"/>
  <c r="AE64" i="15" s="1"/>
  <c r="U12" i="15"/>
  <c r="AE65" i="15" s="1"/>
  <c r="U13" i="15"/>
  <c r="AE66" i="15" s="1"/>
  <c r="U14" i="15"/>
  <c r="AE67" i="15" s="1"/>
  <c r="P3" i="15"/>
  <c r="AE44" i="15" s="1"/>
  <c r="P4" i="15"/>
  <c r="AE45" i="15" s="1"/>
  <c r="P5" i="15"/>
  <c r="AE46" i="15" s="1"/>
  <c r="P6" i="15"/>
  <c r="AE47" i="15" s="1"/>
  <c r="P7" i="15"/>
  <c r="AE48" i="15" s="1"/>
  <c r="P8" i="15"/>
  <c r="AE49" i="15" s="1"/>
  <c r="P9" i="15"/>
  <c r="AE50" i="15" s="1"/>
  <c r="P10" i="15"/>
  <c r="AE51" i="15" s="1"/>
  <c r="P11" i="15"/>
  <c r="AE52" i="15" s="1"/>
  <c r="P12" i="15"/>
  <c r="AE53" i="15" s="1"/>
  <c r="P13" i="15"/>
  <c r="AE54" i="15" s="1"/>
  <c r="K3" i="15"/>
  <c r="AE31" i="15" s="1"/>
  <c r="K4" i="15"/>
  <c r="AE32" i="15" s="1"/>
  <c r="K5" i="15"/>
  <c r="AE33" i="15" s="1"/>
  <c r="K6" i="15"/>
  <c r="AE34" i="15" s="1"/>
  <c r="K7" i="15"/>
  <c r="AE35" i="15" s="1"/>
  <c r="K8" i="15"/>
  <c r="AE36" i="15" s="1"/>
  <c r="K9" i="15"/>
  <c r="AE37" i="15" s="1"/>
  <c r="AE38" i="15"/>
  <c r="AE39" i="15"/>
  <c r="AE40" i="15"/>
  <c r="AE41" i="15"/>
  <c r="AE42" i="15"/>
  <c r="F12" i="15"/>
  <c r="AE29" i="15" s="1"/>
  <c r="F11" i="15"/>
  <c r="AE28" i="15" s="1"/>
  <c r="F10" i="15"/>
  <c r="AE27" i="15" s="1"/>
  <c r="F9" i="15"/>
  <c r="AE26" i="15" s="1"/>
  <c r="F8" i="15"/>
  <c r="AE25" i="15" s="1"/>
  <c r="F7" i="15"/>
  <c r="AE24" i="15" s="1"/>
  <c r="F6" i="15"/>
  <c r="AE23" i="15" s="1"/>
  <c r="F5" i="15"/>
  <c r="AE22" i="15" s="1"/>
  <c r="F4" i="15"/>
  <c r="AE21" i="15" s="1"/>
  <c r="F3" i="15"/>
  <c r="AE20" i="15" s="1"/>
  <c r="A18" i="15"/>
  <c r="AE18" i="15" s="1"/>
  <c r="A17" i="15"/>
  <c r="AE17" i="15" s="1"/>
  <c r="A16" i="15"/>
  <c r="AE16" i="15" s="1"/>
  <c r="A15" i="15"/>
  <c r="AE15" i="15" s="1"/>
  <c r="A14" i="15"/>
  <c r="AE14" i="15" s="1"/>
  <c r="A13" i="15"/>
  <c r="AE13" i="15" s="1"/>
  <c r="A12" i="15"/>
  <c r="AE12" i="15" s="1"/>
  <c r="A11" i="15"/>
  <c r="AE11" i="15" s="1"/>
  <c r="A10" i="15"/>
  <c r="AE10" i="15" s="1"/>
  <c r="A9" i="15"/>
  <c r="AE9" i="15" s="1"/>
  <c r="A8" i="15"/>
  <c r="AE8" i="15" s="1"/>
  <c r="A7" i="15"/>
  <c r="AE7" i="15" s="1"/>
  <c r="A6" i="15"/>
  <c r="AE6" i="15" s="1"/>
  <c r="A5" i="15"/>
  <c r="AE5" i="15" s="1"/>
  <c r="A4" i="15"/>
  <c r="AE4" i="15" s="1"/>
  <c r="A3" i="15"/>
  <c r="AE3" i="15" s="1"/>
  <c r="AJ2" i="16" l="1"/>
  <c r="AO2" i="16" s="1"/>
  <c r="AK2" i="16"/>
  <c r="AL2" i="16" s="1"/>
  <c r="AM2" i="16" s="1"/>
  <c r="T2" i="16"/>
  <c r="M2" i="16"/>
  <c r="AG11" i="16"/>
  <c r="AC5" i="15"/>
  <c r="AD6" i="15" s="1"/>
  <c r="AC3" i="15"/>
  <c r="X8" i="15"/>
  <c r="X10" i="15"/>
  <c r="AC4" i="15"/>
  <c r="X4" i="15"/>
  <c r="X12" i="15"/>
  <c r="X6" i="15"/>
  <c r="X14" i="15"/>
  <c r="X3" i="15"/>
  <c r="X5" i="15"/>
  <c r="Y5" i="15" s="1"/>
  <c r="X7" i="15"/>
  <c r="X9" i="15"/>
  <c r="Y9" i="15" s="1"/>
  <c r="X11" i="15"/>
  <c r="X13" i="15"/>
  <c r="S5" i="15"/>
  <c r="S9" i="15"/>
  <c r="S3" i="15"/>
  <c r="S7" i="15"/>
  <c r="S11" i="15"/>
  <c r="S13" i="15"/>
  <c r="S4" i="15"/>
  <c r="S6" i="15"/>
  <c r="S8" i="15"/>
  <c r="S10" i="15"/>
  <c r="S12" i="15"/>
  <c r="I9" i="15"/>
  <c r="N5" i="15"/>
  <c r="N7" i="15"/>
  <c r="N9" i="15"/>
  <c r="O10" i="15" s="1"/>
  <c r="I3" i="15"/>
  <c r="I11" i="15"/>
  <c r="N3" i="15"/>
  <c r="I5" i="15"/>
  <c r="N4" i="15"/>
  <c r="N6" i="15"/>
  <c r="O6" i="15" s="1"/>
  <c r="N8" i="15"/>
  <c r="I7" i="15"/>
  <c r="D4" i="15"/>
  <c r="D16" i="15"/>
  <c r="I4" i="15"/>
  <c r="I6" i="15"/>
  <c r="I8" i="15"/>
  <c r="J8" i="15" s="1"/>
  <c r="I10" i="15"/>
  <c r="I12" i="15"/>
  <c r="D8" i="15"/>
  <c r="D12" i="15"/>
  <c r="D17" i="15"/>
  <c r="D13" i="15"/>
  <c r="D9" i="15"/>
  <c r="E9" i="15" s="1"/>
  <c r="D5" i="15"/>
  <c r="D15" i="15"/>
  <c r="D11" i="15"/>
  <c r="D7" i="15"/>
  <c r="D3" i="15"/>
  <c r="D18" i="15"/>
  <c r="D14" i="15"/>
  <c r="D10" i="15"/>
  <c r="D6" i="15"/>
  <c r="T6" i="15" l="1"/>
  <c r="Y11" i="15"/>
  <c r="AT5" i="16"/>
  <c r="AU5" i="16" s="1"/>
  <c r="AT4" i="16"/>
  <c r="AU4" i="16" s="1"/>
  <c r="AT11" i="16"/>
  <c r="AU11" i="16" s="1"/>
  <c r="AT8" i="16"/>
  <c r="AU8" i="16" s="1"/>
  <c r="AT14" i="16"/>
  <c r="AU14" i="16" s="1"/>
  <c r="AT12" i="16"/>
  <c r="AU12" i="16" s="1"/>
  <c r="AT13" i="16"/>
  <c r="AU13" i="16" s="1"/>
  <c r="AT10" i="16"/>
  <c r="AU10" i="16" s="1"/>
  <c r="AT7" i="16"/>
  <c r="AU7" i="16" s="1"/>
  <c r="AT9" i="16"/>
  <c r="AU9" i="16" s="1"/>
  <c r="AT6" i="16"/>
  <c r="AU6" i="16" s="1"/>
  <c r="AD4" i="15"/>
  <c r="Y13" i="15"/>
  <c r="AD5" i="15"/>
  <c r="Y12" i="15"/>
  <c r="Y7" i="15"/>
  <c r="O7" i="15"/>
  <c r="T10" i="15"/>
  <c r="Y4" i="15"/>
  <c r="J7" i="15"/>
  <c r="T8" i="15"/>
  <c r="T13" i="15"/>
  <c r="Y14" i="15"/>
  <c r="Y10" i="15"/>
  <c r="E10" i="15"/>
  <c r="E7" i="15"/>
  <c r="E5" i="15"/>
  <c r="E12" i="15"/>
  <c r="T5" i="15"/>
  <c r="Y6" i="15"/>
  <c r="Y8" i="15"/>
  <c r="J10" i="15"/>
  <c r="T9" i="15"/>
  <c r="T11" i="15"/>
  <c r="J6" i="15"/>
  <c r="O4" i="15"/>
  <c r="O9" i="15"/>
  <c r="T12" i="15"/>
  <c r="T4" i="15"/>
  <c r="T7" i="15"/>
  <c r="O8" i="15"/>
  <c r="O5" i="15"/>
  <c r="E18" i="15"/>
  <c r="E15" i="15"/>
  <c r="E13" i="15"/>
  <c r="J12" i="15"/>
  <c r="J4" i="15"/>
  <c r="J11" i="15"/>
  <c r="E16" i="15"/>
  <c r="J5" i="15"/>
  <c r="E14" i="15"/>
  <c r="E11" i="15"/>
  <c r="E8" i="15"/>
  <c r="E4" i="15"/>
  <c r="E6" i="15"/>
  <c r="E17" i="15"/>
  <c r="J9" i="15"/>
  <c r="V56" i="14" l="1"/>
  <c r="U56" i="14"/>
  <c r="T56" i="14"/>
  <c r="S56" i="14"/>
  <c r="R56" i="14"/>
  <c r="Q56" i="14"/>
  <c r="V55" i="14"/>
  <c r="U55" i="14"/>
  <c r="T55" i="14"/>
  <c r="S55" i="14"/>
  <c r="R55" i="14"/>
  <c r="Q55" i="14"/>
  <c r="J54" i="14"/>
  <c r="S50" i="14" s="1"/>
  <c r="J53" i="14"/>
  <c r="T50" i="14" s="1"/>
  <c r="V52" i="14"/>
  <c r="U52" i="14"/>
  <c r="T52" i="14"/>
  <c r="S52" i="14"/>
  <c r="R52" i="14"/>
  <c r="Q52" i="14"/>
  <c r="V51" i="14"/>
  <c r="U51" i="14"/>
  <c r="T51" i="14"/>
  <c r="S51" i="14"/>
  <c r="R51" i="14"/>
  <c r="Q51" i="14"/>
  <c r="E49" i="14"/>
  <c r="I44" i="14"/>
  <c r="J55" i="14" s="1"/>
  <c r="R50" i="14" s="1"/>
  <c r="I39" i="14"/>
  <c r="J52" i="14" s="1"/>
  <c r="U50" i="14" s="1"/>
  <c r="Q36" i="14"/>
  <c r="Q34" i="14"/>
  <c r="Q33" i="14"/>
  <c r="C33" i="14"/>
  <c r="Z13" i="14" s="1"/>
  <c r="Q32" i="14"/>
  <c r="Q31" i="14"/>
  <c r="C31" i="14"/>
  <c r="C32" i="14" s="1"/>
  <c r="Q30" i="14"/>
  <c r="J30" i="14"/>
  <c r="J29" i="14"/>
  <c r="J31" i="14" s="1"/>
  <c r="J32" i="14" s="1"/>
  <c r="J28" i="14"/>
  <c r="Q27" i="14"/>
  <c r="Q26" i="14"/>
  <c r="Q25" i="14"/>
  <c r="Q24" i="14"/>
  <c r="Q23" i="14"/>
  <c r="AV13" i="14"/>
  <c r="O13" i="14"/>
  <c r="Q13" i="14" s="1"/>
  <c r="AE13" i="14" s="1"/>
  <c r="N13" i="14"/>
  <c r="P13" i="14" s="1"/>
  <c r="L13" i="14"/>
  <c r="T13" i="14" s="1"/>
  <c r="K13" i="14"/>
  <c r="U13" i="14" s="1"/>
  <c r="C13" i="14"/>
  <c r="AV11" i="14"/>
  <c r="O11" i="14"/>
  <c r="Q11" i="14" s="1"/>
  <c r="AE11" i="14" s="1"/>
  <c r="N11" i="14"/>
  <c r="P11" i="14" s="1"/>
  <c r="G11" i="15" s="1"/>
  <c r="L11" i="14"/>
  <c r="K11" i="14"/>
  <c r="U11" i="14" s="1"/>
  <c r="C11" i="14"/>
  <c r="AV10" i="14"/>
  <c r="O10" i="14"/>
  <c r="Q10" i="14" s="1"/>
  <c r="N10" i="14"/>
  <c r="P10" i="14" s="1"/>
  <c r="L10" i="14"/>
  <c r="M10" i="14" s="1"/>
  <c r="K10" i="14"/>
  <c r="U10" i="14" s="1"/>
  <c r="C10" i="14"/>
  <c r="AV9" i="14"/>
  <c r="O9" i="14"/>
  <c r="Q9" i="14" s="1"/>
  <c r="AE9" i="14" s="1"/>
  <c r="N9" i="14"/>
  <c r="P9" i="14" s="1"/>
  <c r="G9" i="15" s="1"/>
  <c r="L9" i="14"/>
  <c r="K9" i="14"/>
  <c r="U9" i="14" s="1"/>
  <c r="C9" i="14"/>
  <c r="AV8" i="14"/>
  <c r="O8" i="14"/>
  <c r="Q8" i="14" s="1"/>
  <c r="N8" i="14"/>
  <c r="P8" i="14" s="1"/>
  <c r="G8" i="15" s="1"/>
  <c r="L8" i="14"/>
  <c r="M8" i="14" s="1"/>
  <c r="K8" i="14"/>
  <c r="U8" i="14" s="1"/>
  <c r="C8" i="14"/>
  <c r="AV7" i="14"/>
  <c r="O7" i="14"/>
  <c r="Q7" i="14" s="1"/>
  <c r="AE7" i="14" s="1"/>
  <c r="N7" i="14"/>
  <c r="P7" i="14" s="1"/>
  <c r="G7" i="15" s="1"/>
  <c r="L7" i="14"/>
  <c r="K7" i="14"/>
  <c r="U7" i="14" s="1"/>
  <c r="C7" i="14"/>
  <c r="AV6" i="14"/>
  <c r="O6" i="14"/>
  <c r="Q6" i="14" s="1"/>
  <c r="N6" i="14"/>
  <c r="P6" i="14" s="1"/>
  <c r="L6" i="14"/>
  <c r="M6" i="14" s="1"/>
  <c r="K6" i="14"/>
  <c r="U6" i="14" s="1"/>
  <c r="C6" i="14"/>
  <c r="AV5" i="14"/>
  <c r="O5" i="14"/>
  <c r="Q5" i="14" s="1"/>
  <c r="S5" i="14" s="1"/>
  <c r="N5" i="14"/>
  <c r="P5" i="14" s="1"/>
  <c r="L5" i="14"/>
  <c r="K5" i="14"/>
  <c r="U5" i="14" s="1"/>
  <c r="C5" i="14"/>
  <c r="AV4" i="14"/>
  <c r="O4" i="14"/>
  <c r="Q4" i="14" s="1"/>
  <c r="N4" i="14"/>
  <c r="P4" i="14" s="1"/>
  <c r="G4" i="15" s="1"/>
  <c r="L4" i="14"/>
  <c r="M4" i="14" s="1"/>
  <c r="K4" i="14"/>
  <c r="U4" i="14" s="1"/>
  <c r="C4" i="14"/>
  <c r="AV3" i="14"/>
  <c r="O3" i="14"/>
  <c r="Q3" i="14" s="1"/>
  <c r="N3" i="14"/>
  <c r="P3" i="14" s="1"/>
  <c r="G3" i="15" s="1"/>
  <c r="L3" i="14"/>
  <c r="T3" i="14" s="1"/>
  <c r="K3" i="14"/>
  <c r="U3" i="14" s="1"/>
  <c r="C3" i="14"/>
  <c r="AV2" i="14"/>
  <c r="AE2" i="14"/>
  <c r="O2" i="14"/>
  <c r="N2" i="14"/>
  <c r="P2" i="14" s="1"/>
  <c r="K2" i="14"/>
  <c r="U2" i="14" s="1"/>
  <c r="AV1" i="14"/>
  <c r="U1" i="14"/>
  <c r="AH12" i="14" l="1"/>
  <c r="AI12" i="14" s="1"/>
  <c r="AE5" i="14"/>
  <c r="Q43" i="14"/>
  <c r="R43" i="14"/>
  <c r="AH11" i="14"/>
  <c r="AI11" i="14" s="1"/>
  <c r="S12" i="14"/>
  <c r="R12" i="14"/>
  <c r="G5" i="15"/>
  <c r="AF22" i="15" s="1"/>
  <c r="R42" i="14"/>
  <c r="Q42" i="14"/>
  <c r="W2" i="14"/>
  <c r="W12" i="14"/>
  <c r="X12" i="14" s="1"/>
  <c r="V12" i="14"/>
  <c r="Q40" i="14"/>
  <c r="R11" i="14"/>
  <c r="R6" i="14"/>
  <c r="G6" i="15"/>
  <c r="M3" i="14"/>
  <c r="H5" i="15"/>
  <c r="R2" i="14"/>
  <c r="G2" i="15"/>
  <c r="AF19" i="15" s="1"/>
  <c r="AF20" i="15"/>
  <c r="AF25" i="15"/>
  <c r="H8" i="15"/>
  <c r="AF28" i="15"/>
  <c r="J51" i="14"/>
  <c r="R10" i="14"/>
  <c r="G10" i="15"/>
  <c r="AF21" i="15"/>
  <c r="H4" i="15"/>
  <c r="AF24" i="15"/>
  <c r="H7" i="15"/>
  <c r="T8" i="14"/>
  <c r="R13" i="14"/>
  <c r="G12" i="15"/>
  <c r="AF26" i="15"/>
  <c r="H9" i="15"/>
  <c r="W3" i="14"/>
  <c r="X3" i="14" s="1"/>
  <c r="Y3" i="14" s="1"/>
  <c r="V5" i="14"/>
  <c r="T10" i="14"/>
  <c r="S2" i="14"/>
  <c r="AH5" i="14"/>
  <c r="AI5" i="14" s="1"/>
  <c r="S7" i="14"/>
  <c r="W9" i="14"/>
  <c r="X9" i="14" s="1"/>
  <c r="R5" i="14"/>
  <c r="AH6" i="14"/>
  <c r="AI6" i="14" s="1"/>
  <c r="R8" i="14"/>
  <c r="AH8" i="14"/>
  <c r="AI8" i="14" s="1"/>
  <c r="AH10" i="14"/>
  <c r="AI10" i="14" s="1"/>
  <c r="S11" i="14"/>
  <c r="W4" i="14"/>
  <c r="X4" i="14" s="1"/>
  <c r="AH3" i="14"/>
  <c r="AI3" i="14" s="1"/>
  <c r="AH4" i="14"/>
  <c r="AI4" i="14" s="1"/>
  <c r="R7" i="14"/>
  <c r="R9" i="14"/>
  <c r="S9" i="14"/>
  <c r="V3" i="14"/>
  <c r="T4" i="14"/>
  <c r="T6" i="14"/>
  <c r="R40" i="14"/>
  <c r="S40" i="14"/>
  <c r="AE4" i="14"/>
  <c r="W7" i="14"/>
  <c r="X7" i="14" s="1"/>
  <c r="M9" i="14"/>
  <c r="T9" i="14"/>
  <c r="V11" i="14"/>
  <c r="M5" i="14"/>
  <c r="T5" i="14"/>
  <c r="M11" i="14"/>
  <c r="T11" i="14"/>
  <c r="V13" i="14"/>
  <c r="W13" i="14"/>
  <c r="X13" i="14" s="1"/>
  <c r="S3" i="14"/>
  <c r="AE3" i="14"/>
  <c r="V4" i="14"/>
  <c r="R4" i="14"/>
  <c r="W5" i="14"/>
  <c r="X5" i="14" s="1"/>
  <c r="V7" i="14"/>
  <c r="V8" i="14"/>
  <c r="W11" i="14"/>
  <c r="X11" i="14" s="1"/>
  <c r="S13" i="14"/>
  <c r="V2" i="14"/>
  <c r="R3" i="14"/>
  <c r="S4" i="14"/>
  <c r="M7" i="14"/>
  <c r="T7" i="14"/>
  <c r="V9" i="14"/>
  <c r="W6" i="14"/>
  <c r="X6" i="14" s="1"/>
  <c r="W10" i="14"/>
  <c r="X10" i="14" s="1"/>
  <c r="J33" i="14"/>
  <c r="J34" i="14" s="1"/>
  <c r="V6" i="14"/>
  <c r="AE10" i="14"/>
  <c r="S10" i="14"/>
  <c r="V10" i="14"/>
  <c r="AH9" i="14"/>
  <c r="AI9" i="14" s="1"/>
  <c r="AH7" i="14"/>
  <c r="AI7" i="14" s="1"/>
  <c r="W8" i="14"/>
  <c r="X8" i="14" s="1"/>
  <c r="AE6" i="14"/>
  <c r="S6" i="14"/>
  <c r="AE8" i="14"/>
  <c r="S8" i="14"/>
  <c r="M13" i="14"/>
  <c r="AH13" i="14"/>
  <c r="AI13" i="14" s="1"/>
  <c r="J56" i="14"/>
  <c r="A19" i="4"/>
  <c r="Y12" i="14" l="1"/>
  <c r="Y11" i="14"/>
  <c r="Y10" i="14"/>
  <c r="AF27" i="15"/>
  <c r="H10" i="15"/>
  <c r="AF29" i="15"/>
  <c r="H12" i="15"/>
  <c r="AF23" i="15"/>
  <c r="H6" i="15"/>
  <c r="H11" i="15"/>
  <c r="Y8" i="14"/>
  <c r="Y5" i="14"/>
  <c r="R41" i="14"/>
  <c r="J41" i="14"/>
  <c r="J44" i="14"/>
  <c r="Q41" i="14"/>
  <c r="J40" i="14"/>
  <c r="Y6" i="14"/>
  <c r="J43" i="14"/>
  <c r="Y13" i="14"/>
  <c r="Y9" i="14"/>
  <c r="Y7" i="14"/>
  <c r="J35" i="14"/>
  <c r="Q35" i="14"/>
  <c r="J42" i="14"/>
  <c r="J39" i="14"/>
  <c r="Y4" i="14"/>
  <c r="AJ12" i="14" l="1"/>
  <c r="AK12" i="14"/>
  <c r="AL12" i="14" s="1"/>
  <c r="AM12" i="14" s="1"/>
  <c r="K47" i="14"/>
  <c r="L47" i="14"/>
  <c r="L41" i="14"/>
  <c r="M41" i="14" s="1"/>
  <c r="AK11" i="14"/>
  <c r="AL11" i="14" s="1"/>
  <c r="AM11" i="14" s="1"/>
  <c r="AJ10" i="14"/>
  <c r="AJ8" i="14"/>
  <c r="AJ6" i="14"/>
  <c r="AJ5" i="14"/>
  <c r="AK13" i="14"/>
  <c r="AL13" i="14" s="1"/>
  <c r="AM13" i="14" s="1"/>
  <c r="AK5" i="14"/>
  <c r="AL5" i="14" s="1"/>
  <c r="AM5" i="14" s="1"/>
  <c r="AK3" i="14"/>
  <c r="AL3" i="14" s="1"/>
  <c r="AM3" i="14" s="1"/>
  <c r="AJ3" i="14"/>
  <c r="AJ7" i="14"/>
  <c r="AJ11" i="14"/>
  <c r="AK9" i="14"/>
  <c r="AL9" i="14" s="1"/>
  <c r="AM9" i="14" s="1"/>
  <c r="AK7" i="14"/>
  <c r="AL7" i="14" s="1"/>
  <c r="AM7" i="14" s="1"/>
  <c r="D2" i="14"/>
  <c r="F2" i="15" s="1"/>
  <c r="AJ9" i="14"/>
  <c r="AK10" i="14"/>
  <c r="AL10" i="14" s="1"/>
  <c r="AM10" i="14" s="1"/>
  <c r="AK8" i="14"/>
  <c r="AL8" i="14" s="1"/>
  <c r="AM8" i="14" s="1"/>
  <c r="AK6" i="14"/>
  <c r="AL6" i="14" s="1"/>
  <c r="AM6" i="14" s="1"/>
  <c r="AK4" i="14"/>
  <c r="AL4" i="14" s="1"/>
  <c r="AM4" i="14" s="1"/>
  <c r="AJ13" i="14"/>
  <c r="AJ4" i="14"/>
  <c r="AR12" i="14" l="1"/>
  <c r="AS12" i="14" s="1"/>
  <c r="AO12" i="14"/>
  <c r="AN12" i="14" s="1"/>
  <c r="AE19" i="15"/>
  <c r="I2" i="15"/>
  <c r="J3" i="15" s="1"/>
  <c r="J2" i="15" s="1"/>
  <c r="H3" i="15"/>
  <c r="H2" i="15" s="1"/>
  <c r="AO9" i="14"/>
  <c r="AN9" i="14" s="1"/>
  <c r="AO3" i="14"/>
  <c r="AO8" i="14"/>
  <c r="AN8" i="14" s="1"/>
  <c r="AO4" i="14"/>
  <c r="AN4" i="14" s="1"/>
  <c r="AO11" i="14"/>
  <c r="AN11" i="14" s="1"/>
  <c r="AO10" i="14"/>
  <c r="AN10" i="14" s="1"/>
  <c r="AO13" i="14"/>
  <c r="AN13" i="14" s="1"/>
  <c r="L2" i="14"/>
  <c r="AH2" i="14"/>
  <c r="AI2" i="14" s="1"/>
  <c r="C2" i="14"/>
  <c r="AO5" i="14"/>
  <c r="AN5" i="14" s="1"/>
  <c r="AO7" i="14"/>
  <c r="AN7" i="14" s="1"/>
  <c r="AO6" i="14"/>
  <c r="AN6" i="14" s="1"/>
  <c r="AR10" i="14"/>
  <c r="AS10" i="14" s="1"/>
  <c r="AR8" i="14"/>
  <c r="AS8" i="14" s="1"/>
  <c r="AR6" i="14"/>
  <c r="AS6" i="14" s="1"/>
  <c r="AR5" i="14"/>
  <c r="AS5" i="14" s="1"/>
  <c r="AR9" i="14"/>
  <c r="AS9" i="14" s="1"/>
  <c r="AR7" i="14"/>
  <c r="AS7" i="14" s="1"/>
  <c r="AR3" i="14"/>
  <c r="AR11" i="14"/>
  <c r="AS11" i="14" s="1"/>
  <c r="AR13" i="14"/>
  <c r="AS13" i="14" s="1"/>
  <c r="AR4" i="14"/>
  <c r="AS4" i="14" s="1"/>
  <c r="AV2" i="13"/>
  <c r="AV3" i="13"/>
  <c r="AV4" i="13"/>
  <c r="AV5" i="13"/>
  <c r="AV6" i="13"/>
  <c r="AV7" i="13"/>
  <c r="AV8" i="13"/>
  <c r="AV9" i="13"/>
  <c r="AV10" i="13"/>
  <c r="AV11" i="13"/>
  <c r="AV12" i="13"/>
  <c r="AV13" i="13"/>
  <c r="AV1" i="13"/>
  <c r="O12" i="13"/>
  <c r="Q12" i="13" s="1"/>
  <c r="N12" i="13"/>
  <c r="P12" i="13" s="1"/>
  <c r="L12" i="13"/>
  <c r="T12" i="13" s="1"/>
  <c r="K12" i="13"/>
  <c r="U12" i="13" s="1"/>
  <c r="C12" i="13"/>
  <c r="V56" i="13"/>
  <c r="U56" i="13"/>
  <c r="T56" i="13"/>
  <c r="S56" i="13"/>
  <c r="R56" i="13"/>
  <c r="Q56" i="13"/>
  <c r="V55" i="13"/>
  <c r="U55" i="13"/>
  <c r="T55" i="13"/>
  <c r="S55" i="13"/>
  <c r="R55" i="13"/>
  <c r="Q55" i="13"/>
  <c r="J55" i="13"/>
  <c r="R50" i="13" s="1"/>
  <c r="J54" i="13"/>
  <c r="S50" i="13" s="1"/>
  <c r="J53" i="13"/>
  <c r="T50" i="13" s="1"/>
  <c r="V52" i="13"/>
  <c r="U52" i="13"/>
  <c r="T52" i="13"/>
  <c r="S52" i="13"/>
  <c r="R52" i="13"/>
  <c r="Q52" i="13"/>
  <c r="V51" i="13"/>
  <c r="U51" i="13"/>
  <c r="T51" i="13"/>
  <c r="S51" i="13"/>
  <c r="R51" i="13"/>
  <c r="Q51" i="13"/>
  <c r="E49" i="13"/>
  <c r="I44" i="13"/>
  <c r="J56" i="13" s="1"/>
  <c r="I39" i="13"/>
  <c r="Q36" i="13"/>
  <c r="Q34" i="13"/>
  <c r="Q33" i="13"/>
  <c r="C33" i="13"/>
  <c r="Z13" i="13" s="1"/>
  <c r="Q32" i="13"/>
  <c r="Q31" i="13"/>
  <c r="C31" i="13"/>
  <c r="C32" i="13" s="1"/>
  <c r="Q30" i="13"/>
  <c r="S2" i="13" s="1"/>
  <c r="J30" i="13"/>
  <c r="J29" i="13"/>
  <c r="J31" i="13" s="1"/>
  <c r="J28" i="13"/>
  <c r="Q27" i="13"/>
  <c r="Q26" i="13"/>
  <c r="Q25" i="13"/>
  <c r="Q24" i="13"/>
  <c r="Q23" i="13"/>
  <c r="AH3" i="13" s="1"/>
  <c r="AI3" i="13" s="1"/>
  <c r="O13" i="13"/>
  <c r="Q13" i="13" s="1"/>
  <c r="AE13" i="13" s="1"/>
  <c r="N13" i="13"/>
  <c r="P13" i="13" s="1"/>
  <c r="L13" i="15" s="1"/>
  <c r="L13" i="13"/>
  <c r="M13" i="13" s="1"/>
  <c r="K13" i="13"/>
  <c r="U13" i="13" s="1"/>
  <c r="C13" i="13"/>
  <c r="O11" i="13"/>
  <c r="Q11" i="13" s="1"/>
  <c r="N11" i="13"/>
  <c r="P11" i="13" s="1"/>
  <c r="L11" i="15" s="1"/>
  <c r="L11" i="13"/>
  <c r="T11" i="13" s="1"/>
  <c r="K11" i="13"/>
  <c r="U11" i="13" s="1"/>
  <c r="C11" i="13"/>
  <c r="O10" i="13"/>
  <c r="Q10" i="13" s="1"/>
  <c r="AE10" i="13" s="1"/>
  <c r="N10" i="13"/>
  <c r="P10" i="13" s="1"/>
  <c r="L10" i="15" s="1"/>
  <c r="L10" i="13"/>
  <c r="M10" i="13" s="1"/>
  <c r="K10" i="13"/>
  <c r="U10" i="13" s="1"/>
  <c r="C10" i="13"/>
  <c r="O9" i="13"/>
  <c r="Q9" i="13" s="1"/>
  <c r="N9" i="13"/>
  <c r="P9" i="13" s="1"/>
  <c r="L9" i="15" s="1"/>
  <c r="L9" i="13"/>
  <c r="T9" i="13" s="1"/>
  <c r="K9" i="13"/>
  <c r="U9" i="13" s="1"/>
  <c r="C9" i="13"/>
  <c r="O8" i="13"/>
  <c r="Q8" i="13" s="1"/>
  <c r="N8" i="13"/>
  <c r="P8" i="13" s="1"/>
  <c r="L8" i="15" s="1"/>
  <c r="L8" i="13"/>
  <c r="T8" i="13" s="1"/>
  <c r="K8" i="13"/>
  <c r="U8" i="13" s="1"/>
  <c r="C8" i="13"/>
  <c r="O7" i="13"/>
  <c r="Q7" i="13" s="1"/>
  <c r="AE7" i="13" s="1"/>
  <c r="N7" i="13"/>
  <c r="P7" i="13" s="1"/>
  <c r="L7" i="15" s="1"/>
  <c r="L7" i="13"/>
  <c r="M7" i="13" s="1"/>
  <c r="K7" i="13"/>
  <c r="U7" i="13" s="1"/>
  <c r="C7" i="13"/>
  <c r="O6" i="13"/>
  <c r="Q6" i="13" s="1"/>
  <c r="N6" i="13"/>
  <c r="P6" i="13" s="1"/>
  <c r="L6" i="15" s="1"/>
  <c r="L6" i="13"/>
  <c r="T6" i="13" s="1"/>
  <c r="K6" i="13"/>
  <c r="U6" i="13" s="1"/>
  <c r="C6" i="13"/>
  <c r="O5" i="13"/>
  <c r="Q5" i="13" s="1"/>
  <c r="AE5" i="13" s="1"/>
  <c r="N5" i="13"/>
  <c r="P5" i="13" s="1"/>
  <c r="L5" i="15" s="1"/>
  <c r="L5" i="13"/>
  <c r="T5" i="13" s="1"/>
  <c r="K5" i="13"/>
  <c r="U5" i="13" s="1"/>
  <c r="C5" i="13"/>
  <c r="O4" i="13"/>
  <c r="Q4" i="13" s="1"/>
  <c r="N4" i="13"/>
  <c r="P4" i="13" s="1"/>
  <c r="L4" i="15" s="1"/>
  <c r="L4" i="13"/>
  <c r="T4" i="13" s="1"/>
  <c r="K4" i="13"/>
  <c r="U4" i="13" s="1"/>
  <c r="C4" i="13"/>
  <c r="O3" i="13"/>
  <c r="Q3" i="13" s="1"/>
  <c r="AE3" i="13" s="1"/>
  <c r="N3" i="13"/>
  <c r="P3" i="13" s="1"/>
  <c r="L3" i="13"/>
  <c r="T3" i="13" s="1"/>
  <c r="K3" i="13"/>
  <c r="U3" i="13" s="1"/>
  <c r="C3" i="13"/>
  <c r="AE2" i="13"/>
  <c r="O2" i="13"/>
  <c r="N2" i="13"/>
  <c r="P2" i="13" s="1"/>
  <c r="K2" i="13"/>
  <c r="U2" i="13" s="1"/>
  <c r="U1" i="13"/>
  <c r="M11" i="15" l="1"/>
  <c r="AF41" i="15"/>
  <c r="L12" i="15"/>
  <c r="M10" i="15"/>
  <c r="AH9" i="13"/>
  <c r="AI9" i="13" s="1"/>
  <c r="AF42" i="15"/>
  <c r="R2" i="13"/>
  <c r="L2" i="15"/>
  <c r="AF30" i="15" s="1"/>
  <c r="R40" i="13"/>
  <c r="Q40" i="13"/>
  <c r="S40" i="13"/>
  <c r="M5" i="15"/>
  <c r="AF33" i="15"/>
  <c r="AF37" i="15"/>
  <c r="M9" i="15"/>
  <c r="AF39" i="15"/>
  <c r="AF34" i="15"/>
  <c r="M6" i="15"/>
  <c r="AF40" i="15"/>
  <c r="AC13" i="13"/>
  <c r="AD13" i="13" s="1"/>
  <c r="R3" i="13"/>
  <c r="L3" i="15"/>
  <c r="M4" i="15" s="1"/>
  <c r="AF35" i="15"/>
  <c r="M7" i="15"/>
  <c r="AF32" i="15"/>
  <c r="AF36" i="15"/>
  <c r="M8" i="15"/>
  <c r="AH11" i="13"/>
  <c r="AI11" i="13" s="1"/>
  <c r="T2" i="14"/>
  <c r="M2" i="14"/>
  <c r="AK2" i="14"/>
  <c r="AL2" i="14" s="1"/>
  <c r="AM2" i="14" s="1"/>
  <c r="AJ2" i="14"/>
  <c r="AO2" i="14" s="1"/>
  <c r="AH12" i="13"/>
  <c r="AI12" i="13" s="1"/>
  <c r="R5" i="13"/>
  <c r="AH6" i="13"/>
  <c r="AI6" i="13" s="1"/>
  <c r="R7" i="13"/>
  <c r="AH8" i="13"/>
  <c r="AI8" i="13" s="1"/>
  <c r="R9" i="13"/>
  <c r="AH10" i="13"/>
  <c r="AI10" i="13" s="1"/>
  <c r="R11" i="13"/>
  <c r="R13" i="13"/>
  <c r="T13" i="13"/>
  <c r="AH4" i="13"/>
  <c r="AI4" i="13" s="1"/>
  <c r="M6" i="13"/>
  <c r="R4" i="13"/>
  <c r="R6" i="13"/>
  <c r="T7" i="13"/>
  <c r="R8" i="13"/>
  <c r="R10" i="13"/>
  <c r="J32" i="13"/>
  <c r="J33" i="13" s="1"/>
  <c r="J34" i="13" s="1"/>
  <c r="M9" i="13"/>
  <c r="M5" i="13"/>
  <c r="M8" i="13"/>
  <c r="AE8" i="13"/>
  <c r="S8" i="13"/>
  <c r="T10" i="13"/>
  <c r="M11" i="13"/>
  <c r="AE12" i="13"/>
  <c r="S12" i="13"/>
  <c r="V12" i="13"/>
  <c r="W12" i="13"/>
  <c r="X12" i="13" s="1"/>
  <c r="M12" i="13"/>
  <c r="R12" i="13"/>
  <c r="M3" i="13"/>
  <c r="S5" i="13"/>
  <c r="V3" i="13"/>
  <c r="W3" i="13"/>
  <c r="X3" i="13" s="1"/>
  <c r="Y3" i="13" s="1"/>
  <c r="W7" i="13"/>
  <c r="X7" i="13" s="1"/>
  <c r="W2" i="13"/>
  <c r="V11" i="13"/>
  <c r="V9" i="13"/>
  <c r="W4" i="13"/>
  <c r="X4" i="13" s="1"/>
  <c r="W5" i="13"/>
  <c r="X5" i="13" s="1"/>
  <c r="V2" i="13"/>
  <c r="S3" i="13"/>
  <c r="V4" i="13"/>
  <c r="V5" i="13"/>
  <c r="W13" i="13"/>
  <c r="X13" i="13" s="1"/>
  <c r="R42" i="13"/>
  <c r="Q42" i="13"/>
  <c r="V6" i="13"/>
  <c r="W6" i="13"/>
  <c r="X6" i="13" s="1"/>
  <c r="AE6" i="13"/>
  <c r="S6" i="13"/>
  <c r="R43" i="13"/>
  <c r="Q43" i="13"/>
  <c r="AE4" i="13"/>
  <c r="S4" i="13"/>
  <c r="V7" i="13"/>
  <c r="V8" i="13"/>
  <c r="W8" i="13"/>
  <c r="X8" i="13" s="1"/>
  <c r="W10" i="13"/>
  <c r="X10" i="13" s="1"/>
  <c r="M4" i="13"/>
  <c r="S7" i="13"/>
  <c r="W9" i="13"/>
  <c r="X9" i="13" s="1"/>
  <c r="S10" i="13"/>
  <c r="W11" i="13"/>
  <c r="X11" i="13" s="1"/>
  <c r="S13" i="13"/>
  <c r="AE9" i="13"/>
  <c r="S9" i="13"/>
  <c r="AE11" i="13"/>
  <c r="S11" i="13"/>
  <c r="V10" i="13"/>
  <c r="V13" i="13"/>
  <c r="AA13" i="13"/>
  <c r="AB13" i="13" s="1"/>
  <c r="Q37" i="13"/>
  <c r="Z12" i="13" s="1"/>
  <c r="AH13" i="13"/>
  <c r="AI13" i="13" s="1"/>
  <c r="AH7" i="13"/>
  <c r="AI7" i="13" s="1"/>
  <c r="AH5" i="13"/>
  <c r="AI5" i="13" s="1"/>
  <c r="J51" i="13"/>
  <c r="J52" i="13"/>
  <c r="U50" i="13" s="1"/>
  <c r="AW6" i="4"/>
  <c r="N6" i="4"/>
  <c r="P6" i="4" s="1"/>
  <c r="M6" i="4"/>
  <c r="O6" i="4" s="1"/>
  <c r="B5" i="15" s="1"/>
  <c r="K6" i="4"/>
  <c r="S6" i="4" s="1"/>
  <c r="J6" i="4"/>
  <c r="T6" i="4" s="1"/>
  <c r="C6" i="4"/>
  <c r="AF13" i="13" l="1"/>
  <c r="M13" i="15"/>
  <c r="M12" i="15"/>
  <c r="AF5" i="15"/>
  <c r="R41" i="13"/>
  <c r="Q41" i="13"/>
  <c r="AF31" i="15"/>
  <c r="AF38" i="15"/>
  <c r="Q35" i="13"/>
  <c r="J35" i="13"/>
  <c r="AA12" i="13"/>
  <c r="AB12" i="13" s="1"/>
  <c r="AC12" i="13"/>
  <c r="AF12" i="13" s="1"/>
  <c r="Y12" i="13"/>
  <c r="AD6" i="4"/>
  <c r="J44" i="13"/>
  <c r="J40" i="13"/>
  <c r="Y11" i="13"/>
  <c r="Y6" i="13"/>
  <c r="Y10" i="13"/>
  <c r="Y5" i="13"/>
  <c r="Y9" i="13"/>
  <c r="Y8" i="13"/>
  <c r="Y13" i="13"/>
  <c r="Y4" i="13"/>
  <c r="J39" i="13"/>
  <c r="J42" i="13"/>
  <c r="J43" i="13"/>
  <c r="J41" i="13"/>
  <c r="Y7" i="13"/>
  <c r="Z6" i="13"/>
  <c r="AC6" i="13" s="1"/>
  <c r="Z8" i="13"/>
  <c r="Z10" i="13"/>
  <c r="Z7" i="13"/>
  <c r="Z11" i="13"/>
  <c r="Z9" i="13"/>
  <c r="Z5" i="13"/>
  <c r="Z3" i="13"/>
  <c r="Z4" i="13"/>
  <c r="Z2" i="13"/>
  <c r="L6" i="4"/>
  <c r="L41" i="13" l="1"/>
  <c r="M41" i="13" s="1"/>
  <c r="AX13" i="13"/>
  <c r="AX11" i="13"/>
  <c r="AX6" i="13"/>
  <c r="AX8" i="13"/>
  <c r="AJ9" i="13"/>
  <c r="AJ6" i="13"/>
  <c r="AJ13" i="13"/>
  <c r="AJ3" i="13"/>
  <c r="AJ7" i="13"/>
  <c r="AJ10" i="13"/>
  <c r="AJ11" i="13"/>
  <c r="AJ5" i="13"/>
  <c r="AJ12" i="13"/>
  <c r="AJ4" i="13"/>
  <c r="AJ8" i="13"/>
  <c r="K47" i="13"/>
  <c r="AD12" i="13"/>
  <c r="AK12" i="13"/>
  <c r="AL12" i="13" s="1"/>
  <c r="AM12" i="13" s="1"/>
  <c r="J47" i="13"/>
  <c r="L47" i="13"/>
  <c r="AC5" i="13"/>
  <c r="AA5" i="13"/>
  <c r="AB5" i="13" s="1"/>
  <c r="AC10" i="13"/>
  <c r="AA10" i="13"/>
  <c r="AB10" i="13" s="1"/>
  <c r="AA2" i="13"/>
  <c r="AC2" i="13"/>
  <c r="AA9" i="13"/>
  <c r="AB9" i="13" s="1"/>
  <c r="AC9" i="13"/>
  <c r="AA8" i="13"/>
  <c r="AB8" i="13" s="1"/>
  <c r="AC8" i="13"/>
  <c r="AA4" i="13"/>
  <c r="AB4" i="13" s="1"/>
  <c r="AC4" i="13"/>
  <c r="AA11" i="13"/>
  <c r="AB11" i="13" s="1"/>
  <c r="AC11" i="13"/>
  <c r="AA6" i="13"/>
  <c r="AB6" i="13" s="1"/>
  <c r="AK10" i="13"/>
  <c r="AL10" i="13" s="1"/>
  <c r="AM10" i="13" s="1"/>
  <c r="AK8" i="13"/>
  <c r="AL8" i="13" s="1"/>
  <c r="AM8" i="13" s="1"/>
  <c r="AK11" i="13"/>
  <c r="AL11" i="13" s="1"/>
  <c r="AM11" i="13" s="1"/>
  <c r="AK9" i="13"/>
  <c r="AL9" i="13" s="1"/>
  <c r="AM9" i="13" s="1"/>
  <c r="AK4" i="13"/>
  <c r="AL4" i="13" s="1"/>
  <c r="AM4" i="13" s="1"/>
  <c r="AK3" i="13"/>
  <c r="AL3" i="13" s="1"/>
  <c r="AM3" i="13" s="1"/>
  <c r="D2" i="13"/>
  <c r="K2" i="15" s="1"/>
  <c r="AK6" i="13"/>
  <c r="AL6" i="13" s="1"/>
  <c r="AM6" i="13" s="1"/>
  <c r="AK13" i="13"/>
  <c r="AL13" i="13" s="1"/>
  <c r="AM13" i="13" s="1"/>
  <c r="AK7" i="13"/>
  <c r="AL7" i="13" s="1"/>
  <c r="AM7" i="13" s="1"/>
  <c r="AK5" i="13"/>
  <c r="AL5" i="13" s="1"/>
  <c r="AM5" i="13" s="1"/>
  <c r="AC3" i="13"/>
  <c r="AA3" i="13"/>
  <c r="AB3" i="13" s="1"/>
  <c r="AC7" i="13"/>
  <c r="AA7" i="13"/>
  <c r="AB7" i="13" s="1"/>
  <c r="AW16" i="4"/>
  <c r="N16" i="4"/>
  <c r="P16" i="4" s="1"/>
  <c r="AD16" i="4" s="1"/>
  <c r="M16" i="4"/>
  <c r="O16" i="4" s="1"/>
  <c r="B15" i="15" s="1"/>
  <c r="K16" i="4"/>
  <c r="S16" i="4" s="1"/>
  <c r="J16" i="4"/>
  <c r="T16" i="4" s="1"/>
  <c r="C16" i="4"/>
  <c r="AW14" i="4"/>
  <c r="N14" i="4"/>
  <c r="P14" i="4" s="1"/>
  <c r="AD14" i="4" s="1"/>
  <c r="M14" i="4"/>
  <c r="O14" i="4" s="1"/>
  <c r="B13" i="15" s="1"/>
  <c r="K14" i="4"/>
  <c r="S14" i="4" s="1"/>
  <c r="J14" i="4"/>
  <c r="T14" i="4" s="1"/>
  <c r="C14" i="4"/>
  <c r="AW15" i="4"/>
  <c r="N15" i="4"/>
  <c r="P15" i="4" s="1"/>
  <c r="AD15" i="4" s="1"/>
  <c r="M15" i="4"/>
  <c r="O15" i="4" s="1"/>
  <c r="B14" i="15" s="1"/>
  <c r="K15" i="4"/>
  <c r="S15" i="4" s="1"/>
  <c r="J15" i="4"/>
  <c r="T15" i="4" s="1"/>
  <c r="C15" i="4"/>
  <c r="AW12" i="4"/>
  <c r="N12" i="4"/>
  <c r="P12" i="4" s="1"/>
  <c r="AD12" i="4" s="1"/>
  <c r="M12" i="4"/>
  <c r="O12" i="4" s="1"/>
  <c r="B11" i="15" s="1"/>
  <c r="K12" i="4"/>
  <c r="S12" i="4" s="1"/>
  <c r="J12" i="4"/>
  <c r="T12" i="4" s="1"/>
  <c r="C12" i="4"/>
  <c r="AW18" i="4"/>
  <c r="N18" i="4"/>
  <c r="P18" i="4" s="1"/>
  <c r="AD18" i="4" s="1"/>
  <c r="M18" i="4"/>
  <c r="O18" i="4" s="1"/>
  <c r="B17" i="15" s="1"/>
  <c r="K18" i="4"/>
  <c r="L18" i="4" s="1"/>
  <c r="J18" i="4"/>
  <c r="T18" i="4" s="1"/>
  <c r="C18" i="4"/>
  <c r="AW11" i="4"/>
  <c r="N11" i="4"/>
  <c r="P11" i="4" s="1"/>
  <c r="AD11" i="4" s="1"/>
  <c r="M11" i="4"/>
  <c r="O11" i="4" s="1"/>
  <c r="B10" i="15" s="1"/>
  <c r="K11" i="4"/>
  <c r="S11" i="4" s="1"/>
  <c r="J11" i="4"/>
  <c r="T11" i="4" s="1"/>
  <c r="C11" i="4"/>
  <c r="AF11" i="15" l="1"/>
  <c r="C11" i="15"/>
  <c r="AF13" i="15"/>
  <c r="AE30" i="15"/>
  <c r="N2" i="15"/>
  <c r="O3" i="15" s="1"/>
  <c r="O2" i="15" s="1"/>
  <c r="M3" i="15"/>
  <c r="M2" i="15" s="1"/>
  <c r="AF17" i="15"/>
  <c r="AF14" i="15"/>
  <c r="C14" i="15"/>
  <c r="AF15" i="15"/>
  <c r="C15" i="15"/>
  <c r="AF10" i="15"/>
  <c r="AR12" i="13"/>
  <c r="AS12" i="13" s="1"/>
  <c r="AP12" i="13"/>
  <c r="AQ12" i="13" s="1"/>
  <c r="AO12" i="13"/>
  <c r="AN12" i="13" s="1"/>
  <c r="AP3" i="13"/>
  <c r="AQ3" i="13" s="1"/>
  <c r="AR3" i="13"/>
  <c r="AO3" i="13"/>
  <c r="AO6" i="13"/>
  <c r="AN6" i="13" s="1"/>
  <c r="AR6" i="13"/>
  <c r="AS6" i="13" s="1"/>
  <c r="AP6" i="13"/>
  <c r="AQ6" i="13" s="1"/>
  <c r="AR13" i="13"/>
  <c r="AS13" i="13" s="1"/>
  <c r="AP13" i="13"/>
  <c r="AQ13" i="13" s="1"/>
  <c r="AO13" i="13"/>
  <c r="AN13" i="13" s="1"/>
  <c r="AR10" i="13"/>
  <c r="AS10" i="13" s="1"/>
  <c r="AP10" i="13"/>
  <c r="AQ10" i="13" s="1"/>
  <c r="AO10" i="13"/>
  <c r="AN10" i="13" s="1"/>
  <c r="L2" i="13"/>
  <c r="AH2" i="13"/>
  <c r="AI2" i="13" s="1"/>
  <c r="AJ2" i="13" s="1"/>
  <c r="C2" i="13"/>
  <c r="AD11" i="13"/>
  <c r="AF11" i="13"/>
  <c r="AD8" i="13"/>
  <c r="AF8" i="13"/>
  <c r="AD2" i="13"/>
  <c r="AF2" i="13"/>
  <c r="AP7" i="13"/>
  <c r="AQ7" i="13" s="1"/>
  <c r="AR7" i="13"/>
  <c r="AS7" i="13" s="1"/>
  <c r="AO7" i="13"/>
  <c r="AN7" i="13" s="1"/>
  <c r="AO11" i="13"/>
  <c r="AN11" i="13" s="1"/>
  <c r="AP11" i="13"/>
  <c r="AQ11" i="13" s="1"/>
  <c r="AR11" i="13"/>
  <c r="AS11" i="13" s="1"/>
  <c r="AD5" i="13"/>
  <c r="AF5" i="13"/>
  <c r="AD7" i="13"/>
  <c r="AF7" i="13"/>
  <c r="AD3" i="13"/>
  <c r="AF3" i="13"/>
  <c r="AO8" i="13"/>
  <c r="AN8" i="13" s="1"/>
  <c r="AR8" i="13"/>
  <c r="AS8" i="13" s="1"/>
  <c r="AP8" i="13"/>
  <c r="AQ8" i="13" s="1"/>
  <c r="AR4" i="13"/>
  <c r="AS4" i="13" s="1"/>
  <c r="AP4" i="13"/>
  <c r="AQ4" i="13" s="1"/>
  <c r="AO4" i="13"/>
  <c r="AN4" i="13" s="1"/>
  <c r="AD6" i="13"/>
  <c r="AF6" i="13"/>
  <c r="AD4" i="13"/>
  <c r="AF4" i="13"/>
  <c r="AD9" i="13"/>
  <c r="AF9" i="13"/>
  <c r="AR5" i="13"/>
  <c r="AS5" i="13" s="1"/>
  <c r="AO5" i="13"/>
  <c r="AN5" i="13" s="1"/>
  <c r="AP5" i="13"/>
  <c r="AQ5" i="13" s="1"/>
  <c r="AR9" i="13"/>
  <c r="AS9" i="13" s="1"/>
  <c r="AO9" i="13"/>
  <c r="AN9" i="13" s="1"/>
  <c r="AP9" i="13"/>
  <c r="AQ9" i="13" s="1"/>
  <c r="AD10" i="13"/>
  <c r="AF10" i="13"/>
  <c r="L16" i="4"/>
  <c r="L14" i="4"/>
  <c r="L12" i="4"/>
  <c r="L15" i="4"/>
  <c r="S18" i="4"/>
  <c r="L11" i="4"/>
  <c r="AK2" i="13" l="1"/>
  <c r="AL2" i="13" s="1"/>
  <c r="AM2" i="13" s="1"/>
  <c r="AO2" i="13"/>
  <c r="Q45" i="13"/>
  <c r="AG10" i="13"/>
  <c r="Q44" i="13" s="1"/>
  <c r="M2" i="13"/>
  <c r="T2" i="13"/>
  <c r="V55" i="10"/>
  <c r="U55" i="10"/>
  <c r="T55" i="10"/>
  <c r="S55" i="10"/>
  <c r="R55" i="10"/>
  <c r="Q55" i="10"/>
  <c r="V54" i="10"/>
  <c r="U54" i="10"/>
  <c r="T54" i="10"/>
  <c r="S54" i="10"/>
  <c r="R54" i="10"/>
  <c r="Q54" i="10"/>
  <c r="V51" i="10"/>
  <c r="U51" i="10"/>
  <c r="T51" i="10"/>
  <c r="S51" i="10"/>
  <c r="R51" i="10"/>
  <c r="Q51" i="10"/>
  <c r="V50" i="10"/>
  <c r="U50" i="10"/>
  <c r="T50" i="10"/>
  <c r="S50" i="10"/>
  <c r="R50" i="10"/>
  <c r="Q50" i="10"/>
  <c r="E48" i="10"/>
  <c r="I43" i="10"/>
  <c r="J55" i="10" s="1"/>
  <c r="I38" i="10"/>
  <c r="J54" i="10" s="1"/>
  <c r="R49" i="10" s="1"/>
  <c r="Q35" i="10"/>
  <c r="Q33" i="10"/>
  <c r="Q32" i="10"/>
  <c r="C32" i="10"/>
  <c r="Z12" i="10" s="1"/>
  <c r="Q31" i="10"/>
  <c r="Q30" i="10"/>
  <c r="C30" i="10"/>
  <c r="C31" i="10" s="1"/>
  <c r="Q29" i="10"/>
  <c r="S2" i="10" s="1"/>
  <c r="J29" i="10"/>
  <c r="J28" i="10"/>
  <c r="J30" i="10" s="1"/>
  <c r="J31" i="10" s="1"/>
  <c r="J27" i="10"/>
  <c r="Q26" i="10"/>
  <c r="Q25" i="10"/>
  <c r="Q24" i="10"/>
  <c r="Q23" i="10"/>
  <c r="Q22" i="10"/>
  <c r="AH11" i="10" s="1"/>
  <c r="AI11" i="10" s="1"/>
  <c r="O12" i="10"/>
  <c r="Q12" i="10" s="1"/>
  <c r="AE12" i="10" s="1"/>
  <c r="N12" i="10"/>
  <c r="P12" i="10" s="1"/>
  <c r="AA12" i="15" s="1"/>
  <c r="L12" i="10"/>
  <c r="M12" i="10" s="1"/>
  <c r="K12" i="10"/>
  <c r="U12" i="10" s="1"/>
  <c r="C12" i="10"/>
  <c r="O11" i="10"/>
  <c r="Q11" i="10" s="1"/>
  <c r="N11" i="10"/>
  <c r="P11" i="10" s="1"/>
  <c r="AA11" i="15" s="1"/>
  <c r="L11" i="10"/>
  <c r="T11" i="10" s="1"/>
  <c r="K11" i="10"/>
  <c r="U11" i="10" s="1"/>
  <c r="C11" i="10"/>
  <c r="O10" i="10"/>
  <c r="Q10" i="10" s="1"/>
  <c r="N10" i="10"/>
  <c r="P10" i="10" s="1"/>
  <c r="AA10" i="15" s="1"/>
  <c r="L10" i="10"/>
  <c r="M10" i="10" s="1"/>
  <c r="K10" i="10"/>
  <c r="U10" i="10" s="1"/>
  <c r="C10" i="10"/>
  <c r="O9" i="10"/>
  <c r="Q9" i="10" s="1"/>
  <c r="N9" i="10"/>
  <c r="P9" i="10" s="1"/>
  <c r="AA9" i="15" s="1"/>
  <c r="L9" i="10"/>
  <c r="T9" i="10" s="1"/>
  <c r="K9" i="10"/>
  <c r="U9" i="10" s="1"/>
  <c r="C9" i="10"/>
  <c r="O8" i="10"/>
  <c r="Q8" i="10" s="1"/>
  <c r="AE8" i="10" s="1"/>
  <c r="N8" i="10"/>
  <c r="P8" i="10" s="1"/>
  <c r="AA8" i="15" s="1"/>
  <c r="L8" i="10"/>
  <c r="M8" i="10" s="1"/>
  <c r="K8" i="10"/>
  <c r="U8" i="10" s="1"/>
  <c r="C8" i="10"/>
  <c r="O7" i="10"/>
  <c r="Q7" i="10" s="1"/>
  <c r="AE7" i="10" s="1"/>
  <c r="N7" i="10"/>
  <c r="P7" i="10" s="1"/>
  <c r="AA7" i="15" s="1"/>
  <c r="L7" i="10"/>
  <c r="M7" i="10" s="1"/>
  <c r="K7" i="10"/>
  <c r="U7" i="10" s="1"/>
  <c r="C7" i="10"/>
  <c r="O6" i="10"/>
  <c r="Q6" i="10" s="1"/>
  <c r="N6" i="10"/>
  <c r="P6" i="10" s="1"/>
  <c r="AA6" i="15" s="1"/>
  <c r="L6" i="10"/>
  <c r="K6" i="10"/>
  <c r="U6" i="10" s="1"/>
  <c r="C6" i="10"/>
  <c r="O5" i="10"/>
  <c r="Q5" i="10" s="1"/>
  <c r="N5" i="10"/>
  <c r="P5" i="10" s="1"/>
  <c r="AA5" i="15" s="1"/>
  <c r="L5" i="10"/>
  <c r="M5" i="10" s="1"/>
  <c r="K5" i="10"/>
  <c r="U5" i="10" s="1"/>
  <c r="C5" i="10"/>
  <c r="O4" i="10"/>
  <c r="Q4" i="10" s="1"/>
  <c r="N4" i="10"/>
  <c r="P4" i="10" s="1"/>
  <c r="AA4" i="15" s="1"/>
  <c r="L4" i="10"/>
  <c r="T4" i="10" s="1"/>
  <c r="K4" i="10"/>
  <c r="U4" i="10" s="1"/>
  <c r="C4" i="10"/>
  <c r="O3" i="10"/>
  <c r="Q3" i="10" s="1"/>
  <c r="N3" i="10"/>
  <c r="P3" i="10" s="1"/>
  <c r="AA3" i="15" s="1"/>
  <c r="L3" i="10"/>
  <c r="M3" i="10" s="1"/>
  <c r="K3" i="10"/>
  <c r="U3" i="10" s="1"/>
  <c r="C3" i="10"/>
  <c r="AE2" i="10"/>
  <c r="O2" i="10"/>
  <c r="N2" i="10"/>
  <c r="P2" i="10" s="1"/>
  <c r="AA2" i="15" s="1"/>
  <c r="AF68" i="15" s="1"/>
  <c r="K2" i="10"/>
  <c r="U2" i="10" s="1"/>
  <c r="U1" i="10"/>
  <c r="AB9" i="15" l="1"/>
  <c r="AB6" i="15"/>
  <c r="AB8" i="15"/>
  <c r="AB7" i="15"/>
  <c r="AB12" i="15"/>
  <c r="AB11" i="15"/>
  <c r="AB10" i="15"/>
  <c r="AF71" i="15"/>
  <c r="AB5" i="15"/>
  <c r="AF75" i="15"/>
  <c r="AF79" i="15"/>
  <c r="AF72" i="15"/>
  <c r="AF76" i="15"/>
  <c r="AF80" i="15"/>
  <c r="AF70" i="15"/>
  <c r="AB4" i="15"/>
  <c r="AF69" i="15"/>
  <c r="AF73" i="15"/>
  <c r="AF77" i="15"/>
  <c r="AF74" i="15"/>
  <c r="AF78" i="15"/>
  <c r="AT12" i="13"/>
  <c r="AU12" i="13" s="1"/>
  <c r="AT13" i="13"/>
  <c r="AU13" i="13" s="1"/>
  <c r="AT7" i="13"/>
  <c r="AU7" i="13" s="1"/>
  <c r="AT11" i="13"/>
  <c r="AU11" i="13" s="1"/>
  <c r="AT9" i="13"/>
  <c r="AU9" i="13" s="1"/>
  <c r="AT10" i="13"/>
  <c r="AU10" i="13" s="1"/>
  <c r="AT8" i="13"/>
  <c r="AU8" i="13" s="1"/>
  <c r="AT6" i="13"/>
  <c r="AU6" i="13" s="1"/>
  <c r="R9" i="10"/>
  <c r="R2" i="10"/>
  <c r="AH9" i="10"/>
  <c r="AI9" i="10" s="1"/>
  <c r="AH3" i="10"/>
  <c r="AI3" i="10" s="1"/>
  <c r="AH7" i="10"/>
  <c r="AI7" i="10" s="1"/>
  <c r="S10" i="10"/>
  <c r="R5" i="10"/>
  <c r="AH6" i="10"/>
  <c r="AI6" i="10" s="1"/>
  <c r="R12" i="10"/>
  <c r="W9" i="10"/>
  <c r="X9" i="10" s="1"/>
  <c r="AH5" i="10"/>
  <c r="AI5" i="10" s="1"/>
  <c r="R8" i="10"/>
  <c r="R11" i="10"/>
  <c r="AH4" i="10"/>
  <c r="AI4" i="10" s="1"/>
  <c r="R7" i="10"/>
  <c r="S8" i="10"/>
  <c r="R6" i="10"/>
  <c r="R10" i="10"/>
  <c r="AH13" i="10"/>
  <c r="AI13" i="10" s="1"/>
  <c r="J52" i="10"/>
  <c r="T49" i="10" s="1"/>
  <c r="M4" i="10"/>
  <c r="T8" i="10"/>
  <c r="M9" i="10"/>
  <c r="T10" i="10"/>
  <c r="M11" i="10"/>
  <c r="T12" i="10"/>
  <c r="T7" i="10"/>
  <c r="W3" i="10"/>
  <c r="X3" i="10" s="1"/>
  <c r="Y3" i="10" s="1"/>
  <c r="W5" i="10"/>
  <c r="X5" i="10" s="1"/>
  <c r="W10" i="10"/>
  <c r="X10" i="10" s="1"/>
  <c r="AE10" i="10"/>
  <c r="AE3" i="10"/>
  <c r="S3" i="10"/>
  <c r="S11" i="10"/>
  <c r="AE11" i="10"/>
  <c r="AE4" i="10"/>
  <c r="S4" i="10"/>
  <c r="W4" i="10"/>
  <c r="X4" i="10" s="1"/>
  <c r="V4" i="10"/>
  <c r="V5" i="10"/>
  <c r="T6" i="10"/>
  <c r="M6" i="10"/>
  <c r="V7" i="10"/>
  <c r="W7" i="10"/>
  <c r="X7" i="10" s="1"/>
  <c r="R3" i="10"/>
  <c r="R4" i="10"/>
  <c r="W6" i="10"/>
  <c r="X6" i="10" s="1"/>
  <c r="V6" i="10"/>
  <c r="S7" i="10"/>
  <c r="V12" i="10"/>
  <c r="W2" i="10"/>
  <c r="V2" i="10"/>
  <c r="V3" i="10"/>
  <c r="AE5" i="10"/>
  <c r="S5" i="10"/>
  <c r="W8" i="10"/>
  <c r="X8" i="10" s="1"/>
  <c r="V9" i="10"/>
  <c r="AE9" i="10"/>
  <c r="S9" i="10"/>
  <c r="W11" i="10"/>
  <c r="X11" i="10" s="1"/>
  <c r="V10" i="10"/>
  <c r="AA12" i="10"/>
  <c r="AB12" i="10" s="1"/>
  <c r="AC12" i="10"/>
  <c r="J32" i="10"/>
  <c r="J33" i="10" s="1"/>
  <c r="V8" i="10"/>
  <c r="W12" i="10"/>
  <c r="X12" i="10" s="1"/>
  <c r="AH10" i="10"/>
  <c r="AI10" i="10" s="1"/>
  <c r="AH8" i="10"/>
  <c r="AI8" i="10" s="1"/>
  <c r="AH12" i="10"/>
  <c r="AI12" i="10" s="1"/>
  <c r="Q36" i="10"/>
  <c r="V11" i="10"/>
  <c r="AE6" i="10"/>
  <c r="S6" i="10"/>
  <c r="T3" i="10"/>
  <c r="T5" i="10"/>
  <c r="J51" i="10"/>
  <c r="U49" i="10" s="1"/>
  <c r="J53" i="10"/>
  <c r="S49" i="10" s="1"/>
  <c r="J50" i="10"/>
  <c r="S12" i="10"/>
  <c r="V57" i="9"/>
  <c r="U57" i="9"/>
  <c r="T57" i="9"/>
  <c r="S57" i="9"/>
  <c r="R57" i="9"/>
  <c r="Q57" i="9"/>
  <c r="V56" i="9"/>
  <c r="U56" i="9"/>
  <c r="T56" i="9"/>
  <c r="S56" i="9"/>
  <c r="R56" i="9"/>
  <c r="Q56" i="9"/>
  <c r="J54" i="9"/>
  <c r="T51" i="9" s="1"/>
  <c r="V53" i="9"/>
  <c r="U53" i="9"/>
  <c r="T53" i="9"/>
  <c r="S53" i="9"/>
  <c r="R53" i="9"/>
  <c r="Q53" i="9"/>
  <c r="V52" i="9"/>
  <c r="U52" i="9"/>
  <c r="T52" i="9"/>
  <c r="S52" i="9"/>
  <c r="R52" i="9"/>
  <c r="Q52" i="9"/>
  <c r="E50" i="9"/>
  <c r="I45" i="9"/>
  <c r="I40" i="9"/>
  <c r="Q37" i="9"/>
  <c r="Q35" i="9"/>
  <c r="Q34" i="9"/>
  <c r="C34" i="9"/>
  <c r="Z14" i="9" s="1"/>
  <c r="Q38" i="9" s="1"/>
  <c r="Q33" i="9"/>
  <c r="Q32" i="9"/>
  <c r="C32" i="9"/>
  <c r="C33" i="9" s="1"/>
  <c r="Q31" i="9"/>
  <c r="S2" i="9" s="1"/>
  <c r="J31" i="9"/>
  <c r="J30" i="9"/>
  <c r="J32" i="9" s="1"/>
  <c r="J33" i="9" s="1"/>
  <c r="J29" i="9"/>
  <c r="Q28" i="9"/>
  <c r="Q27" i="9"/>
  <c r="Q26" i="9"/>
  <c r="Q25" i="9"/>
  <c r="Q24" i="9"/>
  <c r="O14" i="9"/>
  <c r="Q14" i="9" s="1"/>
  <c r="N14" i="9"/>
  <c r="P14" i="9" s="1"/>
  <c r="V14" i="15" s="1"/>
  <c r="L14" i="9"/>
  <c r="T14" i="9" s="1"/>
  <c r="K14" i="9"/>
  <c r="U14" i="9" s="1"/>
  <c r="C14" i="9"/>
  <c r="O13" i="9"/>
  <c r="Q13" i="9" s="1"/>
  <c r="N13" i="9"/>
  <c r="P13" i="9" s="1"/>
  <c r="V13" i="15" s="1"/>
  <c r="L13" i="9"/>
  <c r="T13" i="9" s="1"/>
  <c r="K13" i="9"/>
  <c r="U13" i="9" s="1"/>
  <c r="C13" i="9"/>
  <c r="O12" i="9"/>
  <c r="Q12" i="9" s="1"/>
  <c r="AE12" i="9" s="1"/>
  <c r="N12" i="9"/>
  <c r="P12" i="9" s="1"/>
  <c r="V12" i="15" s="1"/>
  <c r="L12" i="9"/>
  <c r="T12" i="9" s="1"/>
  <c r="K12" i="9"/>
  <c r="U12" i="9" s="1"/>
  <c r="C12" i="9"/>
  <c r="O11" i="9"/>
  <c r="Q11" i="9" s="1"/>
  <c r="AE11" i="9" s="1"/>
  <c r="N11" i="9"/>
  <c r="P11" i="9" s="1"/>
  <c r="L11" i="9"/>
  <c r="M11" i="9" s="1"/>
  <c r="K11" i="9"/>
  <c r="U11" i="9" s="1"/>
  <c r="C11" i="9"/>
  <c r="O10" i="9"/>
  <c r="Q10" i="9" s="1"/>
  <c r="N10" i="9"/>
  <c r="P10" i="9" s="1"/>
  <c r="V10" i="15" s="1"/>
  <c r="L10" i="9"/>
  <c r="T10" i="9" s="1"/>
  <c r="K10" i="9"/>
  <c r="U10" i="9" s="1"/>
  <c r="C10" i="9"/>
  <c r="O9" i="9"/>
  <c r="Q9" i="9" s="1"/>
  <c r="N9" i="9"/>
  <c r="P9" i="9" s="1"/>
  <c r="V9" i="15" s="1"/>
  <c r="L9" i="9"/>
  <c r="T9" i="9" s="1"/>
  <c r="K9" i="9"/>
  <c r="U9" i="9" s="1"/>
  <c r="C9" i="9"/>
  <c r="O8" i="9"/>
  <c r="Q8" i="9" s="1"/>
  <c r="AE8" i="9" s="1"/>
  <c r="N8" i="9"/>
  <c r="P8" i="9" s="1"/>
  <c r="V8" i="15" s="1"/>
  <c r="L8" i="9"/>
  <c r="M8" i="9" s="1"/>
  <c r="K8" i="9"/>
  <c r="U8" i="9" s="1"/>
  <c r="C8" i="9"/>
  <c r="O7" i="9"/>
  <c r="Q7" i="9" s="1"/>
  <c r="AE7" i="9" s="1"/>
  <c r="N7" i="9"/>
  <c r="P7" i="9" s="1"/>
  <c r="L7" i="9"/>
  <c r="M7" i="9" s="1"/>
  <c r="K7" i="9"/>
  <c r="U7" i="9" s="1"/>
  <c r="C7" i="9"/>
  <c r="O6" i="9"/>
  <c r="Q6" i="9" s="1"/>
  <c r="N6" i="9"/>
  <c r="P6" i="9" s="1"/>
  <c r="V6" i="15" s="1"/>
  <c r="L6" i="9"/>
  <c r="T6" i="9" s="1"/>
  <c r="K6" i="9"/>
  <c r="U6" i="9" s="1"/>
  <c r="C6" i="9"/>
  <c r="O5" i="9"/>
  <c r="Q5" i="9" s="1"/>
  <c r="AE5" i="9" s="1"/>
  <c r="N5" i="9"/>
  <c r="P5" i="9" s="1"/>
  <c r="L5" i="9"/>
  <c r="T5" i="9" s="1"/>
  <c r="K5" i="9"/>
  <c r="U5" i="9" s="1"/>
  <c r="C5" i="9"/>
  <c r="O4" i="9"/>
  <c r="Q4" i="9" s="1"/>
  <c r="N4" i="9"/>
  <c r="P4" i="9" s="1"/>
  <c r="V4" i="15" s="1"/>
  <c r="L4" i="9"/>
  <c r="M4" i="9" s="1"/>
  <c r="K4" i="9"/>
  <c r="U4" i="9" s="1"/>
  <c r="C4" i="9"/>
  <c r="O3" i="9"/>
  <c r="Q3" i="9" s="1"/>
  <c r="N3" i="9"/>
  <c r="P3" i="9" s="1"/>
  <c r="V3" i="15" s="1"/>
  <c r="L3" i="9"/>
  <c r="M3" i="9" s="1"/>
  <c r="K3" i="9"/>
  <c r="U3" i="9" s="1"/>
  <c r="C3" i="9"/>
  <c r="AE2" i="9"/>
  <c r="O2" i="9"/>
  <c r="N2" i="9"/>
  <c r="P2" i="9" s="1"/>
  <c r="V2" i="15" s="1"/>
  <c r="AF55" i="15" s="1"/>
  <c r="K2" i="9"/>
  <c r="U2" i="9" s="1"/>
  <c r="U1" i="9"/>
  <c r="AH3" i="9" l="1"/>
  <c r="AI3" i="9" s="1"/>
  <c r="AH6" i="9"/>
  <c r="AI6" i="9" s="1"/>
  <c r="AH14" i="9"/>
  <c r="AI14" i="9" s="1"/>
  <c r="AF57" i="15"/>
  <c r="W4" i="15"/>
  <c r="AH4" i="9"/>
  <c r="AI4" i="9" s="1"/>
  <c r="R5" i="9"/>
  <c r="V5" i="15"/>
  <c r="W6" i="15" s="1"/>
  <c r="AF61" i="15"/>
  <c r="AH10" i="9"/>
  <c r="AI10" i="9" s="1"/>
  <c r="R11" i="9"/>
  <c r="V11" i="15"/>
  <c r="W12" i="15" s="1"/>
  <c r="AH13" i="9"/>
  <c r="AI13" i="9" s="1"/>
  <c r="W14" i="15"/>
  <c r="AF67" i="15"/>
  <c r="R7" i="9"/>
  <c r="V7" i="15"/>
  <c r="AF56" i="15"/>
  <c r="AF59" i="15"/>
  <c r="AF62" i="15"/>
  <c r="W9" i="15"/>
  <c r="AF65" i="15"/>
  <c r="Q40" i="10"/>
  <c r="W10" i="15"/>
  <c r="AF63" i="15"/>
  <c r="AF66" i="15"/>
  <c r="W13" i="15"/>
  <c r="Z9" i="9"/>
  <c r="AA9" i="9" s="1"/>
  <c r="AB9" i="9" s="1"/>
  <c r="AH9" i="9"/>
  <c r="AI9" i="9" s="1"/>
  <c r="AH5" i="9"/>
  <c r="AI5" i="9" s="1"/>
  <c r="AH7" i="9"/>
  <c r="AI7" i="9" s="1"/>
  <c r="AH12" i="9"/>
  <c r="AI12" i="9" s="1"/>
  <c r="R13" i="9"/>
  <c r="AC14" i="9"/>
  <c r="AD14" i="9" s="1"/>
  <c r="W4" i="9"/>
  <c r="X4" i="9" s="1"/>
  <c r="R2" i="9"/>
  <c r="Z6" i="9"/>
  <c r="AA6" i="9" s="1"/>
  <c r="AB6" i="9" s="1"/>
  <c r="S7" i="9"/>
  <c r="R14" i="9"/>
  <c r="S9" i="9"/>
  <c r="Z12" i="9"/>
  <c r="AA12" i="9" s="1"/>
  <c r="AB12" i="9" s="1"/>
  <c r="AA14" i="9"/>
  <c r="AB14" i="9" s="1"/>
  <c r="M10" i="9"/>
  <c r="R40" i="10"/>
  <c r="J43" i="10"/>
  <c r="J39" i="10"/>
  <c r="J42" i="10"/>
  <c r="J38" i="10"/>
  <c r="J41" i="10"/>
  <c r="J40" i="10"/>
  <c r="Y8" i="10"/>
  <c r="Y7" i="10"/>
  <c r="Y10" i="10"/>
  <c r="Y12" i="10"/>
  <c r="Y6" i="10"/>
  <c r="Y11" i="10"/>
  <c r="J57" i="9"/>
  <c r="Z7" i="10"/>
  <c r="Z11" i="10"/>
  <c r="Z5" i="10"/>
  <c r="Z2" i="10"/>
  <c r="Z4" i="10"/>
  <c r="Z9" i="10"/>
  <c r="Z8" i="10"/>
  <c r="Z10" i="10"/>
  <c r="Z6" i="10"/>
  <c r="Z3" i="10"/>
  <c r="J34" i="10"/>
  <c r="Q34" i="10"/>
  <c r="AD12" i="10"/>
  <c r="AF12" i="10"/>
  <c r="Y9" i="10"/>
  <c r="Y4" i="10"/>
  <c r="Y5" i="10"/>
  <c r="M14" i="9"/>
  <c r="AC12" i="9"/>
  <c r="AD12" i="9" s="1"/>
  <c r="Z2" i="9"/>
  <c r="AA2" i="9" s="1"/>
  <c r="W12" i="9"/>
  <c r="X12" i="9" s="1"/>
  <c r="W5" i="9"/>
  <c r="X5" i="9" s="1"/>
  <c r="V10" i="9"/>
  <c r="V4" i="9"/>
  <c r="V8" i="9"/>
  <c r="T11" i="9"/>
  <c r="S8" i="9"/>
  <c r="S4" i="9"/>
  <c r="S5" i="9"/>
  <c r="T8" i="9"/>
  <c r="M5" i="9"/>
  <c r="M12" i="9"/>
  <c r="T3" i="9"/>
  <c r="T4" i="9"/>
  <c r="M9" i="9"/>
  <c r="Z10" i="9"/>
  <c r="R10" i="9"/>
  <c r="V3" i="9"/>
  <c r="W3" i="9"/>
  <c r="X3" i="9" s="1"/>
  <c r="Y3" i="9" s="1"/>
  <c r="AE14" i="9"/>
  <c r="S14" i="9"/>
  <c r="R8" i="9"/>
  <c r="Z8" i="9"/>
  <c r="R4" i="9"/>
  <c r="Z4" i="9"/>
  <c r="R43" i="9"/>
  <c r="V7" i="9"/>
  <c r="W7" i="9"/>
  <c r="X7" i="9" s="1"/>
  <c r="AC9" i="9"/>
  <c r="AD9" i="9" s="1"/>
  <c r="S3" i="9"/>
  <c r="AE3" i="9"/>
  <c r="W6" i="9"/>
  <c r="X6" i="9" s="1"/>
  <c r="V9" i="9"/>
  <c r="V11" i="9"/>
  <c r="W11" i="9"/>
  <c r="X11" i="9" s="1"/>
  <c r="V12" i="9"/>
  <c r="W13" i="9"/>
  <c r="X13" i="9" s="1"/>
  <c r="V14" i="9"/>
  <c r="AE4" i="9"/>
  <c r="M6" i="9"/>
  <c r="AE6" i="9"/>
  <c r="S6" i="9"/>
  <c r="T7" i="9"/>
  <c r="R9" i="9"/>
  <c r="AE9" i="9"/>
  <c r="S11" i="9"/>
  <c r="R12" i="9"/>
  <c r="M13" i="9"/>
  <c r="AE13" i="9"/>
  <c r="S13" i="9"/>
  <c r="W2" i="9"/>
  <c r="Z3" i="9"/>
  <c r="R3" i="9"/>
  <c r="R44" i="9"/>
  <c r="S41" i="9"/>
  <c r="Q41" i="9"/>
  <c r="Q44" i="9"/>
  <c r="V5" i="9"/>
  <c r="V6" i="9"/>
  <c r="W9" i="9"/>
  <c r="X9" i="9" s="1"/>
  <c r="W10" i="9"/>
  <c r="X10" i="9" s="1"/>
  <c r="V13" i="9"/>
  <c r="W14" i="9"/>
  <c r="X14" i="9" s="1"/>
  <c r="J34" i="9"/>
  <c r="J35" i="9" s="1"/>
  <c r="V2" i="9"/>
  <c r="R6" i="9"/>
  <c r="W8" i="9"/>
  <c r="X8" i="9" s="1"/>
  <c r="AE10" i="9"/>
  <c r="S10" i="9"/>
  <c r="S12" i="9"/>
  <c r="Z13" i="9"/>
  <c r="J56" i="9"/>
  <c r="R51" i="9" s="1"/>
  <c r="J52" i="9"/>
  <c r="J53" i="9"/>
  <c r="U51" i="9" s="1"/>
  <c r="J55" i="9"/>
  <c r="S51" i="9" s="1"/>
  <c r="Z11" i="9"/>
  <c r="Z7" i="9"/>
  <c r="Z5" i="9"/>
  <c r="AH11" i="9"/>
  <c r="AI11" i="9" s="1"/>
  <c r="AH8" i="9"/>
  <c r="AI8" i="9" s="1"/>
  <c r="AC2" i="9" l="1"/>
  <c r="AD2" i="9" s="1"/>
  <c r="AF14" i="9"/>
  <c r="D2" i="10"/>
  <c r="AF60" i="15"/>
  <c r="W7" i="15"/>
  <c r="W8" i="15"/>
  <c r="AF64" i="15"/>
  <c r="W11" i="15"/>
  <c r="AF58" i="15"/>
  <c r="W5" i="15"/>
  <c r="AC6" i="9"/>
  <c r="AD6" i="9" s="1"/>
  <c r="J45" i="9"/>
  <c r="J44" i="9"/>
  <c r="J43" i="9"/>
  <c r="J42" i="9"/>
  <c r="J41" i="9"/>
  <c r="J40" i="9"/>
  <c r="AK13" i="10"/>
  <c r="AL13" i="10" s="1"/>
  <c r="AM13" i="10" s="1"/>
  <c r="AJ13" i="10"/>
  <c r="AK4" i="10"/>
  <c r="AL4" i="10" s="1"/>
  <c r="AM4" i="10" s="1"/>
  <c r="AJ7" i="10"/>
  <c r="AO7" i="10" s="1"/>
  <c r="AN7" i="10" s="1"/>
  <c r="AK7" i="10"/>
  <c r="AL7" i="10" s="1"/>
  <c r="AM7" i="10" s="1"/>
  <c r="AJ5" i="10"/>
  <c r="AO5" i="10" s="1"/>
  <c r="AN5" i="10" s="1"/>
  <c r="AJ9" i="10"/>
  <c r="AO9" i="10" s="1"/>
  <c r="AN9" i="10" s="1"/>
  <c r="AK9" i="10"/>
  <c r="AL9" i="10" s="1"/>
  <c r="AM9" i="10" s="1"/>
  <c r="AK12" i="10"/>
  <c r="AL12" i="10" s="1"/>
  <c r="AM12" i="10" s="1"/>
  <c r="AK6" i="10"/>
  <c r="AL6" i="10" s="1"/>
  <c r="AM6" i="10" s="1"/>
  <c r="AK10" i="10"/>
  <c r="AL10" i="10" s="1"/>
  <c r="AM10" i="10" s="1"/>
  <c r="AJ4" i="10"/>
  <c r="AO4" i="10" s="1"/>
  <c r="AN4" i="10" s="1"/>
  <c r="AJ10" i="10"/>
  <c r="AK11" i="10"/>
  <c r="AL11" i="10" s="1"/>
  <c r="AM11" i="10" s="1"/>
  <c r="AK8" i="10"/>
  <c r="AL8" i="10" s="1"/>
  <c r="AM8" i="10" s="1"/>
  <c r="AJ3" i="10"/>
  <c r="AO3" i="10" s="1"/>
  <c r="AJ11" i="10"/>
  <c r="AO11" i="10" s="1"/>
  <c r="AN11" i="10" s="1"/>
  <c r="AJ12" i="10"/>
  <c r="AO12" i="10" s="1"/>
  <c r="AN12" i="10" s="1"/>
  <c r="AJ8" i="10"/>
  <c r="AO8" i="10" s="1"/>
  <c r="AN8" i="10" s="1"/>
  <c r="AK3" i="10"/>
  <c r="AL3" i="10" s="1"/>
  <c r="AM3" i="10" s="1"/>
  <c r="AJ6" i="10"/>
  <c r="AO6" i="10" s="1"/>
  <c r="AN6" i="10" s="1"/>
  <c r="AK5" i="10"/>
  <c r="AL5" i="10" s="1"/>
  <c r="AM5" i="10" s="1"/>
  <c r="J46" i="10"/>
  <c r="K46" i="10"/>
  <c r="AA6" i="10"/>
  <c r="AB6" i="10" s="1"/>
  <c r="AC6" i="10"/>
  <c r="AA5" i="10"/>
  <c r="AB5" i="10" s="1"/>
  <c r="AC5" i="10"/>
  <c r="L40" i="10"/>
  <c r="M40" i="10" s="1"/>
  <c r="AA4" i="10"/>
  <c r="AB4" i="10" s="1"/>
  <c r="AC4" i="10"/>
  <c r="AA11" i="10"/>
  <c r="AB11" i="10" s="1"/>
  <c r="AC11" i="10"/>
  <c r="L46" i="10"/>
  <c r="AA9" i="10"/>
  <c r="AB9" i="10" s="1"/>
  <c r="AC9" i="10"/>
  <c r="AC10" i="10"/>
  <c r="AA10" i="10"/>
  <c r="AB10" i="10" s="1"/>
  <c r="AA7" i="10"/>
  <c r="AB7" i="10" s="1"/>
  <c r="AC7" i="10"/>
  <c r="AO10" i="10"/>
  <c r="AN10" i="10" s="1"/>
  <c r="AC3" i="10"/>
  <c r="AA3" i="10"/>
  <c r="AB3" i="10" s="1"/>
  <c r="AC8" i="10"/>
  <c r="AA8" i="10"/>
  <c r="AB8" i="10" s="1"/>
  <c r="AC2" i="10"/>
  <c r="AA2" i="10"/>
  <c r="AF12" i="9"/>
  <c r="Q42" i="9"/>
  <c r="R42" i="9"/>
  <c r="Y14" i="9"/>
  <c r="Y13" i="9"/>
  <c r="Y8" i="9"/>
  <c r="Y10" i="9"/>
  <c r="Y11" i="9"/>
  <c r="AF2" i="9"/>
  <c r="Y4" i="9"/>
  <c r="Y6" i="9"/>
  <c r="Y12" i="9"/>
  <c r="Y9" i="9"/>
  <c r="Y7" i="9"/>
  <c r="AC7" i="9"/>
  <c r="AA7" i="9"/>
  <c r="AB7" i="9" s="1"/>
  <c r="AC3" i="9"/>
  <c r="AD3" i="9" s="1"/>
  <c r="AA3" i="9"/>
  <c r="AB3" i="9" s="1"/>
  <c r="AA11" i="9"/>
  <c r="AB11" i="9" s="1"/>
  <c r="AC11" i="9"/>
  <c r="AC4" i="9"/>
  <c r="AD4" i="9" s="1"/>
  <c r="AA4" i="9"/>
  <c r="AB4" i="9" s="1"/>
  <c r="AC8" i="9"/>
  <c r="AA8" i="9"/>
  <c r="AB8" i="9" s="1"/>
  <c r="AA13" i="9"/>
  <c r="AB13" i="9" s="1"/>
  <c r="AC13" i="9"/>
  <c r="AD13" i="9" s="1"/>
  <c r="AA10" i="9"/>
  <c r="AB10" i="9" s="1"/>
  <c r="AC10" i="9"/>
  <c r="AD10" i="9" s="1"/>
  <c r="AF9" i="9"/>
  <c r="AC5" i="9"/>
  <c r="AA5" i="9"/>
  <c r="AB5" i="9" s="1"/>
  <c r="J36" i="9"/>
  <c r="Q36" i="9"/>
  <c r="Y5" i="9"/>
  <c r="AF6" i="9" l="1"/>
  <c r="AJ13" i="9"/>
  <c r="AO13" i="9" s="1"/>
  <c r="AN13" i="9" s="1"/>
  <c r="D2" i="9"/>
  <c r="U2" i="15" s="1"/>
  <c r="Z2" i="15"/>
  <c r="L2" i="10"/>
  <c r="C2" i="10"/>
  <c r="AH2" i="10"/>
  <c r="AI2" i="10" s="1"/>
  <c r="AF4" i="9"/>
  <c r="J48" i="9"/>
  <c r="AP13" i="10"/>
  <c r="AQ13" i="10" s="1"/>
  <c r="AR13" i="10"/>
  <c r="AS13" i="10" s="1"/>
  <c r="AO13" i="10"/>
  <c r="AN13" i="10" s="1"/>
  <c r="AD5" i="10"/>
  <c r="AF5" i="10"/>
  <c r="AR12" i="10"/>
  <c r="AS12" i="10" s="1"/>
  <c r="AR6" i="10"/>
  <c r="AS6" i="10" s="1"/>
  <c r="AR5" i="10"/>
  <c r="AS5" i="10" s="1"/>
  <c r="AR11" i="10"/>
  <c r="AS11" i="10" s="1"/>
  <c r="AR9" i="10"/>
  <c r="AS9" i="10" s="1"/>
  <c r="AR4" i="10"/>
  <c r="AS4" i="10" s="1"/>
  <c r="AR8" i="10"/>
  <c r="AS8" i="10" s="1"/>
  <c r="AR7" i="10"/>
  <c r="AS7" i="10" s="1"/>
  <c r="AR10" i="10"/>
  <c r="AS10" i="10" s="1"/>
  <c r="AR3" i="10"/>
  <c r="AD8" i="10"/>
  <c r="AF8" i="10"/>
  <c r="Q44" i="10" s="1"/>
  <c r="AD7" i="10"/>
  <c r="AF7" i="10"/>
  <c r="AD6" i="10"/>
  <c r="AF6" i="10"/>
  <c r="AD10" i="10"/>
  <c r="AF10" i="10"/>
  <c r="AD4" i="10"/>
  <c r="AF4" i="10"/>
  <c r="AD2" i="10"/>
  <c r="AF2" i="10"/>
  <c r="AD3" i="10"/>
  <c r="AF3" i="10"/>
  <c r="AD9" i="10"/>
  <c r="AF9" i="10"/>
  <c r="AD11" i="10"/>
  <c r="AF11" i="10"/>
  <c r="AP10" i="10"/>
  <c r="AQ10" i="10" s="1"/>
  <c r="AP8" i="10"/>
  <c r="AQ8" i="10" s="1"/>
  <c r="AP12" i="10"/>
  <c r="AQ12" i="10" s="1"/>
  <c r="AP6" i="10"/>
  <c r="AQ6" i="10" s="1"/>
  <c r="AP5" i="10"/>
  <c r="AQ5" i="10" s="1"/>
  <c r="AP3" i="10"/>
  <c r="AQ3" i="10" s="1"/>
  <c r="AP9" i="10"/>
  <c r="AQ9" i="10" s="1"/>
  <c r="AP11" i="10"/>
  <c r="AQ11" i="10" s="1"/>
  <c r="AP7" i="10"/>
  <c r="AQ7" i="10" s="1"/>
  <c r="AP4" i="10"/>
  <c r="AQ4" i="10" s="1"/>
  <c r="L48" i="9"/>
  <c r="AJ11" i="9"/>
  <c r="AO11" i="9" s="1"/>
  <c r="AN11" i="9" s="1"/>
  <c r="AJ5" i="9"/>
  <c r="AO5" i="9" s="1"/>
  <c r="AN5" i="9" s="1"/>
  <c r="AJ12" i="9"/>
  <c r="AO12" i="9" s="1"/>
  <c r="AN12" i="9" s="1"/>
  <c r="AK11" i="9"/>
  <c r="AL11" i="9" s="1"/>
  <c r="AM11" i="9" s="1"/>
  <c r="AK4" i="9"/>
  <c r="AL4" i="9" s="1"/>
  <c r="AM4" i="9" s="1"/>
  <c r="AK7" i="9"/>
  <c r="AL7" i="9" s="1"/>
  <c r="AM7" i="9" s="1"/>
  <c r="AF10" i="9"/>
  <c r="AK3" i="9"/>
  <c r="AL3" i="9" s="1"/>
  <c r="AM3" i="9" s="1"/>
  <c r="AK10" i="9"/>
  <c r="AL10" i="9" s="1"/>
  <c r="AM10" i="9" s="1"/>
  <c r="AK6" i="9"/>
  <c r="AL6" i="9" s="1"/>
  <c r="AM6" i="9" s="1"/>
  <c r="AJ14" i="9"/>
  <c r="AO14" i="9" s="1"/>
  <c r="AN14" i="9" s="1"/>
  <c r="AJ8" i="9"/>
  <c r="AO8" i="9" s="1"/>
  <c r="AN8" i="9" s="1"/>
  <c r="AK9" i="9"/>
  <c r="AL9" i="9" s="1"/>
  <c r="AM9" i="9" s="1"/>
  <c r="AJ4" i="9"/>
  <c r="AO4" i="9" s="1"/>
  <c r="AN4" i="9" s="1"/>
  <c r="AJ3" i="9"/>
  <c r="AO3" i="9" s="1"/>
  <c r="AJ10" i="9"/>
  <c r="AO10" i="9" s="1"/>
  <c r="AN10" i="9" s="1"/>
  <c r="AJ7" i="9"/>
  <c r="AO7" i="9" s="1"/>
  <c r="AN7" i="9" s="1"/>
  <c r="AK14" i="9"/>
  <c r="AL14" i="9" s="1"/>
  <c r="AM14" i="9" s="1"/>
  <c r="AK12" i="9"/>
  <c r="AL12" i="9" s="1"/>
  <c r="AM12" i="9" s="1"/>
  <c r="AK8" i="9"/>
  <c r="AL8" i="9" s="1"/>
  <c r="AM8" i="9" s="1"/>
  <c r="AK13" i="9"/>
  <c r="AL13" i="9" s="1"/>
  <c r="AM13" i="9" s="1"/>
  <c r="AJ9" i="9"/>
  <c r="AO9" i="9" s="1"/>
  <c r="AN9" i="9" s="1"/>
  <c r="AK5" i="9"/>
  <c r="AL5" i="9" s="1"/>
  <c r="AM5" i="9" s="1"/>
  <c r="AJ6" i="9"/>
  <c r="AO6" i="9" s="1"/>
  <c r="AN6" i="9" s="1"/>
  <c r="AF3" i="9"/>
  <c r="AD11" i="9"/>
  <c r="AF11" i="9"/>
  <c r="Q46" i="9" s="1"/>
  <c r="K48" i="9"/>
  <c r="AD7" i="9"/>
  <c r="AF7" i="9"/>
  <c r="AD5" i="9"/>
  <c r="AF5" i="9"/>
  <c r="L42" i="9"/>
  <c r="M42" i="9" s="1"/>
  <c r="AD8" i="9"/>
  <c r="AF8" i="9"/>
  <c r="AF13" i="9"/>
  <c r="AH2" i="9" l="1"/>
  <c r="AI2" i="9" s="1"/>
  <c r="C2" i="9"/>
  <c r="L2" i="9"/>
  <c r="T2" i="9" s="1"/>
  <c r="M2" i="10"/>
  <c r="T2" i="10"/>
  <c r="AE68" i="15"/>
  <c r="AC2" i="15"/>
  <c r="AD3" i="15" s="1"/>
  <c r="AD2" i="15" s="1"/>
  <c r="AB3" i="15"/>
  <c r="AB2" i="15" s="1"/>
  <c r="AK2" i="10"/>
  <c r="AL2" i="10" s="1"/>
  <c r="AM2" i="10" s="1"/>
  <c r="AJ2" i="10"/>
  <c r="AO2" i="10" s="1"/>
  <c r="AE55" i="15"/>
  <c r="X2" i="15"/>
  <c r="Y3" i="15" s="1"/>
  <c r="Y2" i="15" s="1"/>
  <c r="W3" i="15"/>
  <c r="W2" i="15" s="1"/>
  <c r="AG8" i="10"/>
  <c r="Q43" i="10" s="1"/>
  <c r="AG11" i="9"/>
  <c r="Q45" i="9" s="1"/>
  <c r="AG9" i="9"/>
  <c r="AP8" i="9"/>
  <c r="AQ8" i="9" s="1"/>
  <c r="AP9" i="9"/>
  <c r="AQ9" i="9" s="1"/>
  <c r="AP13" i="9"/>
  <c r="AQ13" i="9" s="1"/>
  <c r="AP14" i="9"/>
  <c r="AQ14" i="9" s="1"/>
  <c r="AP3" i="9"/>
  <c r="AQ3" i="9" s="1"/>
  <c r="AP5" i="9"/>
  <c r="AQ5" i="9" s="1"/>
  <c r="AP4" i="9"/>
  <c r="AQ4" i="9" s="1"/>
  <c r="AJ2" i="9"/>
  <c r="AO2" i="9" s="1"/>
  <c r="AK2" i="9"/>
  <c r="AL2" i="9" s="1"/>
  <c r="AM2" i="9" s="1"/>
  <c r="AP7" i="9"/>
  <c r="AQ7" i="9" s="1"/>
  <c r="AP6" i="9"/>
  <c r="AQ6" i="9" s="1"/>
  <c r="AR13" i="9"/>
  <c r="AS13" i="9" s="1"/>
  <c r="AR10" i="9"/>
  <c r="AS10" i="9" s="1"/>
  <c r="AR6" i="9"/>
  <c r="AS6" i="9" s="1"/>
  <c r="AR11" i="9"/>
  <c r="AS11" i="9" s="1"/>
  <c r="AR9" i="9"/>
  <c r="AS9" i="9" s="1"/>
  <c r="AR3" i="9"/>
  <c r="AR12" i="9"/>
  <c r="AS12" i="9" s="1"/>
  <c r="AR7" i="9"/>
  <c r="AS7" i="9" s="1"/>
  <c r="AR14" i="9"/>
  <c r="AS14" i="9" s="1"/>
  <c r="AR8" i="9"/>
  <c r="AS8" i="9" s="1"/>
  <c r="AR4" i="9"/>
  <c r="AS4" i="9" s="1"/>
  <c r="AR5" i="9"/>
  <c r="AS5" i="9" s="1"/>
  <c r="AP12" i="9"/>
  <c r="AQ12" i="9" s="1"/>
  <c r="AP10" i="9"/>
  <c r="AQ10" i="9" s="1"/>
  <c r="AP11" i="9"/>
  <c r="AQ11" i="9" s="1"/>
  <c r="M2" i="9" l="1"/>
  <c r="AT13" i="9"/>
  <c r="AU13" i="9" s="1"/>
  <c r="AT10" i="10"/>
  <c r="AU10" i="10" s="1"/>
  <c r="AT8" i="10"/>
  <c r="AU8" i="10" s="1"/>
  <c r="AT12" i="10"/>
  <c r="AU12" i="10" s="1"/>
  <c r="AT6" i="10"/>
  <c r="AU6" i="10" s="1"/>
  <c r="AT11" i="10"/>
  <c r="AU11" i="10" s="1"/>
  <c r="AT9" i="10"/>
  <c r="AU9" i="10" s="1"/>
  <c r="AT7" i="10"/>
  <c r="AU7" i="10" s="1"/>
  <c r="AT6" i="9"/>
  <c r="AU6" i="9" s="1"/>
  <c r="AT10" i="9"/>
  <c r="AU10" i="9" s="1"/>
  <c r="AT11" i="9"/>
  <c r="AU11" i="9" s="1"/>
  <c r="AT9" i="9"/>
  <c r="AU9" i="9" s="1"/>
  <c r="AT14" i="9"/>
  <c r="AU14" i="9" s="1"/>
  <c r="AT12" i="9"/>
  <c r="AU12" i="9" s="1"/>
  <c r="AT8" i="9"/>
  <c r="AU8" i="9" s="1"/>
  <c r="AT7" i="9"/>
  <c r="AU7" i="9" s="1"/>
  <c r="V56" i="8" l="1"/>
  <c r="U56" i="8"/>
  <c r="T56" i="8"/>
  <c r="S56" i="8"/>
  <c r="R56" i="8"/>
  <c r="Q56" i="8"/>
  <c r="V55" i="8"/>
  <c r="U55" i="8"/>
  <c r="T55" i="8"/>
  <c r="S55" i="8"/>
  <c r="R55" i="8"/>
  <c r="Q55" i="8"/>
  <c r="V52" i="8"/>
  <c r="U52" i="8"/>
  <c r="T52" i="8"/>
  <c r="S52" i="8"/>
  <c r="R52" i="8"/>
  <c r="Q52" i="8"/>
  <c r="V51" i="8"/>
  <c r="U51" i="8"/>
  <c r="T51" i="8"/>
  <c r="S51" i="8"/>
  <c r="R51" i="8"/>
  <c r="Q51" i="8"/>
  <c r="E49" i="8"/>
  <c r="I44" i="8"/>
  <c r="I39" i="8"/>
  <c r="Q36" i="8"/>
  <c r="Q34" i="8"/>
  <c r="Q33" i="8"/>
  <c r="C33" i="8"/>
  <c r="Z13" i="8" s="1"/>
  <c r="Q37" i="8" s="1"/>
  <c r="Q32" i="8"/>
  <c r="Q31" i="8"/>
  <c r="C31" i="8"/>
  <c r="C32" i="8" s="1"/>
  <c r="Q30" i="8"/>
  <c r="S2" i="8" s="1"/>
  <c r="J30" i="8"/>
  <c r="J29" i="8"/>
  <c r="J28" i="8"/>
  <c r="Q27" i="8"/>
  <c r="Q26" i="8"/>
  <c r="Q25" i="8"/>
  <c r="Q24" i="8"/>
  <c r="Q23" i="8"/>
  <c r="O13" i="8"/>
  <c r="Q13" i="8" s="1"/>
  <c r="N13" i="8"/>
  <c r="P13" i="8" s="1"/>
  <c r="L13" i="8"/>
  <c r="T13" i="8" s="1"/>
  <c r="K13" i="8"/>
  <c r="U13" i="8" s="1"/>
  <c r="C13" i="8"/>
  <c r="O12" i="8"/>
  <c r="Q12" i="8" s="1"/>
  <c r="N12" i="8"/>
  <c r="P12" i="8" s="1"/>
  <c r="L12" i="8"/>
  <c r="M12" i="8" s="1"/>
  <c r="K12" i="8"/>
  <c r="U12" i="8" s="1"/>
  <c r="C12" i="8"/>
  <c r="O11" i="8"/>
  <c r="Q11" i="8" s="1"/>
  <c r="N11" i="8"/>
  <c r="P11" i="8" s="1"/>
  <c r="L11" i="8"/>
  <c r="T11" i="8" s="1"/>
  <c r="K11" i="8"/>
  <c r="U11" i="8" s="1"/>
  <c r="C11" i="8"/>
  <c r="O10" i="8"/>
  <c r="Q10" i="8" s="1"/>
  <c r="AE10" i="8" s="1"/>
  <c r="N10" i="8"/>
  <c r="P10" i="8" s="1"/>
  <c r="Q10" i="15" s="1"/>
  <c r="L10" i="8"/>
  <c r="M10" i="8" s="1"/>
  <c r="K10" i="8"/>
  <c r="U10" i="8" s="1"/>
  <c r="C10" i="8"/>
  <c r="O9" i="8"/>
  <c r="Q9" i="8" s="1"/>
  <c r="N9" i="8"/>
  <c r="P9" i="8" s="1"/>
  <c r="Q9" i="15" s="1"/>
  <c r="L9" i="8"/>
  <c r="K9" i="8"/>
  <c r="U9" i="8" s="1"/>
  <c r="C9" i="8"/>
  <c r="O8" i="8"/>
  <c r="Q8" i="8" s="1"/>
  <c r="N8" i="8"/>
  <c r="P8" i="8" s="1"/>
  <c r="Q8" i="15" s="1"/>
  <c r="L8" i="8"/>
  <c r="T8" i="8" s="1"/>
  <c r="K8" i="8"/>
  <c r="U8" i="8" s="1"/>
  <c r="C8" i="8"/>
  <c r="O7" i="8"/>
  <c r="Q7" i="8" s="1"/>
  <c r="N7" i="8"/>
  <c r="P7" i="8" s="1"/>
  <c r="Q7" i="15" s="1"/>
  <c r="L7" i="8"/>
  <c r="T7" i="8" s="1"/>
  <c r="K7" i="8"/>
  <c r="U7" i="8" s="1"/>
  <c r="C7" i="8"/>
  <c r="O6" i="8"/>
  <c r="Q6" i="8" s="1"/>
  <c r="AE6" i="8" s="1"/>
  <c r="N6" i="8"/>
  <c r="P6" i="8" s="1"/>
  <c r="Q6" i="15" s="1"/>
  <c r="L6" i="8"/>
  <c r="M6" i="8" s="1"/>
  <c r="K6" i="8"/>
  <c r="U6" i="8" s="1"/>
  <c r="C6" i="8"/>
  <c r="O5" i="8"/>
  <c r="Q5" i="8" s="1"/>
  <c r="N5" i="8"/>
  <c r="P5" i="8" s="1"/>
  <c r="L5" i="8"/>
  <c r="M5" i="8" s="1"/>
  <c r="K5" i="8"/>
  <c r="U5" i="8" s="1"/>
  <c r="C5" i="8"/>
  <c r="O4" i="8"/>
  <c r="Q4" i="8" s="1"/>
  <c r="N4" i="8"/>
  <c r="P4" i="8" s="1"/>
  <c r="L4" i="8"/>
  <c r="T4" i="8" s="1"/>
  <c r="K4" i="8"/>
  <c r="U4" i="8" s="1"/>
  <c r="C4" i="8"/>
  <c r="O3" i="8"/>
  <c r="Q3" i="8" s="1"/>
  <c r="N3" i="8"/>
  <c r="P3" i="8" s="1"/>
  <c r="Q3" i="15" s="1"/>
  <c r="L3" i="8"/>
  <c r="M3" i="8" s="1"/>
  <c r="K3" i="8"/>
  <c r="U3" i="8" s="1"/>
  <c r="C3" i="8"/>
  <c r="AE2" i="8"/>
  <c r="O2" i="8"/>
  <c r="N2" i="8"/>
  <c r="P2" i="8" s="1"/>
  <c r="Q2" i="15" s="1"/>
  <c r="AF43" i="15" s="1"/>
  <c r="K2" i="8"/>
  <c r="U2" i="8" s="1"/>
  <c r="U1" i="8"/>
  <c r="Q4" i="15" l="1"/>
  <c r="Q42" i="8"/>
  <c r="R7" i="8"/>
  <c r="R40" i="8"/>
  <c r="S40" i="8"/>
  <c r="Q11" i="15"/>
  <c r="AF52" i="15" s="1"/>
  <c r="R5" i="8"/>
  <c r="Q5" i="15"/>
  <c r="R6" i="15" s="1"/>
  <c r="AF45" i="15"/>
  <c r="R4" i="15"/>
  <c r="AF48" i="15"/>
  <c r="R7" i="15"/>
  <c r="AF51" i="15"/>
  <c r="R10" i="15"/>
  <c r="AF49" i="15"/>
  <c r="R8" i="15"/>
  <c r="R12" i="8"/>
  <c r="Q12" i="15"/>
  <c r="AF44" i="15"/>
  <c r="AF47" i="15"/>
  <c r="R9" i="15"/>
  <c r="AF50" i="15"/>
  <c r="R13" i="8"/>
  <c r="Q13" i="15"/>
  <c r="AH9" i="8"/>
  <c r="AI9" i="8" s="1"/>
  <c r="AH3" i="8"/>
  <c r="AI3" i="8" s="1"/>
  <c r="R8" i="8"/>
  <c r="S11" i="8"/>
  <c r="Z7" i="8"/>
  <c r="R10" i="8"/>
  <c r="AA13" i="8"/>
  <c r="S4" i="8"/>
  <c r="S7" i="8"/>
  <c r="R2" i="8"/>
  <c r="R6" i="8"/>
  <c r="R9" i="8"/>
  <c r="R11" i="8"/>
  <c r="AH5" i="8"/>
  <c r="AI5" i="8" s="1"/>
  <c r="J56" i="8"/>
  <c r="AH12" i="8"/>
  <c r="AI12" i="8" s="1"/>
  <c r="AH13" i="8"/>
  <c r="AI13" i="8" s="1"/>
  <c r="AH4" i="8"/>
  <c r="AI4" i="8" s="1"/>
  <c r="AH8" i="8"/>
  <c r="AI8" i="8" s="1"/>
  <c r="AH11" i="8"/>
  <c r="AI11" i="8" s="1"/>
  <c r="J51" i="8"/>
  <c r="M11" i="8"/>
  <c r="J53" i="8"/>
  <c r="T50" i="8" s="1"/>
  <c r="J54" i="8"/>
  <c r="S50" i="8" s="1"/>
  <c r="J55" i="8"/>
  <c r="R50" i="8" s="1"/>
  <c r="Z11" i="8"/>
  <c r="AC11" i="8" s="1"/>
  <c r="AD11" i="8" s="1"/>
  <c r="M7" i="8"/>
  <c r="S6" i="8"/>
  <c r="V2" i="8"/>
  <c r="W4" i="8"/>
  <c r="X4" i="8" s="1"/>
  <c r="W2" i="8"/>
  <c r="V6" i="8"/>
  <c r="V10" i="8"/>
  <c r="W6" i="8"/>
  <c r="X6" i="8" s="1"/>
  <c r="V4" i="8"/>
  <c r="W13" i="8"/>
  <c r="X13" i="8" s="1"/>
  <c r="V8" i="8"/>
  <c r="V12" i="8"/>
  <c r="W10" i="8"/>
  <c r="X10" i="8" s="1"/>
  <c r="S10" i="8"/>
  <c r="T12" i="8"/>
  <c r="T3" i="8"/>
  <c r="T10" i="8"/>
  <c r="M13" i="8"/>
  <c r="M4" i="8"/>
  <c r="R41" i="8" s="1"/>
  <c r="T6" i="8"/>
  <c r="W11" i="8"/>
  <c r="X11" i="8" s="1"/>
  <c r="V11" i="8"/>
  <c r="R42" i="8"/>
  <c r="R4" i="8"/>
  <c r="T5" i="8"/>
  <c r="R43" i="8"/>
  <c r="Q43" i="8"/>
  <c r="Q40" i="8"/>
  <c r="AE4" i="8"/>
  <c r="S9" i="8"/>
  <c r="AE9" i="8"/>
  <c r="Z12" i="8"/>
  <c r="Z9" i="8"/>
  <c r="Z8" i="8"/>
  <c r="Z3" i="8"/>
  <c r="Z5" i="8"/>
  <c r="Z2" i="8"/>
  <c r="Z10" i="8"/>
  <c r="Z6" i="8"/>
  <c r="Z4" i="8"/>
  <c r="AE3" i="8"/>
  <c r="S3" i="8"/>
  <c r="AE5" i="8"/>
  <c r="S5" i="8"/>
  <c r="W7" i="8"/>
  <c r="X7" i="8" s="1"/>
  <c r="V7" i="8"/>
  <c r="AE12" i="8"/>
  <c r="S12" i="8"/>
  <c r="AB13" i="8"/>
  <c r="V3" i="8"/>
  <c r="W3" i="8"/>
  <c r="X3" i="8" s="1"/>
  <c r="Y3" i="8" s="1"/>
  <c r="R3" i="8"/>
  <c r="V5" i="8"/>
  <c r="W5" i="8"/>
  <c r="X5" i="8" s="1"/>
  <c r="AC7" i="8"/>
  <c r="AD7" i="8" s="1"/>
  <c r="AA7" i="8"/>
  <c r="AB7" i="8" s="1"/>
  <c r="M9" i="8"/>
  <c r="T9" i="8"/>
  <c r="V9" i="8"/>
  <c r="W9" i="8"/>
  <c r="X9" i="8" s="1"/>
  <c r="S13" i="8"/>
  <c r="AE13" i="8"/>
  <c r="AE11" i="8"/>
  <c r="AE7" i="8"/>
  <c r="W12" i="8"/>
  <c r="X12" i="8" s="1"/>
  <c r="V13" i="8"/>
  <c r="M8" i="8"/>
  <c r="AE8" i="8"/>
  <c r="S8" i="8"/>
  <c r="AH7" i="8"/>
  <c r="AI7" i="8" s="1"/>
  <c r="AC13" i="8"/>
  <c r="AD13" i="8" s="1"/>
  <c r="J31" i="8"/>
  <c r="J32" i="8" s="1"/>
  <c r="J33" i="8" s="1"/>
  <c r="J34" i="8" s="1"/>
  <c r="W8" i="8"/>
  <c r="X8" i="8" s="1"/>
  <c r="AH10" i="8"/>
  <c r="AI10" i="8" s="1"/>
  <c r="AH6" i="8"/>
  <c r="AI6" i="8" s="1"/>
  <c r="J52" i="8"/>
  <c r="U50" i="8" s="1"/>
  <c r="Q41" i="8" l="1"/>
  <c r="R11" i="15"/>
  <c r="AF54" i="15"/>
  <c r="R13" i="15"/>
  <c r="AF53" i="15"/>
  <c r="R12" i="15"/>
  <c r="AF46" i="15"/>
  <c r="R5" i="15"/>
  <c r="J40" i="8"/>
  <c r="J39" i="8"/>
  <c r="J41" i="8"/>
  <c r="J43" i="8"/>
  <c r="J42" i="8"/>
  <c r="J44" i="8"/>
  <c r="AF13" i="8"/>
  <c r="AA11" i="8"/>
  <c r="AB11" i="8" s="1"/>
  <c r="Y12" i="8"/>
  <c r="Y4" i="8"/>
  <c r="Y6" i="8"/>
  <c r="Y8" i="8"/>
  <c r="Y9" i="8"/>
  <c r="Y7" i="8"/>
  <c r="AA2" i="8"/>
  <c r="AC2" i="8"/>
  <c r="AF7" i="8"/>
  <c r="AC6" i="8"/>
  <c r="AA6" i="8"/>
  <c r="AB6" i="8" s="1"/>
  <c r="AC3" i="8"/>
  <c r="AD3" i="8" s="1"/>
  <c r="AA3" i="8"/>
  <c r="AB3" i="8" s="1"/>
  <c r="AC12" i="8"/>
  <c r="AD12" i="8" s="1"/>
  <c r="AA12" i="8"/>
  <c r="AB12" i="8" s="1"/>
  <c r="Y10" i="8"/>
  <c r="AF11" i="8"/>
  <c r="Y5" i="8"/>
  <c r="AC10" i="8"/>
  <c r="AA10" i="8"/>
  <c r="AB10" i="8" s="1"/>
  <c r="AA8" i="8"/>
  <c r="AB8" i="8" s="1"/>
  <c r="AC8" i="8"/>
  <c r="AD8" i="8" s="1"/>
  <c r="Y13" i="8"/>
  <c r="Q35" i="8"/>
  <c r="J35" i="8"/>
  <c r="AC4" i="8"/>
  <c r="AD4" i="8" s="1"/>
  <c r="AA4" i="8"/>
  <c r="AB4" i="8" s="1"/>
  <c r="AA5" i="8"/>
  <c r="AB5" i="8" s="1"/>
  <c r="AC5" i="8"/>
  <c r="AD5" i="8" s="1"/>
  <c r="AC9" i="8"/>
  <c r="AD9" i="8" s="1"/>
  <c r="AA9" i="8"/>
  <c r="AB9" i="8" s="1"/>
  <c r="Y11" i="8"/>
  <c r="D2" i="8" l="1"/>
  <c r="P2" i="15" s="1"/>
  <c r="S2" i="15" s="1"/>
  <c r="T3" i="15" s="1"/>
  <c r="T2" i="15" s="1"/>
  <c r="AF8" i="8"/>
  <c r="L47" i="8"/>
  <c r="AK7" i="8"/>
  <c r="AL7" i="8" s="1"/>
  <c r="AM7" i="8" s="1"/>
  <c r="AJ6" i="8"/>
  <c r="AO6" i="8" s="1"/>
  <c r="AN6" i="8" s="1"/>
  <c r="AK3" i="8"/>
  <c r="AL3" i="8" s="1"/>
  <c r="AM3" i="8" s="1"/>
  <c r="AJ8" i="8"/>
  <c r="AO8" i="8" s="1"/>
  <c r="AN8" i="8" s="1"/>
  <c r="AK6" i="8"/>
  <c r="AL6" i="8" s="1"/>
  <c r="AM6" i="8" s="1"/>
  <c r="AK4" i="8"/>
  <c r="AL4" i="8" s="1"/>
  <c r="AM4" i="8" s="1"/>
  <c r="AJ5" i="8"/>
  <c r="AO5" i="8" s="1"/>
  <c r="AN5" i="8" s="1"/>
  <c r="AJ7" i="8"/>
  <c r="AO7" i="8" s="1"/>
  <c r="AN7" i="8" s="1"/>
  <c r="AK8" i="8"/>
  <c r="AL8" i="8" s="1"/>
  <c r="AM8" i="8" s="1"/>
  <c r="AJ9" i="8"/>
  <c r="AO9" i="8" s="1"/>
  <c r="AN9" i="8" s="1"/>
  <c r="AJ13" i="8"/>
  <c r="AO13" i="8" s="1"/>
  <c r="AN13" i="8" s="1"/>
  <c r="AJ11" i="8"/>
  <c r="AO11" i="8" s="1"/>
  <c r="AN11" i="8" s="1"/>
  <c r="AK11" i="8"/>
  <c r="AL11" i="8" s="1"/>
  <c r="AM11" i="8" s="1"/>
  <c r="AK9" i="8"/>
  <c r="AL9" i="8" s="1"/>
  <c r="AM9" i="8" s="1"/>
  <c r="AJ12" i="8"/>
  <c r="AO12" i="8" s="1"/>
  <c r="AN12" i="8" s="1"/>
  <c r="AJ10" i="8"/>
  <c r="AO10" i="8" s="1"/>
  <c r="AN10" i="8" s="1"/>
  <c r="AK5" i="8"/>
  <c r="AL5" i="8" s="1"/>
  <c r="AM5" i="8" s="1"/>
  <c r="AK13" i="8"/>
  <c r="AL13" i="8" s="1"/>
  <c r="AM13" i="8" s="1"/>
  <c r="AJ4" i="8"/>
  <c r="AO4" i="8" s="1"/>
  <c r="AN4" i="8" s="1"/>
  <c r="AJ3" i="8"/>
  <c r="AO3" i="8" s="1"/>
  <c r="AK10" i="8"/>
  <c r="AL10" i="8" s="1"/>
  <c r="AM10" i="8" s="1"/>
  <c r="AK12" i="8"/>
  <c r="AL12" i="8" s="1"/>
  <c r="AM12" i="8" s="1"/>
  <c r="AF3" i="8"/>
  <c r="AF4" i="8"/>
  <c r="AF12" i="8"/>
  <c r="AF2" i="8"/>
  <c r="AD2" i="8"/>
  <c r="AF9" i="8"/>
  <c r="Q45" i="8" s="1"/>
  <c r="AD10" i="8"/>
  <c r="AF10" i="8"/>
  <c r="J47" i="8"/>
  <c r="K47" i="8"/>
  <c r="AD6" i="8"/>
  <c r="AF6" i="8"/>
  <c r="L41" i="8"/>
  <c r="M41" i="8" s="1"/>
  <c r="AF5" i="8"/>
  <c r="AE43" i="15" l="1"/>
  <c r="R3" i="15"/>
  <c r="R2" i="15" s="1"/>
  <c r="C2" i="8"/>
  <c r="AG9" i="8"/>
  <c r="Q44" i="8" s="1"/>
  <c r="L2" i="8"/>
  <c r="T2" i="8" s="1"/>
  <c r="AH2" i="8"/>
  <c r="AI2" i="8" s="1"/>
  <c r="AK2" i="8" s="1"/>
  <c r="AL2" i="8" s="1"/>
  <c r="AM2" i="8" s="1"/>
  <c r="AR11" i="8"/>
  <c r="AS11" i="8" s="1"/>
  <c r="AR8" i="8"/>
  <c r="AS8" i="8" s="1"/>
  <c r="AR5" i="8"/>
  <c r="AS5" i="8" s="1"/>
  <c r="AR3" i="8"/>
  <c r="AR7" i="8"/>
  <c r="AS7" i="8" s="1"/>
  <c r="AR12" i="8"/>
  <c r="AS12" i="8" s="1"/>
  <c r="AR10" i="8"/>
  <c r="AS10" i="8" s="1"/>
  <c r="AR9" i="8"/>
  <c r="AS9" i="8" s="1"/>
  <c r="AR6" i="8"/>
  <c r="AS6" i="8" s="1"/>
  <c r="AR13" i="8"/>
  <c r="AS13" i="8" s="1"/>
  <c r="AR4" i="8"/>
  <c r="AS4" i="8" s="1"/>
  <c r="AP10" i="8"/>
  <c r="AQ10" i="8" s="1"/>
  <c r="AP6" i="8"/>
  <c r="AQ6" i="8" s="1"/>
  <c r="AP13" i="8"/>
  <c r="AQ13" i="8" s="1"/>
  <c r="AP12" i="8"/>
  <c r="AQ12" i="8" s="1"/>
  <c r="AP4" i="8"/>
  <c r="AQ4" i="8" s="1"/>
  <c r="AP8" i="8"/>
  <c r="AQ8" i="8" s="1"/>
  <c r="AP9" i="8"/>
  <c r="AQ9" i="8" s="1"/>
  <c r="AP7" i="8"/>
  <c r="AQ7" i="8" s="1"/>
  <c r="AP3" i="8"/>
  <c r="AQ3" i="8" s="1"/>
  <c r="AP11" i="8"/>
  <c r="AQ11" i="8" s="1"/>
  <c r="AP5" i="8"/>
  <c r="AQ5" i="8" s="1"/>
  <c r="AT10" i="8" l="1"/>
  <c r="AU10" i="8" s="1"/>
  <c r="AT7" i="8"/>
  <c r="AU7" i="8" s="1"/>
  <c r="AT8" i="8"/>
  <c r="AU8" i="8" s="1"/>
  <c r="AT11" i="8"/>
  <c r="AU11" i="8" s="1"/>
  <c r="AT9" i="8"/>
  <c r="AU9" i="8" s="1"/>
  <c r="AT12" i="8"/>
  <c r="AU12" i="8" s="1"/>
  <c r="AT6" i="8"/>
  <c r="AU6" i="8" s="1"/>
  <c r="AT13" i="8"/>
  <c r="AU13" i="8" s="1"/>
  <c r="AJ2" i="8"/>
  <c r="AO2" i="8" s="1"/>
  <c r="M2" i="8"/>
  <c r="H2" i="5" l="1"/>
  <c r="J2" i="5"/>
  <c r="B2" i="5" l="1"/>
  <c r="E2" i="5"/>
  <c r="G2" i="5" s="1"/>
  <c r="K2" i="5"/>
  <c r="L2" i="5"/>
  <c r="M2" i="5" s="1"/>
  <c r="B3" i="5"/>
  <c r="E3" i="5"/>
  <c r="G3" i="5" s="1"/>
  <c r="H3" i="5"/>
  <c r="J3" i="5"/>
  <c r="L3" i="5"/>
  <c r="M3" i="5" s="1"/>
  <c r="B4" i="5"/>
  <c r="E4" i="5"/>
  <c r="G4" i="5" s="1"/>
  <c r="H4" i="5"/>
  <c r="K4" i="5" s="1"/>
  <c r="J4" i="5"/>
  <c r="L4" i="5"/>
  <c r="M4" i="5" s="1"/>
  <c r="B5" i="5"/>
  <c r="E5" i="5"/>
  <c r="G5" i="5" s="1"/>
  <c r="H5" i="5"/>
  <c r="J5" i="5"/>
  <c r="L5" i="5"/>
  <c r="M5" i="5" s="1"/>
  <c r="B6" i="5"/>
  <c r="E6" i="5"/>
  <c r="G6" i="5" s="1"/>
  <c r="H6" i="5"/>
  <c r="K6" i="5" s="1"/>
  <c r="J6" i="5"/>
  <c r="L6" i="5"/>
  <c r="M6" i="5" s="1"/>
  <c r="B7" i="5"/>
  <c r="E7" i="5"/>
  <c r="G7" i="5" s="1"/>
  <c r="H7" i="5"/>
  <c r="K7" i="5" s="1"/>
  <c r="J7" i="5"/>
  <c r="L7" i="5"/>
  <c r="M7" i="5" s="1"/>
  <c r="B8" i="5"/>
  <c r="E8" i="5"/>
  <c r="G8" i="5" s="1"/>
  <c r="H8" i="5"/>
  <c r="K8" i="5" s="1"/>
  <c r="J8" i="5"/>
  <c r="L8" i="5"/>
  <c r="M8" i="5" s="1"/>
  <c r="B9" i="5"/>
  <c r="E9" i="5"/>
  <c r="G9" i="5" s="1"/>
  <c r="H9" i="5"/>
  <c r="K9" i="5" s="1"/>
  <c r="J9" i="5"/>
  <c r="L9" i="5"/>
  <c r="M9" i="5" s="1"/>
  <c r="B10" i="5"/>
  <c r="E10" i="5"/>
  <c r="G10" i="5" s="1"/>
  <c r="H10" i="5"/>
  <c r="K10" i="5" s="1"/>
  <c r="J10" i="5"/>
  <c r="L10" i="5"/>
  <c r="M10" i="5" s="1"/>
  <c r="AE44" i="4"/>
  <c r="I5" i="5" l="1"/>
  <c r="K5" i="5"/>
  <c r="I3" i="5"/>
  <c r="I2" i="5" s="1"/>
  <c r="I7" i="5"/>
  <c r="I6" i="5"/>
  <c r="I10" i="5"/>
  <c r="I8" i="5"/>
  <c r="I9" i="5"/>
  <c r="K3" i="5"/>
  <c r="I4" i="5"/>
  <c r="AE46" i="4" l="1"/>
  <c r="AE41" i="4" l="1"/>
  <c r="T48" i="4"/>
  <c r="AD3" i="4" l="1"/>
  <c r="X47" i="4" l="1"/>
  <c r="AE40" i="4" s="1"/>
  <c r="X45" i="4"/>
  <c r="Z45" i="4" s="1"/>
  <c r="Y19" i="4" l="1"/>
  <c r="Y18" i="4"/>
  <c r="AJ31" i="4"/>
  <c r="AJ30" i="4"/>
  <c r="AJ32" i="4" s="1"/>
  <c r="AJ33" i="4" s="1"/>
  <c r="P73" i="4"/>
  <c r="M73" i="4"/>
  <c r="O73" i="4" s="1"/>
  <c r="K73" i="4"/>
  <c r="L73" i="4" s="1"/>
  <c r="J73" i="4"/>
  <c r="T73" i="4" s="1"/>
  <c r="C73" i="4"/>
  <c r="P74" i="4"/>
  <c r="M74" i="4"/>
  <c r="O74" i="4" s="1"/>
  <c r="K74" i="4"/>
  <c r="S74" i="4" s="1"/>
  <c r="J74" i="4"/>
  <c r="T74" i="4" s="1"/>
  <c r="C74" i="4"/>
  <c r="P75" i="4"/>
  <c r="M75" i="4"/>
  <c r="O75" i="4" s="1"/>
  <c r="K75" i="4"/>
  <c r="L75" i="4" s="1"/>
  <c r="J75" i="4"/>
  <c r="T75" i="4" s="1"/>
  <c r="C75" i="4"/>
  <c r="P72" i="4"/>
  <c r="M72" i="4"/>
  <c r="O72" i="4" s="1"/>
  <c r="K72" i="4"/>
  <c r="L72" i="4" s="1"/>
  <c r="J72" i="4"/>
  <c r="T72" i="4" s="1"/>
  <c r="C72" i="4"/>
  <c r="N3" i="4"/>
  <c r="M3" i="4"/>
  <c r="O3" i="4" s="1"/>
  <c r="B2" i="15" s="1"/>
  <c r="AF2" i="15" s="1"/>
  <c r="J3" i="4"/>
  <c r="AW4" i="4"/>
  <c r="N4" i="4"/>
  <c r="P4" i="4" s="1"/>
  <c r="AD4" i="4" s="1"/>
  <c r="M4" i="4"/>
  <c r="O4" i="4" s="1"/>
  <c r="B3" i="15" s="1"/>
  <c r="K4" i="4"/>
  <c r="S4" i="4" s="1"/>
  <c r="J4" i="4"/>
  <c r="T4" i="4" s="1"/>
  <c r="C4" i="4"/>
  <c r="AJ29" i="4"/>
  <c r="AF3" i="15" l="1"/>
  <c r="Z18" i="4"/>
  <c r="AB18" i="4"/>
  <c r="AJ34" i="4"/>
  <c r="AJ35" i="4" s="1"/>
  <c r="AJ36" i="4" s="1"/>
  <c r="X40" i="4" s="1"/>
  <c r="AE45" i="4" s="1"/>
  <c r="S72" i="4"/>
  <c r="S73" i="4"/>
  <c r="L74" i="4"/>
  <c r="S75" i="4"/>
  <c r="L4" i="4"/>
  <c r="AA36" i="2"/>
  <c r="U9" i="2" s="1"/>
  <c r="AA35" i="2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C28" i="2"/>
  <c r="D28" i="2" s="1"/>
  <c r="AI26" i="2"/>
  <c r="AH24" i="2"/>
  <c r="AH23" i="2"/>
  <c r="AH21" i="2"/>
  <c r="AA21" i="2"/>
  <c r="AH22" i="2" s="1"/>
  <c r="AH20" i="2"/>
  <c r="AH19" i="2"/>
  <c r="AH18" i="2"/>
  <c r="X9" i="2"/>
  <c r="M9" i="2"/>
  <c r="O9" i="2" s="1"/>
  <c r="L9" i="2"/>
  <c r="N9" i="2" s="1"/>
  <c r="K9" i="2"/>
  <c r="S9" i="2" s="1"/>
  <c r="M8" i="2"/>
  <c r="O8" i="2" s="1"/>
  <c r="L8" i="2"/>
  <c r="N8" i="2" s="1"/>
  <c r="K8" i="2"/>
  <c r="S8" i="2" s="1"/>
  <c r="J8" i="2"/>
  <c r="X8" i="2" s="1"/>
  <c r="U7" i="2"/>
  <c r="M7" i="2"/>
  <c r="O7" i="2" s="1"/>
  <c r="L7" i="2"/>
  <c r="N7" i="2" s="1"/>
  <c r="P7" i="2" s="1"/>
  <c r="K7" i="2"/>
  <c r="S7" i="2" s="1"/>
  <c r="J7" i="2"/>
  <c r="X7" i="2" s="1"/>
  <c r="M6" i="2"/>
  <c r="O6" i="2" s="1"/>
  <c r="Q6" i="2" s="1"/>
  <c r="L6" i="2"/>
  <c r="N6" i="2" s="1"/>
  <c r="K6" i="2"/>
  <c r="S6" i="2" s="1"/>
  <c r="J6" i="2"/>
  <c r="X6" i="2" s="1"/>
  <c r="U5" i="2"/>
  <c r="M5" i="2"/>
  <c r="O5" i="2" s="1"/>
  <c r="L5" i="2"/>
  <c r="N5" i="2" s="1"/>
  <c r="P5" i="2" s="1"/>
  <c r="K5" i="2"/>
  <c r="S5" i="2" s="1"/>
  <c r="J5" i="2"/>
  <c r="X5" i="2" s="1"/>
  <c r="M4" i="2"/>
  <c r="O4" i="2" s="1"/>
  <c r="L4" i="2"/>
  <c r="N4" i="2" s="1"/>
  <c r="K4" i="2"/>
  <c r="S4" i="2" s="1"/>
  <c r="J4" i="2"/>
  <c r="X4" i="2" s="1"/>
  <c r="U3" i="2"/>
  <c r="M3" i="2"/>
  <c r="O3" i="2" s="1"/>
  <c r="L3" i="2"/>
  <c r="N3" i="2" s="1"/>
  <c r="P3" i="2" s="1"/>
  <c r="K3" i="2"/>
  <c r="S3" i="2" s="1"/>
  <c r="J3" i="2"/>
  <c r="X3" i="2" s="1"/>
  <c r="M2" i="2"/>
  <c r="O2" i="2" s="1"/>
  <c r="L2" i="2"/>
  <c r="N2" i="2" s="1"/>
  <c r="K2" i="2"/>
  <c r="S2" i="2" s="1"/>
  <c r="J2" i="2"/>
  <c r="X2" i="2" s="1"/>
  <c r="B2" i="2"/>
  <c r="X1" i="2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AH27" i="1"/>
  <c r="AH26" i="1"/>
  <c r="AH24" i="1"/>
  <c r="AA24" i="1"/>
  <c r="AH25" i="1" s="1"/>
  <c r="AH23" i="1"/>
  <c r="AH22" i="1"/>
  <c r="AH21" i="1"/>
  <c r="M9" i="1"/>
  <c r="O9" i="1" s="1"/>
  <c r="L9" i="1"/>
  <c r="N9" i="1" s="1"/>
  <c r="K9" i="1"/>
  <c r="S9" i="1" s="1"/>
  <c r="J9" i="1"/>
  <c r="X9" i="1" s="1"/>
  <c r="Y9" i="1" s="1"/>
  <c r="M8" i="1"/>
  <c r="O8" i="1" s="1"/>
  <c r="L8" i="1"/>
  <c r="N8" i="1" s="1"/>
  <c r="K8" i="1"/>
  <c r="S8" i="1" s="1"/>
  <c r="J8" i="1"/>
  <c r="X8" i="1" s="1"/>
  <c r="Y8" i="1" s="1"/>
  <c r="M7" i="1"/>
  <c r="O7" i="1" s="1"/>
  <c r="L7" i="1"/>
  <c r="N7" i="1" s="1"/>
  <c r="K7" i="1"/>
  <c r="S7" i="1" s="1"/>
  <c r="J7" i="1"/>
  <c r="X7" i="1" s="1"/>
  <c r="Y7" i="1" s="1"/>
  <c r="M6" i="1"/>
  <c r="O6" i="1" s="1"/>
  <c r="L6" i="1"/>
  <c r="N6" i="1" s="1"/>
  <c r="K6" i="1"/>
  <c r="S6" i="1" s="1"/>
  <c r="J6" i="1"/>
  <c r="X6" i="1" s="1"/>
  <c r="Y6" i="1" s="1"/>
  <c r="M5" i="1"/>
  <c r="O5" i="1" s="1"/>
  <c r="L5" i="1"/>
  <c r="N5" i="1" s="1"/>
  <c r="P5" i="1" s="1"/>
  <c r="K5" i="1"/>
  <c r="S5" i="1" s="1"/>
  <c r="J5" i="1"/>
  <c r="X5" i="1" s="1"/>
  <c r="Y5" i="1" s="1"/>
  <c r="M4" i="1"/>
  <c r="O4" i="1" s="1"/>
  <c r="L4" i="1"/>
  <c r="N4" i="1" s="1"/>
  <c r="K4" i="1"/>
  <c r="S4" i="1" s="1"/>
  <c r="J4" i="1"/>
  <c r="X4" i="1" s="1"/>
  <c r="Y4" i="1" s="1"/>
  <c r="M3" i="1"/>
  <c r="O3" i="1" s="1"/>
  <c r="L3" i="1"/>
  <c r="N3" i="1" s="1"/>
  <c r="K3" i="1"/>
  <c r="J3" i="1"/>
  <c r="X3" i="1" s="1"/>
  <c r="Y3" i="1" s="1"/>
  <c r="Z3" i="1" s="1"/>
  <c r="AA3" i="1" s="1"/>
  <c r="M2" i="1"/>
  <c r="O2" i="1" s="1"/>
  <c r="L2" i="1"/>
  <c r="N2" i="1" s="1"/>
  <c r="K2" i="1"/>
  <c r="S2" i="1" s="1"/>
  <c r="J2" i="1"/>
  <c r="X2" i="1" s="1"/>
  <c r="Y2" i="1" s="1"/>
  <c r="B2" i="1"/>
  <c r="X1" i="1"/>
  <c r="C48" i="3"/>
  <c r="D48" i="3" s="1"/>
  <c r="C47" i="3"/>
  <c r="D47" i="3" s="1"/>
  <c r="C46" i="3"/>
  <c r="D46" i="3" s="1"/>
  <c r="C45" i="3"/>
  <c r="D45" i="3" s="1"/>
  <c r="C44" i="3"/>
  <c r="D44" i="3" s="1"/>
  <c r="C43" i="3"/>
  <c r="D43" i="3" s="1"/>
  <c r="C42" i="3"/>
  <c r="D42" i="3" s="1"/>
  <c r="AA40" i="3"/>
  <c r="W40" i="3"/>
  <c r="AD33" i="3"/>
  <c r="AD32" i="3"/>
  <c r="W32" i="3"/>
  <c r="W33" i="3" s="1"/>
  <c r="AD30" i="3"/>
  <c r="AD29" i="3"/>
  <c r="AD28" i="3"/>
  <c r="AD27" i="3"/>
  <c r="AF4" i="3" s="1"/>
  <c r="AG4" i="3" s="1"/>
  <c r="M24" i="3"/>
  <c r="O24" i="3" s="1"/>
  <c r="K24" i="3"/>
  <c r="S24" i="3" s="1"/>
  <c r="J24" i="3"/>
  <c r="T24" i="3" s="1"/>
  <c r="U24" i="3" s="1"/>
  <c r="B24" i="3"/>
  <c r="M23" i="3"/>
  <c r="O23" i="3" s="1"/>
  <c r="K23" i="3"/>
  <c r="S23" i="3" s="1"/>
  <c r="J23" i="3"/>
  <c r="T23" i="3" s="1"/>
  <c r="U23" i="3" s="1"/>
  <c r="B23" i="3"/>
  <c r="M22" i="3"/>
  <c r="O22" i="3" s="1"/>
  <c r="K22" i="3"/>
  <c r="L22" i="3" s="1"/>
  <c r="J22" i="3"/>
  <c r="T22" i="3" s="1"/>
  <c r="U22" i="3" s="1"/>
  <c r="B22" i="3"/>
  <c r="M21" i="3"/>
  <c r="O21" i="3" s="1"/>
  <c r="K21" i="3"/>
  <c r="S21" i="3" s="1"/>
  <c r="J21" i="3"/>
  <c r="T21" i="3" s="1"/>
  <c r="U21" i="3" s="1"/>
  <c r="B21" i="3"/>
  <c r="M20" i="3"/>
  <c r="O20" i="3" s="1"/>
  <c r="K20" i="3"/>
  <c r="S20" i="3" s="1"/>
  <c r="J20" i="3"/>
  <c r="T20" i="3" s="1"/>
  <c r="U20" i="3" s="1"/>
  <c r="B20" i="3"/>
  <c r="M19" i="3"/>
  <c r="O19" i="3" s="1"/>
  <c r="K19" i="3"/>
  <c r="J19" i="3"/>
  <c r="T19" i="3" s="1"/>
  <c r="U19" i="3" s="1"/>
  <c r="B19" i="3"/>
  <c r="M18" i="3"/>
  <c r="O18" i="3" s="1"/>
  <c r="K18" i="3"/>
  <c r="S18" i="3" s="1"/>
  <c r="J18" i="3"/>
  <c r="T18" i="3" s="1"/>
  <c r="U18" i="3" s="1"/>
  <c r="B18" i="3"/>
  <c r="M17" i="3"/>
  <c r="O17" i="3" s="1"/>
  <c r="K17" i="3"/>
  <c r="L17" i="3" s="1"/>
  <c r="J17" i="3"/>
  <c r="T17" i="3" s="1"/>
  <c r="U17" i="3" s="1"/>
  <c r="B17" i="3"/>
  <c r="M16" i="3"/>
  <c r="O16" i="3" s="1"/>
  <c r="K16" i="3"/>
  <c r="L16" i="3" s="1"/>
  <c r="J16" i="3"/>
  <c r="T16" i="3" s="1"/>
  <c r="U16" i="3" s="1"/>
  <c r="B16" i="3"/>
  <c r="AV14" i="3"/>
  <c r="T14" i="3"/>
  <c r="U14" i="3" s="1"/>
  <c r="P14" i="3"/>
  <c r="K14" i="3"/>
  <c r="S14" i="3" s="1"/>
  <c r="B14" i="3"/>
  <c r="AV13" i="3"/>
  <c r="N13" i="3"/>
  <c r="P13" i="3" s="1"/>
  <c r="R13" i="3" s="1"/>
  <c r="M13" i="3"/>
  <c r="O13" i="3" s="1"/>
  <c r="Q13" i="3" s="1"/>
  <c r="K13" i="3"/>
  <c r="L13" i="3" s="1"/>
  <c r="J13" i="3"/>
  <c r="T13" i="3" s="1"/>
  <c r="U13" i="3" s="1"/>
  <c r="B13" i="3"/>
  <c r="AV12" i="3"/>
  <c r="N12" i="3"/>
  <c r="P12" i="3" s="1"/>
  <c r="R12" i="3" s="1"/>
  <c r="M12" i="3"/>
  <c r="O12" i="3" s="1"/>
  <c r="K12" i="3"/>
  <c r="S12" i="3" s="1"/>
  <c r="J12" i="3"/>
  <c r="T12" i="3" s="1"/>
  <c r="U12" i="3" s="1"/>
  <c r="B12" i="3"/>
  <c r="AV11" i="3"/>
  <c r="N11" i="3"/>
  <c r="P11" i="3" s="1"/>
  <c r="M11" i="3"/>
  <c r="O11" i="3" s="1"/>
  <c r="Q11" i="3" s="1"/>
  <c r="K11" i="3"/>
  <c r="S11" i="3" s="1"/>
  <c r="J11" i="3"/>
  <c r="T11" i="3" s="1"/>
  <c r="U11" i="3" s="1"/>
  <c r="B11" i="3"/>
  <c r="AV10" i="3"/>
  <c r="N10" i="3"/>
  <c r="P10" i="3" s="1"/>
  <c r="R10" i="3" s="1"/>
  <c r="M10" i="3"/>
  <c r="O10" i="3" s="1"/>
  <c r="Q10" i="3" s="1"/>
  <c r="K10" i="3"/>
  <c r="L10" i="3" s="1"/>
  <c r="J10" i="3"/>
  <c r="T10" i="3" s="1"/>
  <c r="U10" i="3" s="1"/>
  <c r="B10" i="3"/>
  <c r="AV9" i="3"/>
  <c r="N9" i="3"/>
  <c r="P9" i="3" s="1"/>
  <c r="M9" i="3"/>
  <c r="O9" i="3" s="1"/>
  <c r="Q9" i="3" s="1"/>
  <c r="K9" i="3"/>
  <c r="L9" i="3" s="1"/>
  <c r="J9" i="3"/>
  <c r="T9" i="3" s="1"/>
  <c r="U9" i="3" s="1"/>
  <c r="B9" i="3"/>
  <c r="AV8" i="3"/>
  <c r="N8" i="3"/>
  <c r="P8" i="3" s="1"/>
  <c r="R8" i="3" s="1"/>
  <c r="M8" i="3"/>
  <c r="O8" i="3" s="1"/>
  <c r="Q8" i="3" s="1"/>
  <c r="K8" i="3"/>
  <c r="L8" i="3" s="1"/>
  <c r="J8" i="3"/>
  <c r="T8" i="3" s="1"/>
  <c r="U8" i="3" s="1"/>
  <c r="B8" i="3"/>
  <c r="AV7" i="3"/>
  <c r="N7" i="3"/>
  <c r="P7" i="3" s="1"/>
  <c r="M7" i="3"/>
  <c r="O7" i="3" s="1"/>
  <c r="Q7" i="3" s="1"/>
  <c r="K7" i="3"/>
  <c r="S7" i="3" s="1"/>
  <c r="J7" i="3"/>
  <c r="T7" i="3" s="1"/>
  <c r="U7" i="3" s="1"/>
  <c r="B7" i="3"/>
  <c r="AV6" i="3"/>
  <c r="N6" i="3"/>
  <c r="P6" i="3" s="1"/>
  <c r="R6" i="3" s="1"/>
  <c r="M6" i="3"/>
  <c r="O6" i="3" s="1"/>
  <c r="K6" i="3"/>
  <c r="L6" i="3" s="1"/>
  <c r="J6" i="3"/>
  <c r="T6" i="3" s="1"/>
  <c r="U6" i="3" s="1"/>
  <c r="B6" i="3"/>
  <c r="AV5" i="3"/>
  <c r="N5" i="3"/>
  <c r="P5" i="3" s="1"/>
  <c r="R5" i="3" s="1"/>
  <c r="M5" i="3"/>
  <c r="O5" i="3" s="1"/>
  <c r="Q5" i="3" s="1"/>
  <c r="K5" i="3"/>
  <c r="L5" i="3" s="1"/>
  <c r="J5" i="3"/>
  <c r="T5" i="3" s="1"/>
  <c r="U5" i="3" s="1"/>
  <c r="B5" i="3"/>
  <c r="AV4" i="3"/>
  <c r="N4" i="3"/>
  <c r="P4" i="3" s="1"/>
  <c r="M4" i="3"/>
  <c r="O4" i="3" s="1"/>
  <c r="K4" i="3"/>
  <c r="S4" i="3" s="1"/>
  <c r="J4" i="3"/>
  <c r="T4" i="3" s="1"/>
  <c r="U4" i="3" s="1"/>
  <c r="B4" i="3"/>
  <c r="T3" i="3"/>
  <c r="U3" i="3" s="1"/>
  <c r="R3" i="3"/>
  <c r="Q3" i="3"/>
  <c r="AF2" i="3"/>
  <c r="AG2" i="3" s="1"/>
  <c r="T2" i="3"/>
  <c r="U2" i="3" s="1"/>
  <c r="R2" i="3"/>
  <c r="K2" i="3"/>
  <c r="L2" i="3" s="1"/>
  <c r="B2" i="3"/>
  <c r="T1" i="3"/>
  <c r="M106" i="4"/>
  <c r="O106" i="4" s="1"/>
  <c r="K106" i="4"/>
  <c r="S106" i="4" s="1"/>
  <c r="J106" i="4"/>
  <c r="T106" i="4" s="1"/>
  <c r="V106" i="4" s="1"/>
  <c r="C106" i="4"/>
  <c r="M105" i="4"/>
  <c r="O105" i="4" s="1"/>
  <c r="K105" i="4"/>
  <c r="L105" i="4" s="1"/>
  <c r="J105" i="4"/>
  <c r="T105" i="4" s="1"/>
  <c r="V105" i="4" s="1"/>
  <c r="C105" i="4"/>
  <c r="P104" i="4"/>
  <c r="M104" i="4"/>
  <c r="O104" i="4" s="1"/>
  <c r="K104" i="4"/>
  <c r="S104" i="4" s="1"/>
  <c r="J104" i="4"/>
  <c r="T104" i="4" s="1"/>
  <c r="V104" i="4" s="1"/>
  <c r="C104" i="4"/>
  <c r="P103" i="4"/>
  <c r="M103" i="4"/>
  <c r="O103" i="4" s="1"/>
  <c r="K103" i="4"/>
  <c r="L103" i="4" s="1"/>
  <c r="J103" i="4"/>
  <c r="T103" i="4" s="1"/>
  <c r="V103" i="4" s="1"/>
  <c r="C103" i="4"/>
  <c r="P102" i="4"/>
  <c r="M102" i="4"/>
  <c r="O102" i="4" s="1"/>
  <c r="K102" i="4"/>
  <c r="L102" i="4" s="1"/>
  <c r="J102" i="4"/>
  <c r="T102" i="4" s="1"/>
  <c r="V102" i="4" s="1"/>
  <c r="C102" i="4"/>
  <c r="P101" i="4"/>
  <c r="M101" i="4"/>
  <c r="O101" i="4" s="1"/>
  <c r="K101" i="4"/>
  <c r="S101" i="4" s="1"/>
  <c r="J101" i="4"/>
  <c r="T101" i="4" s="1"/>
  <c r="V101" i="4" s="1"/>
  <c r="C101" i="4"/>
  <c r="P100" i="4"/>
  <c r="M100" i="4"/>
  <c r="O100" i="4" s="1"/>
  <c r="K100" i="4"/>
  <c r="L100" i="4" s="1"/>
  <c r="J100" i="4"/>
  <c r="T100" i="4" s="1"/>
  <c r="V100" i="4" s="1"/>
  <c r="C100" i="4"/>
  <c r="P99" i="4"/>
  <c r="M99" i="4"/>
  <c r="O99" i="4" s="1"/>
  <c r="K99" i="4"/>
  <c r="S99" i="4" s="1"/>
  <c r="J99" i="4"/>
  <c r="T99" i="4" s="1"/>
  <c r="V99" i="4" s="1"/>
  <c r="C99" i="4"/>
  <c r="P98" i="4"/>
  <c r="M98" i="4"/>
  <c r="O98" i="4" s="1"/>
  <c r="K98" i="4"/>
  <c r="S98" i="4" s="1"/>
  <c r="J98" i="4"/>
  <c r="T98" i="4" s="1"/>
  <c r="V98" i="4" s="1"/>
  <c r="C98" i="4"/>
  <c r="P97" i="4"/>
  <c r="M97" i="4"/>
  <c r="O97" i="4" s="1"/>
  <c r="K97" i="4"/>
  <c r="L97" i="4" s="1"/>
  <c r="J97" i="4"/>
  <c r="T97" i="4" s="1"/>
  <c r="V97" i="4" s="1"/>
  <c r="C97" i="4"/>
  <c r="P96" i="4"/>
  <c r="M96" i="4"/>
  <c r="O96" i="4" s="1"/>
  <c r="K96" i="4"/>
  <c r="S96" i="4" s="1"/>
  <c r="J96" i="4"/>
  <c r="T96" i="4" s="1"/>
  <c r="V96" i="4" s="1"/>
  <c r="C96" i="4"/>
  <c r="P95" i="4"/>
  <c r="M95" i="4"/>
  <c r="O95" i="4" s="1"/>
  <c r="K95" i="4"/>
  <c r="L95" i="4" s="1"/>
  <c r="J95" i="4"/>
  <c r="T95" i="4" s="1"/>
  <c r="V95" i="4" s="1"/>
  <c r="C95" i="4"/>
  <c r="P94" i="4"/>
  <c r="M94" i="4"/>
  <c r="O94" i="4" s="1"/>
  <c r="K94" i="4"/>
  <c r="S94" i="4" s="1"/>
  <c r="J94" i="4"/>
  <c r="T94" i="4" s="1"/>
  <c r="V94" i="4" s="1"/>
  <c r="C94" i="4"/>
  <c r="P93" i="4"/>
  <c r="M93" i="4"/>
  <c r="O93" i="4" s="1"/>
  <c r="K93" i="4"/>
  <c r="S93" i="4" s="1"/>
  <c r="J93" i="4"/>
  <c r="T93" i="4" s="1"/>
  <c r="V93" i="4" s="1"/>
  <c r="C93" i="4"/>
  <c r="P92" i="4"/>
  <c r="M92" i="4"/>
  <c r="O92" i="4" s="1"/>
  <c r="K92" i="4"/>
  <c r="L92" i="4" s="1"/>
  <c r="J92" i="4"/>
  <c r="T92" i="4" s="1"/>
  <c r="V92" i="4" s="1"/>
  <c r="C92" i="4"/>
  <c r="M88" i="4"/>
  <c r="O88" i="4" s="1"/>
  <c r="K88" i="4"/>
  <c r="S88" i="4" s="1"/>
  <c r="J88" i="4"/>
  <c r="T88" i="4" s="1"/>
  <c r="C88" i="4"/>
  <c r="M87" i="4"/>
  <c r="O87" i="4" s="1"/>
  <c r="K87" i="4"/>
  <c r="L87" i="4" s="1"/>
  <c r="J87" i="4"/>
  <c r="T87" i="4" s="1"/>
  <c r="C87" i="4"/>
  <c r="P86" i="4"/>
  <c r="M86" i="4"/>
  <c r="O86" i="4" s="1"/>
  <c r="K86" i="4"/>
  <c r="S86" i="4" s="1"/>
  <c r="J86" i="4"/>
  <c r="T86" i="4" s="1"/>
  <c r="C86" i="4"/>
  <c r="P85" i="4"/>
  <c r="M85" i="4"/>
  <c r="O85" i="4" s="1"/>
  <c r="K85" i="4"/>
  <c r="L85" i="4" s="1"/>
  <c r="J85" i="4"/>
  <c r="T85" i="4" s="1"/>
  <c r="C85" i="4"/>
  <c r="P84" i="4"/>
  <c r="M84" i="4"/>
  <c r="O84" i="4" s="1"/>
  <c r="K84" i="4"/>
  <c r="L84" i="4" s="1"/>
  <c r="J84" i="4"/>
  <c r="T84" i="4" s="1"/>
  <c r="C84" i="4"/>
  <c r="P83" i="4"/>
  <c r="M83" i="4"/>
  <c r="O83" i="4" s="1"/>
  <c r="K83" i="4"/>
  <c r="L83" i="4" s="1"/>
  <c r="J83" i="4"/>
  <c r="T83" i="4" s="1"/>
  <c r="C83" i="4"/>
  <c r="P82" i="4"/>
  <c r="M82" i="4"/>
  <c r="O82" i="4" s="1"/>
  <c r="K82" i="4"/>
  <c r="S82" i="4" s="1"/>
  <c r="J82" i="4"/>
  <c r="T82" i="4" s="1"/>
  <c r="C82" i="4"/>
  <c r="P81" i="4"/>
  <c r="M81" i="4"/>
  <c r="O81" i="4" s="1"/>
  <c r="K81" i="4"/>
  <c r="S81" i="4" s="1"/>
  <c r="J81" i="4"/>
  <c r="T81" i="4" s="1"/>
  <c r="C81" i="4"/>
  <c r="P80" i="4"/>
  <c r="M80" i="4"/>
  <c r="O80" i="4" s="1"/>
  <c r="K80" i="4"/>
  <c r="L80" i="4" s="1"/>
  <c r="J80" i="4"/>
  <c r="T80" i="4" s="1"/>
  <c r="C80" i="4"/>
  <c r="P79" i="4"/>
  <c r="M79" i="4"/>
  <c r="O79" i="4" s="1"/>
  <c r="K79" i="4"/>
  <c r="S79" i="4" s="1"/>
  <c r="J79" i="4"/>
  <c r="T79" i="4" s="1"/>
  <c r="C79" i="4"/>
  <c r="P78" i="4"/>
  <c r="M78" i="4"/>
  <c r="O78" i="4" s="1"/>
  <c r="K78" i="4"/>
  <c r="S78" i="4" s="1"/>
  <c r="J78" i="4"/>
  <c r="T78" i="4" s="1"/>
  <c r="C78" i="4"/>
  <c r="P77" i="4"/>
  <c r="M77" i="4"/>
  <c r="O77" i="4" s="1"/>
  <c r="K77" i="4"/>
  <c r="L77" i="4" s="1"/>
  <c r="J77" i="4"/>
  <c r="T77" i="4" s="1"/>
  <c r="C77" i="4"/>
  <c r="P76" i="4"/>
  <c r="M76" i="4"/>
  <c r="O76" i="4" s="1"/>
  <c r="K76" i="4"/>
  <c r="L76" i="4" s="1"/>
  <c r="J76" i="4"/>
  <c r="T76" i="4" s="1"/>
  <c r="C76" i="4"/>
  <c r="P71" i="4"/>
  <c r="M71" i="4"/>
  <c r="O71" i="4" s="1"/>
  <c r="K71" i="4"/>
  <c r="L71" i="4" s="1"/>
  <c r="J71" i="4"/>
  <c r="T71" i="4" s="1"/>
  <c r="C71" i="4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AB44" i="4"/>
  <c r="X44" i="4"/>
  <c r="AE32" i="4"/>
  <c r="AE31" i="4"/>
  <c r="X38" i="4"/>
  <c r="X39" i="4" s="1"/>
  <c r="AE29" i="4"/>
  <c r="AE28" i="4"/>
  <c r="AE27" i="4"/>
  <c r="AE26" i="4"/>
  <c r="M30" i="4"/>
  <c r="O30" i="4" s="1"/>
  <c r="K30" i="4"/>
  <c r="S30" i="4" s="1"/>
  <c r="J30" i="4"/>
  <c r="T30" i="4" s="1"/>
  <c r="V30" i="4" s="1"/>
  <c r="C30" i="4"/>
  <c r="M29" i="4"/>
  <c r="O29" i="4" s="1"/>
  <c r="K29" i="4"/>
  <c r="S29" i="4" s="1"/>
  <c r="J29" i="4"/>
  <c r="T29" i="4" s="1"/>
  <c r="V29" i="4" s="1"/>
  <c r="C29" i="4"/>
  <c r="M28" i="4"/>
  <c r="O28" i="4" s="1"/>
  <c r="K28" i="4"/>
  <c r="S28" i="4" s="1"/>
  <c r="J28" i="4"/>
  <c r="T28" i="4" s="1"/>
  <c r="V28" i="4" s="1"/>
  <c r="C28" i="4"/>
  <c r="M27" i="4"/>
  <c r="O27" i="4" s="1"/>
  <c r="K27" i="4"/>
  <c r="S27" i="4" s="1"/>
  <c r="J27" i="4"/>
  <c r="T27" i="4" s="1"/>
  <c r="V27" i="4" s="1"/>
  <c r="C27" i="4"/>
  <c r="M26" i="4"/>
  <c r="O26" i="4" s="1"/>
  <c r="K26" i="4"/>
  <c r="S26" i="4" s="1"/>
  <c r="J26" i="4"/>
  <c r="T26" i="4" s="1"/>
  <c r="V26" i="4" s="1"/>
  <c r="C26" i="4"/>
  <c r="M25" i="4"/>
  <c r="O25" i="4" s="1"/>
  <c r="K25" i="4"/>
  <c r="L25" i="4" s="1"/>
  <c r="J25" i="4"/>
  <c r="T25" i="4" s="1"/>
  <c r="V25" i="4" s="1"/>
  <c r="C25" i="4"/>
  <c r="M24" i="4"/>
  <c r="O24" i="4" s="1"/>
  <c r="K24" i="4"/>
  <c r="L24" i="4" s="1"/>
  <c r="J24" i="4"/>
  <c r="T24" i="4" s="1"/>
  <c r="V24" i="4" s="1"/>
  <c r="C24" i="4"/>
  <c r="M23" i="4"/>
  <c r="O23" i="4" s="1"/>
  <c r="K23" i="4"/>
  <c r="S23" i="4" s="1"/>
  <c r="J23" i="4"/>
  <c r="T23" i="4" s="1"/>
  <c r="V23" i="4" s="1"/>
  <c r="C23" i="4"/>
  <c r="M22" i="4"/>
  <c r="O22" i="4" s="1"/>
  <c r="K22" i="4"/>
  <c r="L22" i="4" s="1"/>
  <c r="J22" i="4"/>
  <c r="T22" i="4" s="1"/>
  <c r="V22" i="4" s="1"/>
  <c r="C22" i="4"/>
  <c r="C20" i="4"/>
  <c r="AW19" i="4"/>
  <c r="N19" i="4"/>
  <c r="P19" i="4" s="1"/>
  <c r="AD19" i="4" s="1"/>
  <c r="M19" i="4"/>
  <c r="O19" i="4" s="1"/>
  <c r="B18" i="15" s="1"/>
  <c r="K19" i="4"/>
  <c r="S19" i="4" s="1"/>
  <c r="J19" i="4"/>
  <c r="T19" i="4" s="1"/>
  <c r="C19" i="4"/>
  <c r="AW17" i="4"/>
  <c r="N17" i="4"/>
  <c r="P17" i="4" s="1"/>
  <c r="M17" i="4"/>
  <c r="O17" i="4" s="1"/>
  <c r="B16" i="15" s="1"/>
  <c r="K17" i="4"/>
  <c r="S17" i="4" s="1"/>
  <c r="J17" i="4"/>
  <c r="T17" i="4" s="1"/>
  <c r="C17" i="4"/>
  <c r="AW13" i="4"/>
  <c r="N13" i="4"/>
  <c r="P13" i="4" s="1"/>
  <c r="AD13" i="4" s="1"/>
  <c r="M13" i="4"/>
  <c r="O13" i="4" s="1"/>
  <c r="B12" i="15" s="1"/>
  <c r="K13" i="4"/>
  <c r="S13" i="4" s="1"/>
  <c r="J13" i="4"/>
  <c r="T13" i="4" s="1"/>
  <c r="C13" i="4"/>
  <c r="AW10" i="4"/>
  <c r="N10" i="4"/>
  <c r="P10" i="4" s="1"/>
  <c r="AD10" i="4" s="1"/>
  <c r="M10" i="4"/>
  <c r="O10" i="4" s="1"/>
  <c r="B9" i="15" s="1"/>
  <c r="K10" i="4"/>
  <c r="L10" i="4" s="1"/>
  <c r="J10" i="4"/>
  <c r="T10" i="4" s="1"/>
  <c r="C10" i="4"/>
  <c r="AW9" i="4"/>
  <c r="N9" i="4"/>
  <c r="P9" i="4" s="1"/>
  <c r="AD9" i="4" s="1"/>
  <c r="M9" i="4"/>
  <c r="O9" i="4" s="1"/>
  <c r="B8" i="15" s="1"/>
  <c r="K9" i="4"/>
  <c r="L9" i="4" s="1"/>
  <c r="J9" i="4"/>
  <c r="T9" i="4" s="1"/>
  <c r="C9" i="4"/>
  <c r="AW8" i="4"/>
  <c r="N8" i="4"/>
  <c r="P8" i="4" s="1"/>
  <c r="AD8" i="4" s="1"/>
  <c r="M8" i="4"/>
  <c r="O8" i="4" s="1"/>
  <c r="B7" i="15" s="1"/>
  <c r="K8" i="4"/>
  <c r="L8" i="4" s="1"/>
  <c r="J8" i="4"/>
  <c r="T8" i="4" s="1"/>
  <c r="C8" i="4"/>
  <c r="AW7" i="4"/>
  <c r="N7" i="4"/>
  <c r="P7" i="4" s="1"/>
  <c r="M7" i="4"/>
  <c r="O7" i="4" s="1"/>
  <c r="B6" i="15" s="1"/>
  <c r="K7" i="4"/>
  <c r="S7" i="4" s="1"/>
  <c r="J7" i="4"/>
  <c r="T7" i="4" s="1"/>
  <c r="C7" i="4"/>
  <c r="AW5" i="4"/>
  <c r="N5" i="4"/>
  <c r="P5" i="4" s="1"/>
  <c r="M5" i="4"/>
  <c r="O5" i="4" s="1"/>
  <c r="B4" i="15" s="1"/>
  <c r="K5" i="4"/>
  <c r="L5" i="4" s="1"/>
  <c r="J5" i="4"/>
  <c r="T5" i="4" s="1"/>
  <c r="C5" i="4"/>
  <c r="T3" i="4"/>
  <c r="T2" i="4"/>
  <c r="K2" i="4"/>
  <c r="L2" i="4" s="1"/>
  <c r="C2" i="4"/>
  <c r="T1" i="4"/>
  <c r="AH26" i="2" l="1"/>
  <c r="U2" i="2"/>
  <c r="P4" i="2"/>
  <c r="U6" i="2"/>
  <c r="P9" i="2"/>
  <c r="P2" i="2"/>
  <c r="U4" i="2"/>
  <c r="P6" i="2"/>
  <c r="U8" i="2"/>
  <c r="S2" i="3"/>
  <c r="V12" i="3"/>
  <c r="W12" i="3" s="1"/>
  <c r="Y12" i="3" s="1"/>
  <c r="Z12" i="3" s="1"/>
  <c r="AA12" i="3" s="1"/>
  <c r="AG6" i="4"/>
  <c r="AH6" i="4" s="1"/>
  <c r="AF4" i="15"/>
  <c r="C4" i="15"/>
  <c r="C5" i="15"/>
  <c r="AF7" i="15"/>
  <c r="C7" i="15"/>
  <c r="AF9" i="15"/>
  <c r="C9" i="15"/>
  <c r="C10" i="15"/>
  <c r="AF16" i="15"/>
  <c r="C16" i="15"/>
  <c r="C17" i="15"/>
  <c r="X58" i="4"/>
  <c r="AF33" i="4" s="1"/>
  <c r="X57" i="4"/>
  <c r="X59" i="4"/>
  <c r="AE33" i="4" s="1"/>
  <c r="Q6" i="4"/>
  <c r="R6" i="4"/>
  <c r="W106" i="4"/>
  <c r="AF6" i="15"/>
  <c r="C6" i="15"/>
  <c r="AF8" i="15"/>
  <c r="C8" i="15"/>
  <c r="AF12" i="15"/>
  <c r="C12" i="15"/>
  <c r="C13" i="15"/>
  <c r="AF18" i="15"/>
  <c r="C18" i="15"/>
  <c r="AD7" i="4"/>
  <c r="AG33" i="4"/>
  <c r="V6" i="4"/>
  <c r="W6" i="4" s="1"/>
  <c r="U6" i="4"/>
  <c r="AD17" i="4"/>
  <c r="AA59" i="4"/>
  <c r="AF35" i="4" s="1"/>
  <c r="V4" i="4"/>
  <c r="U16" i="4"/>
  <c r="U12" i="4"/>
  <c r="U11" i="4"/>
  <c r="V11" i="4"/>
  <c r="W11" i="4" s="1"/>
  <c r="V16" i="4"/>
  <c r="W16" i="4" s="1"/>
  <c r="V15" i="4"/>
  <c r="W15" i="4" s="1"/>
  <c r="V18" i="4"/>
  <c r="W18" i="4" s="1"/>
  <c r="U14" i="4"/>
  <c r="V12" i="4"/>
  <c r="W12" i="4" s="1"/>
  <c r="V14" i="4"/>
  <c r="W14" i="4" s="1"/>
  <c r="U15" i="4"/>
  <c r="U18" i="4"/>
  <c r="AA18" i="4" s="1"/>
  <c r="Q18" i="4"/>
  <c r="R15" i="4"/>
  <c r="R18" i="4"/>
  <c r="R16" i="4"/>
  <c r="Q14" i="4"/>
  <c r="R12" i="4"/>
  <c r="R11" i="4"/>
  <c r="Q15" i="4"/>
  <c r="R14" i="4"/>
  <c r="Q12" i="4"/>
  <c r="Q11" i="4"/>
  <c r="Q16" i="4"/>
  <c r="AC18" i="4"/>
  <c r="AE18" i="4"/>
  <c r="AG14" i="4"/>
  <c r="AH14" i="4" s="1"/>
  <c r="AG16" i="4"/>
  <c r="AH16" i="4" s="1"/>
  <c r="AG18" i="4"/>
  <c r="AH18" i="4" s="1"/>
  <c r="AG12" i="4"/>
  <c r="AH12" i="4" s="1"/>
  <c r="AG15" i="4"/>
  <c r="AH15" i="4" s="1"/>
  <c r="AG11" i="4"/>
  <c r="AH11" i="4" s="1"/>
  <c r="Q3" i="1"/>
  <c r="P7" i="1"/>
  <c r="Z8" i="1"/>
  <c r="AA8" i="1" s="1"/>
  <c r="S9" i="3"/>
  <c r="V16" i="3"/>
  <c r="W16" i="3" s="1"/>
  <c r="Y16" i="3" s="1"/>
  <c r="Z16" i="3" s="1"/>
  <c r="AA16" i="3" s="1"/>
  <c r="P4" i="1"/>
  <c r="V18" i="3"/>
  <c r="W18" i="3" s="1"/>
  <c r="Y18" i="3" s="1"/>
  <c r="Z18" i="3" s="1"/>
  <c r="AA18" i="3" s="1"/>
  <c r="S5" i="3"/>
  <c r="P8" i="2"/>
  <c r="V6" i="3"/>
  <c r="W6" i="3" s="1"/>
  <c r="S10" i="3"/>
  <c r="Z9" i="1"/>
  <c r="AA9" i="1" s="1"/>
  <c r="S6" i="3"/>
  <c r="Z7" i="1"/>
  <c r="AA7" i="1" s="1"/>
  <c r="AC7" i="1" s="1"/>
  <c r="AD7" i="1" s="1"/>
  <c r="AE7" i="1" s="1"/>
  <c r="S16" i="3"/>
  <c r="V9" i="3"/>
  <c r="W9" i="3" s="1"/>
  <c r="Y9" i="3" s="1"/>
  <c r="Z9" i="3" s="1"/>
  <c r="AA9" i="3" s="1"/>
  <c r="V8" i="3"/>
  <c r="W8" i="3" s="1"/>
  <c r="Y8" i="3" s="1"/>
  <c r="Z8" i="3" s="1"/>
  <c r="AA8" i="3" s="1"/>
  <c r="L20" i="3"/>
  <c r="L23" i="3"/>
  <c r="V22" i="3"/>
  <c r="W22" i="3" s="1"/>
  <c r="Y22" i="3" s="1"/>
  <c r="Z22" i="3" s="1"/>
  <c r="AA22" i="3" s="1"/>
  <c r="L4" i="3"/>
  <c r="L7" i="3"/>
  <c r="V19" i="3"/>
  <c r="W19" i="3" s="1"/>
  <c r="Y19" i="3" s="1"/>
  <c r="Z19" i="3" s="1"/>
  <c r="AA19" i="3" s="1"/>
  <c r="L11" i="3"/>
  <c r="AD5" i="4"/>
  <c r="AA58" i="4"/>
  <c r="AE36" i="4" s="1"/>
  <c r="AA57" i="4"/>
  <c r="AF36" i="4" s="1"/>
  <c r="AR29" i="4"/>
  <c r="AR33" i="4"/>
  <c r="AS33" i="4" s="1"/>
  <c r="AR26" i="4"/>
  <c r="AR30" i="4"/>
  <c r="AR25" i="4"/>
  <c r="AR27" i="4"/>
  <c r="AR31" i="4"/>
  <c r="AR28" i="4"/>
  <c r="AR32" i="4"/>
  <c r="AA60" i="4"/>
  <c r="AA50" i="4" s="1"/>
  <c r="AA52" i="4" s="1"/>
  <c r="AA53" i="4" s="1"/>
  <c r="L24" i="3"/>
  <c r="L21" i="3"/>
  <c r="V17" i="3"/>
  <c r="W17" i="3" s="1"/>
  <c r="Y17" i="3" s="1"/>
  <c r="Z17" i="3" s="1"/>
  <c r="AA17" i="3" s="1"/>
  <c r="S17" i="3"/>
  <c r="P9" i="1"/>
  <c r="Z5" i="1"/>
  <c r="AA5" i="1" s="1"/>
  <c r="AC5" i="1" s="1"/>
  <c r="AD5" i="1" s="1"/>
  <c r="AE5" i="1" s="1"/>
  <c r="Z2" i="1"/>
  <c r="AA2" i="1" s="1"/>
  <c r="V23" i="3"/>
  <c r="W23" i="3" s="1"/>
  <c r="Y23" i="3" s="1"/>
  <c r="Z23" i="3" s="1"/>
  <c r="AA23" i="3" s="1"/>
  <c r="V24" i="3"/>
  <c r="W24" i="3" s="1"/>
  <c r="Y24" i="3" s="1"/>
  <c r="Z24" i="3" s="1"/>
  <c r="AA24" i="3" s="1"/>
  <c r="Q23" i="3"/>
  <c r="L12" i="3"/>
  <c r="V5" i="3"/>
  <c r="W5" i="3" s="1"/>
  <c r="AF5" i="3"/>
  <c r="AG5" i="3" s="1"/>
  <c r="U9" i="4"/>
  <c r="V9" i="4"/>
  <c r="W9" i="4" s="1"/>
  <c r="V19" i="4"/>
  <c r="W19" i="4" s="1"/>
  <c r="U19" i="4"/>
  <c r="U8" i="4"/>
  <c r="V8" i="4"/>
  <c r="W8" i="4" s="1"/>
  <c r="V17" i="4"/>
  <c r="U17" i="4"/>
  <c r="V75" i="4"/>
  <c r="W75" i="4" s="1"/>
  <c r="V3" i="4"/>
  <c r="U3" i="4"/>
  <c r="V7" i="4"/>
  <c r="W7" i="4" s="1"/>
  <c r="U7" i="4"/>
  <c r="V13" i="4"/>
  <c r="W13" i="4" s="1"/>
  <c r="U13" i="4"/>
  <c r="U4" i="4"/>
  <c r="V5" i="4"/>
  <c r="W5" i="4" s="1"/>
  <c r="U5" i="4"/>
  <c r="U10" i="4"/>
  <c r="V10" i="4"/>
  <c r="W10" i="4" s="1"/>
  <c r="Z59" i="3"/>
  <c r="AF39" i="3" s="1"/>
  <c r="Z61" i="3"/>
  <c r="AD39" i="3" s="1"/>
  <c r="Z54" i="3"/>
  <c r="Z53" i="3"/>
  <c r="AE36" i="3" s="1"/>
  <c r="Q4" i="3"/>
  <c r="V4" i="3"/>
  <c r="W4" i="3" s="1"/>
  <c r="V11" i="3"/>
  <c r="W11" i="3" s="1"/>
  <c r="Y11" i="3" s="1"/>
  <c r="Z11" i="3" s="1"/>
  <c r="AA11" i="3" s="1"/>
  <c r="P6" i="1"/>
  <c r="AD38" i="1"/>
  <c r="W53" i="3"/>
  <c r="AD34" i="3" s="1"/>
  <c r="Z52" i="3"/>
  <c r="AD37" i="3" s="1"/>
  <c r="W52" i="3"/>
  <c r="AE34" i="3" s="1"/>
  <c r="Z51" i="3"/>
  <c r="AE37" i="3" s="1"/>
  <c r="W51" i="3"/>
  <c r="AF34" i="3" s="1"/>
  <c r="Q7" i="1"/>
  <c r="Q8" i="1"/>
  <c r="Q8" i="2"/>
  <c r="AA32" i="2"/>
  <c r="AF6" i="3"/>
  <c r="AG6" i="3" s="1"/>
  <c r="V10" i="3"/>
  <c r="W10" i="3" s="1"/>
  <c r="Y10" i="3" s="1"/>
  <c r="Z10" i="3" s="1"/>
  <c r="AA10" i="3" s="1"/>
  <c r="V21" i="3"/>
  <c r="W21" i="3" s="1"/>
  <c r="Y21" i="3" s="1"/>
  <c r="Z21" i="3" s="1"/>
  <c r="AA21" i="3" s="1"/>
  <c r="W92" i="4"/>
  <c r="X92" i="4" s="1"/>
  <c r="Y92" i="4" s="1"/>
  <c r="R4" i="3"/>
  <c r="R7" i="3"/>
  <c r="S8" i="3"/>
  <c r="AF10" i="3"/>
  <c r="AG10" i="3" s="1"/>
  <c r="R14" i="3"/>
  <c r="Q17" i="3"/>
  <c r="Q22" i="3"/>
  <c r="Q24" i="3"/>
  <c r="AD37" i="1"/>
  <c r="Q4" i="1"/>
  <c r="W97" i="4"/>
  <c r="W105" i="4"/>
  <c r="Q6" i="3"/>
  <c r="Q12" i="3"/>
  <c r="Q16" i="3"/>
  <c r="Q2" i="1"/>
  <c r="Q5" i="1"/>
  <c r="Z6" i="1"/>
  <c r="AA6" i="1" s="1"/>
  <c r="AC6" i="1" s="1"/>
  <c r="AD6" i="1" s="1"/>
  <c r="AE6" i="1" s="1"/>
  <c r="Q20" i="3"/>
  <c r="Q21" i="3"/>
  <c r="Z4" i="1"/>
  <c r="AA4" i="1" s="1"/>
  <c r="AC4" i="1" s="1"/>
  <c r="V7" i="3"/>
  <c r="W7" i="3" s="1"/>
  <c r="Y7" i="3" s="1"/>
  <c r="Z7" i="3" s="1"/>
  <c r="AA7" i="3" s="1"/>
  <c r="S19" i="3"/>
  <c r="L19" i="3"/>
  <c r="AF13" i="3"/>
  <c r="AG13" i="3" s="1"/>
  <c r="AF12" i="3"/>
  <c r="AG12" i="3" s="1"/>
  <c r="AF11" i="3"/>
  <c r="AG11" i="3" s="1"/>
  <c r="AF7" i="3"/>
  <c r="AG7" i="3" s="1"/>
  <c r="AF14" i="3"/>
  <c r="AG14" i="3" s="1"/>
  <c r="Q18" i="3"/>
  <c r="AD31" i="3"/>
  <c r="AA34" i="2"/>
  <c r="AH25" i="2" s="1"/>
  <c r="AA33" i="2"/>
  <c r="AI25" i="2" s="1"/>
  <c r="Q2" i="2"/>
  <c r="Q5" i="2"/>
  <c r="W96" i="4"/>
  <c r="W104" i="4"/>
  <c r="Q2" i="3"/>
  <c r="AF8" i="3"/>
  <c r="AG8" i="3" s="1"/>
  <c r="R9" i="3"/>
  <c r="R11" i="3"/>
  <c r="V13" i="3"/>
  <c r="W13" i="3" s="1"/>
  <c r="Q19" i="3"/>
  <c r="V20" i="3"/>
  <c r="W20" i="3" s="1"/>
  <c r="Y20" i="3" s="1"/>
  <c r="Z20" i="3" s="1"/>
  <c r="AA20" i="3" s="1"/>
  <c r="P8" i="1"/>
  <c r="Q9" i="1"/>
  <c r="Q3" i="2"/>
  <c r="Q9" i="2"/>
  <c r="S3" i="1"/>
  <c r="AA36" i="1"/>
  <c r="AI28" i="1" s="1"/>
  <c r="Q4" i="2"/>
  <c r="S13" i="3"/>
  <c r="L14" i="3"/>
  <c r="L18" i="3"/>
  <c r="S22" i="3"/>
  <c r="AD36" i="1"/>
  <c r="P2" i="1"/>
  <c r="AA35" i="1"/>
  <c r="AA37" i="1"/>
  <c r="AH28" i="1" s="1"/>
  <c r="P3" i="1"/>
  <c r="Q6" i="1"/>
  <c r="AD35" i="1"/>
  <c r="Q7" i="2"/>
  <c r="Q30" i="4"/>
  <c r="W98" i="4"/>
  <c r="W22" i="4"/>
  <c r="W24" i="4"/>
  <c r="W26" i="4"/>
  <c r="W28" i="4"/>
  <c r="W30" i="4"/>
  <c r="W95" i="4"/>
  <c r="W103" i="4"/>
  <c r="X103" i="4" s="1"/>
  <c r="Y103" i="4" s="1"/>
  <c r="W100" i="4"/>
  <c r="W101" i="4"/>
  <c r="W94" i="4"/>
  <c r="W102" i="4"/>
  <c r="W93" i="4"/>
  <c r="W23" i="4"/>
  <c r="W25" i="4"/>
  <c r="W27" i="4"/>
  <c r="W29" i="4"/>
  <c r="W99" i="4"/>
  <c r="Q7" i="4"/>
  <c r="Q13" i="4"/>
  <c r="R13" i="4"/>
  <c r="Q5" i="4"/>
  <c r="Q10" i="4"/>
  <c r="R2" i="4"/>
  <c r="Q27" i="4"/>
  <c r="R7" i="4"/>
  <c r="Q2" i="4"/>
  <c r="R17" i="4"/>
  <c r="Q22" i="4"/>
  <c r="Q24" i="4"/>
  <c r="L26" i="4"/>
  <c r="L93" i="4"/>
  <c r="L30" i="4"/>
  <c r="V80" i="4"/>
  <c r="S84" i="4"/>
  <c r="V88" i="4"/>
  <c r="V77" i="4"/>
  <c r="V79" i="4"/>
  <c r="W79" i="4" s="1"/>
  <c r="L28" i="4"/>
  <c r="V82" i="4"/>
  <c r="V85" i="4"/>
  <c r="V76" i="4"/>
  <c r="V84" i="4"/>
  <c r="W84" i="4" s="1"/>
  <c r="V87" i="4"/>
  <c r="V81" i="4"/>
  <c r="V74" i="4"/>
  <c r="S22" i="4"/>
  <c r="V78" i="4"/>
  <c r="V73" i="4"/>
  <c r="Q29" i="4"/>
  <c r="V71" i="4"/>
  <c r="W71" i="4" s="1"/>
  <c r="X71" i="4" s="1"/>
  <c r="Y71" i="4" s="1"/>
  <c r="V83" i="4"/>
  <c r="V86" i="4"/>
  <c r="V72" i="4"/>
  <c r="R10" i="4"/>
  <c r="Q26" i="4"/>
  <c r="Q76" i="4"/>
  <c r="L82" i="4"/>
  <c r="S83" i="4"/>
  <c r="R72" i="4"/>
  <c r="Q19" i="4"/>
  <c r="R3" i="4"/>
  <c r="R9" i="4"/>
  <c r="R19" i="4"/>
  <c r="L23" i="4"/>
  <c r="L78" i="4"/>
  <c r="Q72" i="4"/>
  <c r="Q3" i="4"/>
  <c r="Q9" i="4"/>
  <c r="AE30" i="4"/>
  <c r="AM27" i="4" s="1"/>
  <c r="Q8" i="4"/>
  <c r="Q17" i="4"/>
  <c r="Q23" i="4"/>
  <c r="Q25" i="4"/>
  <c r="Q28" i="4"/>
  <c r="AG7" i="4"/>
  <c r="AH7" i="4" s="1"/>
  <c r="Q71" i="4"/>
  <c r="L98" i="4"/>
  <c r="R75" i="4"/>
  <c r="Q98" i="4"/>
  <c r="R104" i="4"/>
  <c r="Q106" i="4"/>
  <c r="Q75" i="4"/>
  <c r="R73" i="4"/>
  <c r="R74" i="4"/>
  <c r="Q97" i="4"/>
  <c r="Q73" i="4"/>
  <c r="Q74" i="4"/>
  <c r="W17" i="4"/>
  <c r="W4" i="4"/>
  <c r="X4" i="4" s="1"/>
  <c r="Q77" i="4"/>
  <c r="Q100" i="4"/>
  <c r="Q103" i="4"/>
  <c r="L7" i="4"/>
  <c r="S24" i="4"/>
  <c r="S97" i="4"/>
  <c r="AG19" i="4"/>
  <c r="AH19" i="4" s="1"/>
  <c r="S71" i="4"/>
  <c r="S103" i="4"/>
  <c r="Q87" i="4"/>
  <c r="S80" i="4"/>
  <c r="R99" i="4"/>
  <c r="R83" i="4"/>
  <c r="S2" i="4"/>
  <c r="S5" i="4"/>
  <c r="Q83" i="4"/>
  <c r="S85" i="4"/>
  <c r="Q94" i="4"/>
  <c r="Q99" i="4"/>
  <c r="Q104" i="4"/>
  <c r="R4" i="4"/>
  <c r="AG2" i="4"/>
  <c r="AH2" i="4" s="1"/>
  <c r="L13" i="4"/>
  <c r="L17" i="4"/>
  <c r="S77" i="4"/>
  <c r="L81" i="4"/>
  <c r="Q82" i="4"/>
  <c r="Q93" i="4"/>
  <c r="S100" i="4"/>
  <c r="S8" i="4"/>
  <c r="Q81" i="4"/>
  <c r="Q92" i="4"/>
  <c r="L96" i="4"/>
  <c r="AG4" i="4"/>
  <c r="AH4" i="4" s="1"/>
  <c r="Q80" i="4"/>
  <c r="Q86" i="4"/>
  <c r="R92" i="4"/>
  <c r="Q96" i="4"/>
  <c r="Q102" i="4"/>
  <c r="Q4" i="4"/>
  <c r="AG13" i="4"/>
  <c r="AH13" i="4" s="1"/>
  <c r="L19" i="4"/>
  <c r="L79" i="4"/>
  <c r="S92" i="4"/>
  <c r="Q95" i="4"/>
  <c r="R96" i="4"/>
  <c r="Q79" i="4"/>
  <c r="Q85" i="4"/>
  <c r="Q88" i="4"/>
  <c r="R95" i="4"/>
  <c r="Q101" i="4"/>
  <c r="Q105" i="4"/>
  <c r="AG17" i="4"/>
  <c r="AH17" i="4" s="1"/>
  <c r="Q78" i="4"/>
  <c r="R79" i="4"/>
  <c r="Q84" i="4"/>
  <c r="S95" i="4"/>
  <c r="L99" i="4"/>
  <c r="R8" i="4"/>
  <c r="R5" i="4"/>
  <c r="S10" i="4"/>
  <c r="S25" i="4"/>
  <c r="L29" i="4"/>
  <c r="R82" i="4"/>
  <c r="R85" i="4"/>
  <c r="R93" i="4"/>
  <c r="R100" i="4"/>
  <c r="R103" i="4"/>
  <c r="R76" i="4"/>
  <c r="L101" i="4"/>
  <c r="R102" i="4"/>
  <c r="L104" i="4"/>
  <c r="AG5" i="4"/>
  <c r="AH5" i="4" s="1"/>
  <c r="L27" i="4"/>
  <c r="L86" i="4"/>
  <c r="L94" i="4"/>
  <c r="S76" i="4"/>
  <c r="R78" i="4"/>
  <c r="R81" i="4"/>
  <c r="R84" i="4"/>
  <c r="S87" i="4"/>
  <c r="L88" i="4"/>
  <c r="R98" i="4"/>
  <c r="S102" i="4"/>
  <c r="S105" i="4"/>
  <c r="L106" i="4"/>
  <c r="S9" i="4"/>
  <c r="R101" i="4"/>
  <c r="AG8" i="4"/>
  <c r="AH8" i="4" s="1"/>
  <c r="AG10" i="4"/>
  <c r="AH10" i="4" s="1"/>
  <c r="R86" i="4"/>
  <c r="R94" i="4"/>
  <c r="R71" i="4"/>
  <c r="R77" i="4"/>
  <c r="R80" i="4"/>
  <c r="R97" i="4"/>
  <c r="W55" i="3" l="1"/>
  <c r="AD35" i="3" s="1"/>
  <c r="AH11" i="3" s="1"/>
  <c r="X6" i="4"/>
  <c r="X18" i="4"/>
  <c r="X14" i="4"/>
  <c r="X15" i="4"/>
  <c r="X12" i="4"/>
  <c r="X16" i="4"/>
  <c r="X11" i="4"/>
  <c r="R8" i="1"/>
  <c r="T8" i="1" s="1"/>
  <c r="X96" i="4"/>
  <c r="Y96" i="4" s="1"/>
  <c r="W54" i="3"/>
  <c r="AE35" i="3" s="1"/>
  <c r="X93" i="4"/>
  <c r="Y93" i="4" s="1"/>
  <c r="X95" i="4"/>
  <c r="Y95" i="4" s="1"/>
  <c r="X98" i="4"/>
  <c r="Y98" i="4" s="1"/>
  <c r="X13" i="4"/>
  <c r="X19" i="4"/>
  <c r="X9" i="4"/>
  <c r="X7" i="4"/>
  <c r="X23" i="4"/>
  <c r="X104" i="4"/>
  <c r="Y104" i="4" s="1"/>
  <c r="X102" i="4"/>
  <c r="Y102" i="4" s="1"/>
  <c r="X30" i="4"/>
  <c r="X94" i="4"/>
  <c r="Y94" i="4" s="1"/>
  <c r="AD33" i="2"/>
  <c r="AH29" i="2" s="1"/>
  <c r="AH32" i="1"/>
  <c r="R9" i="1"/>
  <c r="T9" i="1" s="1"/>
  <c r="AD4" i="1"/>
  <c r="AC10" i="1"/>
  <c r="AI31" i="1"/>
  <c r="AD34" i="2"/>
  <c r="AI28" i="2" s="1"/>
  <c r="X99" i="4"/>
  <c r="Y99" i="4" s="1"/>
  <c r="X101" i="4"/>
  <c r="Y101" i="4" s="1"/>
  <c r="W61" i="3"/>
  <c r="AD38" i="3" s="1"/>
  <c r="O17" i="2"/>
  <c r="P17" i="2" s="1"/>
  <c r="Q17" i="2" s="1"/>
  <c r="O19" i="2"/>
  <c r="P19" i="2" s="1"/>
  <c r="Q19" i="2" s="1"/>
  <c r="O14" i="2"/>
  <c r="P14" i="2" s="1"/>
  <c r="Q14" i="2" s="1"/>
  <c r="AI32" i="1"/>
  <c r="O16" i="2"/>
  <c r="P16" i="2" s="1"/>
  <c r="Q16" i="2" s="1"/>
  <c r="O13" i="2"/>
  <c r="P13" i="2" s="1"/>
  <c r="Q13" i="2" s="1"/>
  <c r="O18" i="2"/>
  <c r="P18" i="2" s="1"/>
  <c r="Q18" i="2" s="1"/>
  <c r="AD32" i="2"/>
  <c r="O15" i="2"/>
  <c r="P15" i="2" s="1"/>
  <c r="Q15" i="2" s="1"/>
  <c r="R3" i="1"/>
  <c r="X10" i="4"/>
  <c r="X29" i="4"/>
  <c r="X26" i="4"/>
  <c r="X105" i="4"/>
  <c r="Y105" i="4" s="1"/>
  <c r="AD36" i="3"/>
  <c r="Z44" i="3"/>
  <c r="Z46" i="3" s="1"/>
  <c r="Z47" i="3" s="1"/>
  <c r="X5" i="4"/>
  <c r="X8" i="4"/>
  <c r="X27" i="4"/>
  <c r="X100" i="4"/>
  <c r="Y100" i="4" s="1"/>
  <c r="X97" i="4"/>
  <c r="Y97" i="4" s="1"/>
  <c r="R6" i="1"/>
  <c r="T6" i="1" s="1"/>
  <c r="R7" i="1"/>
  <c r="T7" i="1" s="1"/>
  <c r="X106" i="4"/>
  <c r="Y106" i="4" s="1"/>
  <c r="X17" i="4"/>
  <c r="R5" i="1"/>
  <c r="T5" i="1" s="1"/>
  <c r="W59" i="3"/>
  <c r="AF38" i="3" s="1"/>
  <c r="V8" i="1"/>
  <c r="W8" i="1" s="1"/>
  <c r="V4" i="1"/>
  <c r="W4" i="1" s="1"/>
  <c r="V5" i="1"/>
  <c r="W5" i="1" s="1"/>
  <c r="V11" i="1"/>
  <c r="V3" i="1"/>
  <c r="W3" i="1" s="1"/>
  <c r="V6" i="1"/>
  <c r="W6" i="1" s="1"/>
  <c r="V9" i="1"/>
  <c r="W9" i="1" s="1"/>
  <c r="V7" i="1"/>
  <c r="W7" i="1" s="1"/>
  <c r="V2" i="1"/>
  <c r="W2" i="1" s="1"/>
  <c r="AJ28" i="1"/>
  <c r="V3" i="2"/>
  <c r="W3" i="2" s="1"/>
  <c r="V4" i="2"/>
  <c r="W4" i="2" s="1"/>
  <c r="V5" i="2"/>
  <c r="W5" i="2" s="1"/>
  <c r="V6" i="2"/>
  <c r="W6" i="2" s="1"/>
  <c r="AJ25" i="2"/>
  <c r="V7" i="2"/>
  <c r="W7" i="2" s="1"/>
  <c r="V8" i="2"/>
  <c r="W8" i="2" s="1"/>
  <c r="V9" i="2"/>
  <c r="W9" i="2" s="1"/>
  <c r="V2" i="2"/>
  <c r="W2" i="2" s="1"/>
  <c r="R2" i="1"/>
  <c r="T2" i="1" s="1"/>
  <c r="R4" i="1"/>
  <c r="T4" i="1" s="1"/>
  <c r="AD28" i="1"/>
  <c r="AD30" i="1" s="1"/>
  <c r="AD35" i="2"/>
  <c r="AH31" i="1"/>
  <c r="AI11" i="3"/>
  <c r="AI7" i="3"/>
  <c r="AH5" i="3"/>
  <c r="AI14" i="3"/>
  <c r="O14" i="3" s="1"/>
  <c r="Q14" i="3" s="1"/>
  <c r="AH14" i="3"/>
  <c r="AI10" i="3"/>
  <c r="AH10" i="3"/>
  <c r="AI13" i="3"/>
  <c r="AI12" i="3"/>
  <c r="C3" i="3"/>
  <c r="AH13" i="3"/>
  <c r="AI5" i="3"/>
  <c r="AH2" i="3"/>
  <c r="AI4" i="3"/>
  <c r="AH9" i="3"/>
  <c r="AH7" i="3"/>
  <c r="AH4" i="3"/>
  <c r="AH12" i="3"/>
  <c r="AI8" i="3"/>
  <c r="W60" i="3"/>
  <c r="AE38" i="3" s="1"/>
  <c r="W78" i="4"/>
  <c r="X78" i="4" s="1"/>
  <c r="Y78" i="4" s="1"/>
  <c r="W82" i="4"/>
  <c r="X82" i="4" s="1"/>
  <c r="Y82" i="4" s="1"/>
  <c r="X25" i="4"/>
  <c r="X28" i="4"/>
  <c r="W72" i="4"/>
  <c r="X72" i="4" s="1"/>
  <c r="Y72" i="4" s="1"/>
  <c r="W74" i="4"/>
  <c r="X74" i="4" s="1"/>
  <c r="Y74" i="4" s="1"/>
  <c r="X79" i="4"/>
  <c r="Y79" i="4" s="1"/>
  <c r="X24" i="4"/>
  <c r="W85" i="4"/>
  <c r="X85" i="4" s="1"/>
  <c r="Y85" i="4" s="1"/>
  <c r="W86" i="4"/>
  <c r="X86" i="4" s="1"/>
  <c r="Y86" i="4" s="1"/>
  <c r="W81" i="4"/>
  <c r="X81" i="4" s="1"/>
  <c r="Y81" i="4" s="1"/>
  <c r="W77" i="4"/>
  <c r="X77" i="4" s="1"/>
  <c r="Y77" i="4" s="1"/>
  <c r="X75" i="4"/>
  <c r="Y75" i="4" s="1"/>
  <c r="X22" i="4"/>
  <c r="W83" i="4"/>
  <c r="X83" i="4" s="1"/>
  <c r="Y83" i="4" s="1"/>
  <c r="W87" i="4"/>
  <c r="X87" i="4" s="1"/>
  <c r="Y87" i="4" s="1"/>
  <c r="W88" i="4"/>
  <c r="X88" i="4" s="1"/>
  <c r="Y88" i="4" s="1"/>
  <c r="W73" i="4"/>
  <c r="X73" i="4" s="1"/>
  <c r="Y73" i="4" s="1"/>
  <c r="X84" i="4"/>
  <c r="Y84" i="4" s="1"/>
  <c r="W76" i="4"/>
  <c r="X76" i="4" s="1"/>
  <c r="Y76" i="4" s="1"/>
  <c r="W80" i="4"/>
  <c r="X80" i="4" s="1"/>
  <c r="Y80" i="4" s="1"/>
  <c r="AM25" i="4"/>
  <c r="AM31" i="4"/>
  <c r="AM33" i="4"/>
  <c r="AM30" i="4"/>
  <c r="AM28" i="4"/>
  <c r="AM32" i="4"/>
  <c r="X61" i="4"/>
  <c r="AE34" i="4" s="1"/>
  <c r="AM26" i="4"/>
  <c r="AM29" i="4"/>
  <c r="X60" i="4"/>
  <c r="AF34" i="4" s="1"/>
  <c r="AE35" i="4"/>
  <c r="AH8" i="3" l="1"/>
  <c r="AI6" i="3"/>
  <c r="AI9" i="3"/>
  <c r="AI2" i="3"/>
  <c r="AH6" i="3"/>
  <c r="W57" i="3"/>
  <c r="AJ6" i="4"/>
  <c r="AK6" i="4" s="1"/>
  <c r="AL6" i="4" s="1"/>
  <c r="AI6" i="4"/>
  <c r="AN6" i="4" s="1"/>
  <c r="AM6" i="4" s="1"/>
  <c r="AJ16" i="4"/>
  <c r="AK16" i="4" s="1"/>
  <c r="AL16" i="4" s="1"/>
  <c r="AI16" i="4"/>
  <c r="AJ14" i="4"/>
  <c r="AK14" i="4" s="1"/>
  <c r="AL14" i="4" s="1"/>
  <c r="AI14" i="4"/>
  <c r="AJ15" i="4"/>
  <c r="AK15" i="4" s="1"/>
  <c r="AL15" i="4" s="1"/>
  <c r="AI15" i="4"/>
  <c r="AJ12" i="4"/>
  <c r="AK12" i="4" s="1"/>
  <c r="AL12" i="4" s="1"/>
  <c r="AI12" i="4"/>
  <c r="AJ18" i="4"/>
  <c r="AK18" i="4" s="1"/>
  <c r="AL18" i="4" s="1"/>
  <c r="AI18" i="4"/>
  <c r="AJ11" i="4"/>
  <c r="AK11" i="4" s="1"/>
  <c r="AL11" i="4" s="1"/>
  <c r="AI11" i="4"/>
  <c r="X65" i="4"/>
  <c r="AI29" i="2"/>
  <c r="R5" i="2"/>
  <c r="T5" i="2" s="1"/>
  <c r="R6" i="2"/>
  <c r="T6" i="2" s="1"/>
  <c r="R4" i="2"/>
  <c r="T4" i="2" s="1"/>
  <c r="R3" i="2"/>
  <c r="T3" i="2" s="1"/>
  <c r="R7" i="2"/>
  <c r="T7" i="2" s="1"/>
  <c r="R9" i="2"/>
  <c r="T9" i="2" s="1"/>
  <c r="R8" i="2"/>
  <c r="T8" i="2" s="1"/>
  <c r="R2" i="2"/>
  <c r="T2" i="2" s="1"/>
  <c r="AM10" i="3"/>
  <c r="AJ14" i="3"/>
  <c r="AK14" i="3" s="1"/>
  <c r="AM13" i="3"/>
  <c r="AM12" i="3"/>
  <c r="AJ10" i="3"/>
  <c r="AK10" i="3" s="1"/>
  <c r="AM9" i="3"/>
  <c r="AJ13" i="3"/>
  <c r="AK13" i="3" s="1"/>
  <c r="AJ12" i="3"/>
  <c r="AK12" i="3" s="1"/>
  <c r="AM8" i="3"/>
  <c r="AM11" i="3"/>
  <c r="AJ9" i="3"/>
  <c r="AK9" i="3" s="1"/>
  <c r="AM5" i="3"/>
  <c r="AJ5" i="3"/>
  <c r="AK5" i="3" s="1"/>
  <c r="AM4" i="3"/>
  <c r="AM7" i="3"/>
  <c r="AM14" i="3"/>
  <c r="AM6" i="3"/>
  <c r="AJ4" i="3"/>
  <c r="AK4" i="3" s="1"/>
  <c r="AJ7" i="3"/>
  <c r="AK7" i="3" s="1"/>
  <c r="AJ6" i="3"/>
  <c r="AK6" i="3" s="1"/>
  <c r="AJ11" i="3"/>
  <c r="AK11" i="3" s="1"/>
  <c r="AJ8" i="3"/>
  <c r="AK8" i="3" s="1"/>
  <c r="AM2" i="3"/>
  <c r="AJ2" i="3"/>
  <c r="AK2" i="3" s="1"/>
  <c r="AE4" i="1"/>
  <c r="AE10" i="1" s="1"/>
  <c r="AD10" i="1"/>
  <c r="AH28" i="2"/>
  <c r="AD25" i="2"/>
  <c r="AD27" i="2" s="1"/>
  <c r="AI30" i="1"/>
  <c r="AD31" i="1"/>
  <c r="AH30" i="1" s="1"/>
  <c r="AF3" i="3"/>
  <c r="AG3" i="3" s="1"/>
  <c r="B3" i="3"/>
  <c r="K3" i="3"/>
  <c r="T3" i="1"/>
  <c r="AA38" i="1"/>
  <c r="AA39" i="1"/>
  <c r="AH29" i="1" s="1"/>
  <c r="X67" i="4"/>
  <c r="X66" i="4"/>
  <c r="AJ10" i="4"/>
  <c r="AK10" i="4" s="1"/>
  <c r="AL10" i="4" s="1"/>
  <c r="AI13" i="4"/>
  <c r="AN13" i="4" s="1"/>
  <c r="AM13" i="4" s="1"/>
  <c r="AI5" i="4"/>
  <c r="AN5" i="4" s="1"/>
  <c r="AM5" i="4" s="1"/>
  <c r="D3" i="4"/>
  <c r="AJ9" i="4"/>
  <c r="AK9" i="4" s="1"/>
  <c r="AL9" i="4" s="1"/>
  <c r="AJ19" i="4"/>
  <c r="AK19" i="4" s="1"/>
  <c r="AL19" i="4" s="1"/>
  <c r="AI7" i="4"/>
  <c r="AJ17" i="4"/>
  <c r="AK17" i="4" s="1"/>
  <c r="AL17" i="4" s="1"/>
  <c r="AJ4" i="4"/>
  <c r="AK4" i="4" s="1"/>
  <c r="AL4" i="4" s="1"/>
  <c r="AI10" i="4"/>
  <c r="AJ5" i="4"/>
  <c r="AK5" i="4" s="1"/>
  <c r="AL5" i="4" s="1"/>
  <c r="AI19" i="4"/>
  <c r="AI2" i="4"/>
  <c r="AN2" i="4" s="1"/>
  <c r="AI9" i="4"/>
  <c r="AN9" i="4" s="1"/>
  <c r="AM9" i="4" s="1"/>
  <c r="AI8" i="4"/>
  <c r="X63" i="4"/>
  <c r="AI4" i="4"/>
  <c r="AJ7" i="4"/>
  <c r="AK7" i="4" s="1"/>
  <c r="AL7" i="4" s="1"/>
  <c r="AJ13" i="4"/>
  <c r="AK13" i="4" s="1"/>
  <c r="AL13" i="4" s="1"/>
  <c r="AJ2" i="4"/>
  <c r="AK2" i="4" s="1"/>
  <c r="AL2" i="4" s="1"/>
  <c r="AJ8" i="4"/>
  <c r="AK8" i="4" s="1"/>
  <c r="AL8" i="4" s="1"/>
  <c r="AI17" i="4"/>
  <c r="C3" i="4" l="1"/>
  <c r="A2" i="15"/>
  <c r="AN16" i="4"/>
  <c r="AM16" i="4" s="1"/>
  <c r="AN14" i="4"/>
  <c r="AM14" i="4" s="1"/>
  <c r="AN15" i="4"/>
  <c r="AM15" i="4" s="1"/>
  <c r="AN12" i="4"/>
  <c r="AM12" i="4" s="1"/>
  <c r="AN18" i="4"/>
  <c r="AM18" i="4" s="1"/>
  <c r="AN11" i="4"/>
  <c r="AM11" i="4" s="1"/>
  <c r="AD28" i="2"/>
  <c r="AH27" i="2" s="1"/>
  <c r="AI27" i="2"/>
  <c r="U8" i="1"/>
  <c r="U4" i="1"/>
  <c r="U5" i="1"/>
  <c r="U3" i="1"/>
  <c r="AI29" i="1"/>
  <c r="AF9" i="1" s="1"/>
  <c r="U6" i="1"/>
  <c r="U9" i="1"/>
  <c r="U2" i="1"/>
  <c r="U7" i="1"/>
  <c r="S3" i="3"/>
  <c r="L3" i="3"/>
  <c r="AG3" i="4"/>
  <c r="AH3" i="4" s="1"/>
  <c r="AI3" i="4" s="1"/>
  <c r="AI3" i="3"/>
  <c r="AJ3" i="3" s="1"/>
  <c r="AK3" i="3" s="1"/>
  <c r="AH3" i="3"/>
  <c r="K3" i="4"/>
  <c r="S3" i="4" s="1"/>
  <c r="AN19" i="4"/>
  <c r="AM19" i="4" s="1"/>
  <c r="AN10" i="4"/>
  <c r="AM10" i="4" s="1"/>
  <c r="AN7" i="4"/>
  <c r="AM7" i="4" s="1"/>
  <c r="AN8" i="4"/>
  <c r="AM8" i="4" s="1"/>
  <c r="AN4" i="4"/>
  <c r="AN17" i="4"/>
  <c r="AM17" i="4" s="1"/>
  <c r="AE2" i="15" l="1"/>
  <c r="D2" i="15"/>
  <c r="E3" i="15" s="1"/>
  <c r="E2" i="15" s="1"/>
  <c r="C3" i="15"/>
  <c r="C2" i="15" s="1"/>
  <c r="AF6" i="1"/>
  <c r="AF8" i="1"/>
  <c r="AF4" i="1"/>
  <c r="AJ3" i="4"/>
  <c r="AK3" i="4" s="1"/>
  <c r="AL3" i="4" s="1"/>
  <c r="AF2" i="1"/>
  <c r="AF3" i="1"/>
  <c r="AF7" i="1"/>
  <c r="AF5" i="1"/>
  <c r="AP3" i="3"/>
  <c r="AM3" i="3"/>
  <c r="L3" i="4"/>
  <c r="AN3" i="4"/>
  <c r="AA67" i="4" l="1"/>
  <c r="AE38" i="4" s="1"/>
  <c r="AA66" i="4"/>
  <c r="AF38" i="4" s="1"/>
  <c r="AA65" i="4"/>
  <c r="AG38" i="4" s="1"/>
  <c r="AG37" i="4" l="1"/>
  <c r="AF37" i="4"/>
  <c r="AE37" i="4"/>
  <c r="AO6" i="4" l="1"/>
  <c r="AP6" i="4" s="1"/>
  <c r="AQ6" i="4"/>
  <c r="AO14" i="4"/>
  <c r="AP14" i="4" s="1"/>
  <c r="AO16" i="4"/>
  <c r="AP16" i="4" s="1"/>
  <c r="AQ14" i="4"/>
  <c r="AX14" i="4" s="1"/>
  <c r="AQ16" i="4"/>
  <c r="AQ15" i="4"/>
  <c r="AX15" i="4" s="1"/>
  <c r="AO12" i="4"/>
  <c r="AP12" i="4" s="1"/>
  <c r="AO15" i="4"/>
  <c r="AP15" i="4" s="1"/>
  <c r="AQ18" i="4"/>
  <c r="AX18" i="4" s="1"/>
  <c r="AQ12" i="4"/>
  <c r="AO11" i="4"/>
  <c r="AP11" i="4" s="1"/>
  <c r="AO18" i="4"/>
  <c r="AP18" i="4" s="1"/>
  <c r="AQ11" i="4"/>
  <c r="AQ9" i="4"/>
  <c r="AQ10" i="4"/>
  <c r="AQ8" i="4"/>
  <c r="AQ7" i="4"/>
  <c r="AQ5" i="4"/>
  <c r="AQ17" i="4"/>
  <c r="AQ13" i="4"/>
  <c r="AQ19" i="4"/>
  <c r="AQ4" i="4"/>
  <c r="AO10" i="4"/>
  <c r="AP10" i="4" s="1"/>
  <c r="AO17" i="4"/>
  <c r="AP17" i="4" s="1"/>
  <c r="AO4" i="4"/>
  <c r="AP4" i="4" s="1"/>
  <c r="AO9" i="4"/>
  <c r="AP9" i="4" s="1"/>
  <c r="AO5" i="4"/>
  <c r="AP5" i="4" s="1"/>
  <c r="AO7" i="4"/>
  <c r="AP7" i="4" s="1"/>
  <c r="AO19" i="4"/>
  <c r="AP19" i="4" s="1"/>
  <c r="AO8" i="4"/>
  <c r="AP8" i="4" s="1"/>
  <c r="AO13" i="4"/>
  <c r="AP13" i="4" s="1"/>
  <c r="AX6" i="4" l="1"/>
  <c r="AR6" i="4"/>
  <c r="AR14" i="4"/>
  <c r="AX16" i="4"/>
  <c r="AR16" i="4"/>
  <c r="AR15" i="4"/>
  <c r="AR18" i="4"/>
  <c r="AX12" i="4"/>
  <c r="AR12" i="4"/>
  <c r="AX11" i="4"/>
  <c r="AR11" i="4"/>
  <c r="AR9" i="4"/>
  <c r="AX9" i="4"/>
  <c r="AR7" i="4"/>
  <c r="AX7" i="4"/>
  <c r="AX10" i="4"/>
  <c r="AR10" i="4"/>
  <c r="AR8" i="4"/>
  <c r="AX8" i="4"/>
  <c r="AX5" i="4"/>
  <c r="AR5" i="4"/>
  <c r="AR19" i="4"/>
  <c r="AX19" i="4"/>
  <c r="AX17" i="4"/>
  <c r="AR17" i="4"/>
  <c r="AR13" i="4"/>
  <c r="AX13" i="4"/>
  <c r="Z60" i="3"/>
  <c r="AE39" i="3" s="1"/>
  <c r="AN4" i="3" l="1"/>
  <c r="AO4" i="3" s="1"/>
  <c r="AP4" i="3" s="1"/>
  <c r="AW4" i="3" s="1"/>
  <c r="AR2" i="3"/>
  <c r="AS2" i="3" s="1"/>
  <c r="AR9" i="3"/>
  <c r="AS9" i="3" s="1"/>
  <c r="AT9" i="3" s="1"/>
  <c r="AU9" i="3" s="1"/>
  <c r="AR10" i="3"/>
  <c r="AS10" i="3" s="1"/>
  <c r="AT10" i="3" s="1"/>
  <c r="AU10" i="3" s="1"/>
  <c r="AN14" i="3"/>
  <c r="AO14" i="3" s="1"/>
  <c r="AP14" i="3" s="1"/>
  <c r="AW14" i="3" s="1"/>
  <c r="AR5" i="3"/>
  <c r="AS5" i="3" s="1"/>
  <c r="AN13" i="3"/>
  <c r="AO13" i="3" s="1"/>
  <c r="AP13" i="3" s="1"/>
  <c r="AR8" i="3"/>
  <c r="AS8" i="3" s="1"/>
  <c r="AT8" i="3" s="1"/>
  <c r="AU8" i="3" s="1"/>
  <c r="AR3" i="3"/>
  <c r="AS3" i="3" s="1"/>
  <c r="AN9" i="3"/>
  <c r="AO9" i="3" s="1"/>
  <c r="AP9" i="3" s="1"/>
  <c r="AN3" i="3"/>
  <c r="AN11" i="3"/>
  <c r="AO11" i="3" s="1"/>
  <c r="AP11" i="3" s="1"/>
  <c r="AN6" i="3"/>
  <c r="AO6" i="3" s="1"/>
  <c r="AP6" i="3" s="1"/>
  <c r="AN12" i="3"/>
  <c r="AO12" i="3" s="1"/>
  <c r="AP12" i="3" s="1"/>
  <c r="AR14" i="3"/>
  <c r="AS14" i="3" s="1"/>
  <c r="AT14" i="3" s="1"/>
  <c r="AR11" i="3"/>
  <c r="AS11" i="3" s="1"/>
  <c r="AT11" i="3" s="1"/>
  <c r="AU11" i="3" s="1"/>
  <c r="AR12" i="3"/>
  <c r="AS12" i="3" s="1"/>
  <c r="AT12" i="3" s="1"/>
  <c r="AU12" i="3" s="1"/>
  <c r="AR6" i="3"/>
  <c r="AS6" i="3" s="1"/>
  <c r="AT6" i="3" s="1"/>
  <c r="AR7" i="3"/>
  <c r="AS7" i="3" s="1"/>
  <c r="AT7" i="3" s="1"/>
  <c r="AN5" i="3"/>
  <c r="AO5" i="3" s="1"/>
  <c r="AP5" i="3" s="1"/>
  <c r="AW5" i="3" s="1"/>
  <c r="AN10" i="3"/>
  <c r="AO10" i="3" s="1"/>
  <c r="AP10" i="3" s="1"/>
  <c r="AN7" i="3"/>
  <c r="AO7" i="3" s="1"/>
  <c r="AP7" i="3" s="1"/>
  <c r="AN2" i="3"/>
  <c r="AR4" i="3"/>
  <c r="AS4" i="3" s="1"/>
  <c r="AN8" i="3"/>
  <c r="AO8" i="3" s="1"/>
  <c r="AP8" i="3" s="1"/>
  <c r="AR13" i="3"/>
  <c r="AS13" i="3" s="1"/>
  <c r="AT13" i="3" s="1"/>
  <c r="AU13" i="3" s="1"/>
  <c r="AE39" i="4"/>
  <c r="Z19" i="4"/>
  <c r="AA19" i="4" s="1"/>
  <c r="AB19" i="4"/>
  <c r="AE19" i="4" s="1"/>
  <c r="AE48" i="4"/>
  <c r="Y6" i="4" s="1"/>
  <c r="AB6" i="4" l="1"/>
  <c r="Z6" i="4"/>
  <c r="AA6" i="4" s="1"/>
  <c r="Y14" i="4"/>
  <c r="Y15" i="4"/>
  <c r="Y16" i="4"/>
  <c r="Y12" i="4"/>
  <c r="Y11" i="4"/>
  <c r="AQ13" i="3"/>
  <c r="AW13" i="3"/>
  <c r="AQ12" i="3"/>
  <c r="AW12" i="3"/>
  <c r="AQ10" i="3"/>
  <c r="AW10" i="3"/>
  <c r="AQ6" i="3"/>
  <c r="AW6" i="3"/>
  <c r="AW11" i="3"/>
  <c r="AQ11" i="3"/>
  <c r="Y4" i="4"/>
  <c r="Y10" i="4"/>
  <c r="Y7" i="4"/>
  <c r="Y13" i="4"/>
  <c r="Y17" i="4"/>
  <c r="Y8" i="4"/>
  <c r="Y3" i="4"/>
  <c r="Y5" i="4"/>
  <c r="Y9" i="4"/>
  <c r="AW9" i="3"/>
  <c r="AQ9" i="3"/>
  <c r="AQ7" i="3"/>
  <c r="AW7" i="3"/>
  <c r="AW8" i="3"/>
  <c r="AQ8" i="3"/>
  <c r="AC19" i="4"/>
  <c r="AC6" i="4" l="1"/>
  <c r="AE6" i="4"/>
  <c r="Z12" i="4"/>
  <c r="AA12" i="4" s="1"/>
  <c r="AB12" i="4"/>
  <c r="AB16" i="4"/>
  <c r="Z16" i="4"/>
  <c r="AA16" i="4" s="1"/>
  <c r="Z15" i="4"/>
  <c r="AA15" i="4" s="1"/>
  <c r="AB15" i="4"/>
  <c r="AB11" i="4"/>
  <c r="Z11" i="4"/>
  <c r="AA11" i="4" s="1"/>
  <c r="Z14" i="4"/>
  <c r="AA14" i="4" s="1"/>
  <c r="AB14" i="4"/>
  <c r="AB3" i="4"/>
  <c r="AC3" i="4" s="1"/>
  <c r="Z3" i="4"/>
  <c r="Z13" i="4"/>
  <c r="AA13" i="4" s="1"/>
  <c r="AB13" i="4"/>
  <c r="Z5" i="4"/>
  <c r="AA5" i="4" s="1"/>
  <c r="AB5" i="4"/>
  <c r="AB7" i="4"/>
  <c r="Z7" i="4"/>
  <c r="AA7" i="4" s="1"/>
  <c r="AB10" i="4"/>
  <c r="Z10" i="4"/>
  <c r="AA10" i="4" s="1"/>
  <c r="Z4" i="4"/>
  <c r="AA4" i="4" s="1"/>
  <c r="AB4" i="4"/>
  <c r="AB9" i="4"/>
  <c r="Z9" i="4"/>
  <c r="AA9" i="4" s="1"/>
  <c r="Z8" i="4"/>
  <c r="AA8" i="4" s="1"/>
  <c r="AB8" i="4"/>
  <c r="Z17" i="4"/>
  <c r="AA17" i="4" s="1"/>
  <c r="AB17" i="4"/>
  <c r="AE3" i="4" l="1"/>
  <c r="AC11" i="4"/>
  <c r="AE11" i="4"/>
  <c r="AC16" i="4"/>
  <c r="AE16" i="4"/>
  <c r="AC14" i="4"/>
  <c r="AE14" i="4"/>
  <c r="AC15" i="4"/>
  <c r="AE15" i="4"/>
  <c r="AC12" i="4"/>
  <c r="AE12" i="4"/>
  <c r="AC17" i="4"/>
  <c r="AE17" i="4"/>
  <c r="AC9" i="4"/>
  <c r="AE9" i="4"/>
  <c r="AE7" i="4"/>
  <c r="AC7" i="4"/>
  <c r="AE4" i="4"/>
  <c r="AC4" i="4"/>
  <c r="AE5" i="4"/>
  <c r="AC5" i="4"/>
  <c r="AE8" i="4"/>
  <c r="AC8" i="4"/>
  <c r="AE13" i="4"/>
  <c r="AE43" i="4" s="1"/>
  <c r="AC13" i="4"/>
  <c r="AE10" i="4"/>
  <c r="AC10" i="4"/>
  <c r="AF13" i="4" l="1"/>
  <c r="AE42" i="4" s="1"/>
  <c r="AT6" i="4" s="1"/>
  <c r="AU6" i="4" s="1"/>
  <c r="AT14" i="4" l="1"/>
  <c r="AU14" i="4" s="1"/>
  <c r="AT16" i="4"/>
  <c r="AU16" i="4" s="1"/>
  <c r="AT17" i="4"/>
  <c r="AU17" i="4" s="1"/>
  <c r="AT18" i="4"/>
  <c r="AU18" i="4" s="1"/>
  <c r="AT15" i="4"/>
  <c r="AU15" i="4" s="1"/>
  <c r="AT11" i="4"/>
  <c r="AU11" i="4" s="1"/>
  <c r="AT12" i="4"/>
  <c r="AU12" i="4" s="1"/>
  <c r="AT5" i="4"/>
  <c r="AU5" i="4" s="1"/>
  <c r="AT10" i="4"/>
  <c r="AU10" i="4" s="1"/>
  <c r="AT13" i="4"/>
  <c r="AU13" i="4" s="1"/>
  <c r="AT9" i="4"/>
  <c r="AU9" i="4" s="1"/>
  <c r="AT8" i="4"/>
  <c r="AU8" i="4" s="1"/>
  <c r="AT19" i="4"/>
  <c r="AU19" i="4" s="1"/>
  <c r="AT7" i="4"/>
  <c r="AU7" i="4" s="1"/>
  <c r="J47" i="14"/>
  <c r="AP11" i="14" l="1"/>
  <c r="AQ11" i="14" s="1"/>
  <c r="AP12" i="14"/>
  <c r="AQ12" i="14" s="1"/>
  <c r="AP9" i="14"/>
  <c r="AQ9" i="14" s="1"/>
  <c r="AP3" i="14"/>
  <c r="AQ3" i="14" s="1"/>
  <c r="AP8" i="14"/>
  <c r="AQ8" i="14" s="1"/>
  <c r="AP7" i="14"/>
  <c r="AQ7" i="14" s="1"/>
  <c r="AP6" i="14"/>
  <c r="AQ6" i="14" s="1"/>
  <c r="AP13" i="14"/>
  <c r="AQ13" i="14" s="1"/>
  <c r="AP4" i="14"/>
  <c r="AQ4" i="14" s="1"/>
  <c r="AP10" i="14"/>
  <c r="AQ10" i="14" s="1"/>
  <c r="AP5" i="14"/>
  <c r="AQ5" i="14" s="1"/>
  <c r="AC13" i="14"/>
  <c r="AD13" i="14" s="1"/>
  <c r="AA13" i="14"/>
  <c r="AB13" i="14" s="1"/>
  <c r="Q37" i="14"/>
  <c r="Z4" i="14" l="1"/>
  <c r="Z12" i="14"/>
  <c r="Z8" i="14"/>
  <c r="AC8" i="14" s="1"/>
  <c r="AD8" i="14" s="1"/>
  <c r="Z11" i="14"/>
  <c r="AA11" i="14" s="1"/>
  <c r="AB11" i="14" s="1"/>
  <c r="Z5" i="14"/>
  <c r="AC5" i="14" s="1"/>
  <c r="AF5" i="14" s="1"/>
  <c r="AF13" i="14"/>
  <c r="Z9" i="14"/>
  <c r="AA9" i="14" s="1"/>
  <c r="AB9" i="14" s="1"/>
  <c r="Z7" i="14"/>
  <c r="AA7" i="14" s="1"/>
  <c r="AB7" i="14" s="1"/>
  <c r="Z6" i="14"/>
  <c r="AA6" i="14" s="1"/>
  <c r="AB6" i="14" s="1"/>
  <c r="AC4" i="14"/>
  <c r="AA4" i="14"/>
  <c r="AB4" i="14" s="1"/>
  <c r="Z10" i="14"/>
  <c r="AA5" i="14"/>
  <c r="AB5" i="14" s="1"/>
  <c r="Z3" i="14"/>
  <c r="AA8" i="14"/>
  <c r="AB8" i="14" s="1"/>
  <c r="Z2" i="14"/>
  <c r="AA12" i="14" l="1"/>
  <c r="AB12" i="14" s="1"/>
  <c r="AC12" i="14"/>
  <c r="AC11" i="14"/>
  <c r="AD11" i="14" s="1"/>
  <c r="AC9" i="14"/>
  <c r="AD9" i="14" s="1"/>
  <c r="AF8" i="14"/>
  <c r="AC7" i="14"/>
  <c r="AF7" i="14" s="1"/>
  <c r="AC6" i="14"/>
  <c r="AD6" i="14" s="1"/>
  <c r="AD5" i="14"/>
  <c r="AC3" i="14"/>
  <c r="AA3" i="14"/>
  <c r="AB3" i="14" s="1"/>
  <c r="AF9" i="14"/>
  <c r="AD4" i="14"/>
  <c r="AF4" i="14"/>
  <c r="AA2" i="14"/>
  <c r="AC2" i="14"/>
  <c r="AC10" i="14"/>
  <c r="AA10" i="14"/>
  <c r="AB10" i="14" s="1"/>
  <c r="AD12" i="14" l="1"/>
  <c r="AF12" i="14"/>
  <c r="AG12" i="14" s="1"/>
  <c r="AF11" i="14"/>
  <c r="Q45" i="14" s="1"/>
  <c r="AD7" i="14"/>
  <c r="AF6" i="14"/>
  <c r="AF10" i="14"/>
  <c r="AD10" i="14"/>
  <c r="AF3" i="14"/>
  <c r="AD3" i="14"/>
  <c r="AF2" i="14"/>
  <c r="AD2" i="14"/>
  <c r="AG11" i="14" l="1"/>
  <c r="Q44" i="14" s="1"/>
  <c r="AT9" i="14" s="1"/>
  <c r="AU9" i="14" s="1"/>
  <c r="AT6" i="14" l="1"/>
  <c r="AU6" i="14" s="1"/>
  <c r="AT5" i="14"/>
  <c r="AU5" i="14" s="1"/>
  <c r="AT12" i="14"/>
  <c r="AU12" i="14" s="1"/>
  <c r="AT13" i="14"/>
  <c r="AU13" i="14" s="1"/>
  <c r="AT11" i="14"/>
  <c r="AU11" i="14" s="1"/>
  <c r="AT10" i="14"/>
  <c r="AU10" i="14" s="1"/>
  <c r="AT7" i="14"/>
  <c r="AU7" i="14" s="1"/>
  <c r="AT8" i="14"/>
  <c r="AU8" i="14" s="1"/>
</calcChain>
</file>

<file path=xl/sharedStrings.xml><?xml version="1.0" encoding="utf-8"?>
<sst xmlns="http://schemas.openxmlformats.org/spreadsheetml/2006/main" count="2028" uniqueCount="346">
  <si>
    <t>throttleFlt, deg</t>
  </si>
  <si>
    <t>v4, vdc</t>
  </si>
  <si>
    <t>Vemf, V pk-pk</t>
  </si>
  <si>
    <t>numPoles</t>
  </si>
  <si>
    <t>Kv</t>
  </si>
  <si>
    <t>Vc</t>
  </si>
  <si>
    <t>max RPM</t>
  </si>
  <si>
    <t>Throttle, deg</t>
  </si>
  <si>
    <t>Calc Ng from Throttle, rpm</t>
  </si>
  <si>
    <t>for 100% Ng at</t>
  </si>
  <si>
    <t>Charger V, vdc</t>
  </si>
  <si>
    <t>Charger I, A</t>
  </si>
  <si>
    <t>Charger Pwr, W</t>
  </si>
  <si>
    <t>THTL_MIN</t>
  </si>
  <si>
    <t>POT_MIN</t>
  </si>
  <si>
    <t>POT_MAX</t>
  </si>
  <si>
    <t>F2V_MIN</t>
  </si>
  <si>
    <t>F2V_MAX</t>
  </si>
  <si>
    <t>THTL_MAX</t>
  </si>
  <si>
    <t>potValue, v</t>
  </si>
  <si>
    <t>throttle, deg</t>
  </si>
  <si>
    <t>P_LT_NG</t>
  </si>
  <si>
    <t>vf2v, v</t>
  </si>
  <si>
    <t>Tng, micros</t>
  </si>
  <si>
    <t>FreqNg, Hz</t>
  </si>
  <si>
    <t>Ng, RPM</t>
  </si>
  <si>
    <t>Ng, %</t>
  </si>
  <si>
    <t>RPM_P</t>
  </si>
  <si>
    <t>Key</t>
  </si>
  <si>
    <t>User Inputs</t>
  </si>
  <si>
    <t>Calculated</t>
  </si>
  <si>
    <t>Entry to potESC.ino</t>
  </si>
  <si>
    <t>Motor</t>
  </si>
  <si>
    <t>LM2907N Circuit</t>
  </si>
  <si>
    <t>watts max ESC output</t>
  </si>
  <si>
    <t>ESC</t>
  </si>
  <si>
    <t>Enter 'value' until 100% Ng at max ESC watts</t>
  </si>
  <si>
    <t>Enter AD Scalings</t>
  </si>
  <si>
    <t>Computed Values</t>
  </si>
  <si>
    <t>Test Data</t>
  </si>
  <si>
    <t>what works</t>
  </si>
  <si>
    <t>nf</t>
  </si>
  <si>
    <t>ng</t>
  </si>
  <si>
    <t>freq</t>
  </si>
  <si>
    <t>same as Arduino</t>
  </si>
  <si>
    <t>Charger Pwr, SHP</t>
  </si>
  <si>
    <t>Ng Torque, ft-lbf</t>
  </si>
  <si>
    <t>dQ/dNg, ft-lbf/rpm</t>
  </si>
  <si>
    <t>Tau</t>
  </si>
  <si>
    <t>avg=</t>
  </si>
  <si>
    <t>TTL, ms</t>
  </si>
  <si>
    <t>original throttle, deg</t>
  </si>
  <si>
    <t>ttl, ms</t>
  </si>
  <si>
    <t>cal thtl</t>
  </si>
  <si>
    <t>-----&gt;</t>
  </si>
  <si>
    <t>10/13/2016 determined to scale deg throttle to 1000-2000 microseconds by setting in code for Servo</t>
  </si>
  <si>
    <t>Entries for potESC.ino Arduino</t>
  </si>
  <si>
    <t>Entries for potESC.ino Photon</t>
  </si>
  <si>
    <t>Calc Throttle from Ng, deg</t>
  </si>
  <si>
    <t>P_TH_NG</t>
  </si>
  <si>
    <t>Force NG(TH) to 0,0 so shutoff and min TTL at startup for initializing ESCs</t>
  </si>
  <si>
    <t>ln(Throttle)</t>
  </si>
  <si>
    <t>THNG0</t>
  </si>
  <si>
    <t>model throttle from vpot</t>
  </si>
  <si>
    <t>Model Ng from Model Throttle, %</t>
  </si>
  <si>
    <t>throttle for Ng=0</t>
  </si>
  <si>
    <t>simulate vpot from throttle</t>
  </si>
  <si>
    <t>Model Ng from Model Throttle, rpm</t>
  </si>
  <si>
    <t>P_NG_Q</t>
  </si>
  <si>
    <t xml:space="preserve">Ra </t>
  </si>
  <si>
    <t>La</t>
  </si>
  <si>
    <t xml:space="preserve">Kvrps </t>
  </si>
  <si>
    <t>Kt</t>
  </si>
  <si>
    <t>r/s / V</t>
  </si>
  <si>
    <t>ft-lbf/A</t>
  </si>
  <si>
    <t>H</t>
  </si>
  <si>
    <t>O</t>
  </si>
  <si>
    <t>rpm/V</t>
  </si>
  <si>
    <t>TauG</t>
  </si>
  <si>
    <t>J</t>
  </si>
  <si>
    <t>rpm/s / ft-lbf</t>
  </si>
  <si>
    <t>Model TauG</t>
  </si>
  <si>
    <t>Model TauA</t>
  </si>
  <si>
    <t>Model Inner Gain</t>
  </si>
  <si>
    <t>Model dQgdNg, ft-lbf/rpm</t>
  </si>
  <si>
    <t>Model Qg from Model Ng, ft-lbf</t>
  </si>
  <si>
    <t>P_N_SHP</t>
  </si>
  <si>
    <t>P_N_Q</t>
  </si>
  <si>
    <t>Model SHPg from Model Ng, shp</t>
  </si>
  <si>
    <t>pwr conn, shp</t>
  </si>
  <si>
    <t>pwr unconn, shp</t>
  </si>
  <si>
    <t>Ng Torque Backwards unconn, ft-lbf</t>
  </si>
  <si>
    <t>P_NG_QG</t>
  </si>
  <si>
    <t>mm</t>
  </si>
  <si>
    <t>gm</t>
  </si>
  <si>
    <t>J=</t>
  </si>
  <si>
    <t>lbm-in^2</t>
  </si>
  <si>
    <t>lbm-ft^2</t>
  </si>
  <si>
    <t>ft-lbf/(rpm/sec)</t>
  </si>
  <si>
    <t>Model TauT</t>
  </si>
  <si>
    <t>Nt, %</t>
  </si>
  <si>
    <t>Model Nt from Model Ng, %</t>
  </si>
  <si>
    <t>Model Nt from Model Ng, rpm</t>
  </si>
  <si>
    <t>Model SHPf from Model Nt, shp</t>
  </si>
  <si>
    <t>Model Qt from Model Nt, ft-lbf</t>
  </si>
  <si>
    <t>Model dQtdNt, ft-lbf/rpm</t>
  </si>
  <si>
    <t>Nt for 0% Ng</t>
  </si>
  <si>
    <t>Model pcntRef from Model Ng, %</t>
  </si>
  <si>
    <t>Model Ng from pcntRef at RESET, %</t>
  </si>
  <si>
    <t>pcntRef, %</t>
  </si>
  <si>
    <t>Ttur, micros</t>
  </si>
  <si>
    <t>tur,RPM</t>
  </si>
  <si>
    <t>with tur</t>
  </si>
  <si>
    <t>Calc NG from Nt, rpm</t>
  </si>
  <si>
    <t>Calc Ng from Nt, %</t>
  </si>
  <si>
    <t>FreqTur, Hz</t>
  </si>
  <si>
    <t>Reverse/Tur connected</t>
  </si>
  <si>
    <t>Reverse/Tur not connected</t>
  </si>
  <si>
    <t>JtEst, ft-lbf/(rpm/sec)</t>
  </si>
  <si>
    <t>JtEst, lbm-ft^2</t>
  </si>
  <si>
    <t>JtEst, lbm-in^2</t>
  </si>
  <si>
    <t>P_V4_NT</t>
  </si>
  <si>
    <t>P_NG_NT</t>
  </si>
  <si>
    <t>P_NT_NG</t>
  </si>
  <si>
    <t>P_P_PNT</t>
  </si>
  <si>
    <t>Calc tur, rpm</t>
  </si>
  <si>
    <t>Calc tur, %</t>
  </si>
  <si>
    <t>tur, %</t>
  </si>
  <si>
    <t>Rt=</t>
  </si>
  <si>
    <t>Jt=</t>
  </si>
  <si>
    <t>P_NT_QT</t>
  </si>
  <si>
    <t>Measured TauT, s</t>
  </si>
  <si>
    <t>Nt, rpm</t>
  </si>
  <si>
    <t>P_PNT_TAU</t>
  </si>
  <si>
    <t>Inertia Turbine Only (need motor***)</t>
  </si>
  <si>
    <t>Jm</t>
  </si>
  <si>
    <t>Nt, RPM</t>
  </si>
  <si>
    <t>Ng Pwr, SHP</t>
  </si>
  <si>
    <t>Model PwrG from Model Ng*Q, shp</t>
  </si>
  <si>
    <t>Est Qt</t>
  </si>
  <si>
    <t>Est Pwr, shp</t>
  </si>
  <si>
    <t>Rm=</t>
  </si>
  <si>
    <t>at most</t>
  </si>
  <si>
    <t>Lm=</t>
  </si>
  <si>
    <t>Mt=</t>
  </si>
  <si>
    <t>Mm=</t>
  </si>
  <si>
    <t>1/3*MR^2</t>
  </si>
  <si>
    <t>1/2*MR^2</t>
  </si>
  <si>
    <t>lbm</t>
  </si>
  <si>
    <t>Ng Total Torque, ft-lbf</t>
  </si>
  <si>
    <t>Ng Total  Torque Backwards conn, ft-lbf</t>
  </si>
  <si>
    <t>Ng Aero Torque Backwards conn, ft-lbf</t>
  </si>
  <si>
    <t>Power G, shp</t>
  </si>
  <si>
    <t>Power T, shp</t>
  </si>
  <si>
    <t>max Thrust</t>
  </si>
  <si>
    <t>lbf</t>
  </si>
  <si>
    <t>watts</t>
  </si>
  <si>
    <t>Thrust, N</t>
  </si>
  <si>
    <t>N</t>
  </si>
  <si>
    <t>Power From Thrust, W</t>
  </si>
  <si>
    <t>air density</t>
  </si>
  <si>
    <t>kg/m^3</t>
  </si>
  <si>
    <t>Flow area</t>
  </si>
  <si>
    <t>m^3</t>
  </si>
  <si>
    <t>Measured dQdN, ft-lbf/rpm</t>
  </si>
  <si>
    <t>Vw, m/s</t>
  </si>
  <si>
    <t>Vw, mph</t>
  </si>
  <si>
    <t>Vt, m/s</t>
  </si>
  <si>
    <t>Dia=</t>
  </si>
  <si>
    <t>SLS Std Day</t>
  </si>
  <si>
    <t>Ng Pwr, W</t>
  </si>
  <si>
    <t>Efficiency</t>
  </si>
  <si>
    <t>dCpdLambda</t>
  </si>
  <si>
    <t>Measured dQdN, N-m/rpm</t>
  </si>
  <si>
    <t>Beta=</t>
  </si>
  <si>
    <t>deg</t>
  </si>
  <si>
    <t>angle of attack trailing edge turbine</t>
  </si>
  <si>
    <t>DENS_SI</t>
  </si>
  <si>
    <t>AREA_SI</t>
  </si>
  <si>
    <t>RAT_THR_SI</t>
  </si>
  <si>
    <t>DCPDL</t>
  </si>
  <si>
    <t>P = rho / 2 * A * Vw^3 * Cp</t>
  </si>
  <si>
    <t>LAMBDA</t>
  </si>
  <si>
    <t>NM_2_FTLBF</t>
  </si>
  <si>
    <t>JT</t>
  </si>
  <si>
    <t>Model TauT from wind</t>
  </si>
  <si>
    <t>P^2 = T^3 / (4 rho A)</t>
  </si>
  <si>
    <t>P ~ N^3</t>
  </si>
  <si>
    <t>T = Vw^2 A rho</t>
  </si>
  <si>
    <t>==&gt;</t>
  </si>
  <si>
    <t>Vw ~ Ng</t>
  </si>
  <si>
    <t>Nt ~ Vw</t>
  </si>
  <si>
    <t>Nt ~ Ng</t>
  </si>
  <si>
    <t>Vw = sqrt ( T / A / rho)</t>
  </si>
  <si>
    <t>Cp = 0</t>
  </si>
  <si>
    <t>Beta = constant</t>
  </si>
  <si>
    <t xml:space="preserve">==&gt; </t>
  </si>
  <si>
    <t>freewheeling</t>
  </si>
  <si>
    <t>Q = P / N</t>
  </si>
  <si>
    <t>D_SI</t>
  </si>
  <si>
    <t>dCpdLambda=constant…not sure about this because taut not verified</t>
  </si>
  <si>
    <t>n/a</t>
  </si>
  <si>
    <t>DCPDLAMBDA</t>
  </si>
  <si>
    <t>Model TauT Wind</t>
  </si>
  <si>
    <t>Torque T, ft-lbf</t>
  </si>
  <si>
    <t>dQdN, ft-lbf/rpm</t>
  </si>
  <si>
    <t>slope ft-lbf/rpm</t>
  </si>
  <si>
    <t>Torque G, ft-lbf</t>
  </si>
  <si>
    <t>Fit Nt, %</t>
  </si>
  <si>
    <t>Fit Tau</t>
  </si>
  <si>
    <t>from CalPhotonTurnigy</t>
  </si>
  <si>
    <t>DELTAV</t>
  </si>
  <si>
    <t>Explained by wind turbine equations vs. Vw</t>
  </si>
  <si>
    <t>Lambda tip speed ratio</t>
  </si>
  <si>
    <t>lambda=constant  ****verified see chart below</t>
  </si>
  <si>
    <t>dCpdLam = dQtdNt / (rho D A (Vw-Vbias)^2/4/Lam)/(pi D / 60 / (Vw-Vbias))</t>
  </si>
  <si>
    <t>Vbias is speed that Nt starts to respond</t>
  </si>
  <si>
    <t>dQtdNt = dQtdLam * dLamdNt = dCpdLam*(rho D A (Vw-Vbias)^2 / 4 / Lam)*(pi D / 60 / (Vw-Vbias))</t>
  </si>
  <si>
    <t>FG_SI</t>
  </si>
  <si>
    <t>From fr_OL_P_T_461_var_06_1ms.xlsx/summaryFit</t>
  </si>
  <si>
    <t>Set Nt</t>
  </si>
  <si>
    <t>Description</t>
  </si>
  <si>
    <t>DC Power Overhead</t>
  </si>
  <si>
    <t>Lowest Ng</t>
  </si>
  <si>
    <t>First Nt</t>
  </si>
  <si>
    <t>Dynamic Nt #1</t>
  </si>
  <si>
    <t>Dynamic Nt #2</t>
  </si>
  <si>
    <t>Dynamic Nt #3</t>
  </si>
  <si>
    <t>Dynamic Nt #4</t>
  </si>
  <si>
    <t>Dynamic Nt #5</t>
  </si>
  <si>
    <t>Dynamic Nt #6</t>
  </si>
  <si>
    <t>Dynamic Nt #7</t>
  </si>
  <si>
    <t>Dynamic Nt #8</t>
  </si>
  <si>
    <t>Max</t>
  </si>
  <si>
    <t>tbd</t>
  </si>
  <si>
    <t>Calibration sheet</t>
  </si>
  <si>
    <t>Calibrate the ESC first</t>
  </si>
  <si>
    <t>Update the Arduino software</t>
  </si>
  <si>
    <t>Enter blue highlighted items into myCLaw.h</t>
  </si>
  <si>
    <t>Run the points below</t>
  </si>
  <si>
    <t>Run the frequency response fr_</t>
  </si>
  <si>
    <t>Enter results of fr_ into table lower right corner this sheet</t>
  </si>
  <si>
    <t>From fr_a1_t1_e1_g1b_t1a.xlsx</t>
  </si>
  <si>
    <t xml:space="preserve">Hand tune DELTAV </t>
  </si>
  <si>
    <t>Adjust</t>
  </si>
  <si>
    <t xml:space="preserve">for 100% Ng at </t>
  </si>
  <si>
    <t>Fan Rotor</t>
  </si>
  <si>
    <t>Dia</t>
  </si>
  <si>
    <t>Dia spinner</t>
  </si>
  <si>
    <t>Air</t>
  </si>
  <si>
    <t>Dens</t>
  </si>
  <si>
    <t>Thtl</t>
  </si>
  <si>
    <t xml:space="preserve">min  </t>
  </si>
  <si>
    <t xml:space="preserve">max  </t>
  </si>
  <si>
    <t>deg Throttle</t>
  </si>
  <si>
    <t>Power</t>
  </si>
  <si>
    <t>W max</t>
  </si>
  <si>
    <t>Fn</t>
  </si>
  <si>
    <t>V Pot</t>
  </si>
  <si>
    <t>Thrust Power, W</t>
  </si>
  <si>
    <t>Overall Efficiency</t>
  </si>
  <si>
    <t>none</t>
  </si>
  <si>
    <t>m</t>
  </si>
  <si>
    <t>m/s</t>
  </si>
  <si>
    <t>m^2</t>
  </si>
  <si>
    <t>v</t>
  </si>
  <si>
    <t>rpm/%</t>
  </si>
  <si>
    <t>rpm</t>
  </si>
  <si>
    <t>ft-lbf</t>
  </si>
  <si>
    <t>ft-lbf/N-m</t>
  </si>
  <si>
    <t>// Constants always defined -  potESC.ino #ifdef Arduino</t>
  </si>
  <si>
    <t>// See calibration&lt;date&gt;.xlsx - myCLAW.h</t>
  </si>
  <si>
    <t>Meas QdN, ft-lbf/rpm</t>
  </si>
  <si>
    <t>Meas dQdN, N-m/rpm</t>
  </si>
  <si>
    <t>Entry to myCLAW.h and potESC.ino</t>
  </si>
  <si>
    <t>Check that Nt corresponding to entry in column AG lines up with Nt from Z in Tau data</t>
  </si>
  <si>
    <t>Derived</t>
  </si>
  <si>
    <t>TauT Design, s</t>
  </si>
  <si>
    <t>TLD_S</t>
  </si>
  <si>
    <t>LG_S</t>
  </si>
  <si>
    <t>TLD_L</t>
  </si>
  <si>
    <t>LG_L</t>
  </si>
  <si>
    <t>tldF=.15, tlgF=.03</t>
  </si>
  <si>
    <t>matlabTuning.xlsx</t>
  </si>
  <si>
    <t>tldF</t>
  </si>
  <si>
    <t>tlgF</t>
  </si>
  <si>
    <t>xAll</t>
  </si>
  <si>
    <t>Scheduled</t>
  </si>
  <si>
    <t>Fixed lead</t>
  </si>
  <si>
    <t>// Ard2_Turn2_ESC2_G2b_T2a - myCLAW.h</t>
  </si>
  <si>
    <t>From fr_a2_t2_e2_g2b_t2a.xlsx</t>
  </si>
  <si>
    <t>cal point</t>
  </si>
  <si>
    <t>From fr_a3_t3_e3_g3b_t3a.xlsx</t>
  </si>
  <si>
    <t>From fr_a4_t4_e4_g4b_t4a.xlsx</t>
  </si>
  <si>
    <t>Calc Ng, %</t>
  </si>
  <si>
    <t>// Ard4_Turn4_ESC4_G4b_T4a - myCLAW.h</t>
  </si>
  <si>
    <t>// Ard3_Turn3_ESC3_G3b_T3a - myCLAW.h</t>
  </si>
  <si>
    <t>Entry to myCLAW.h and potESC.ino; same between units</t>
  </si>
  <si>
    <t>Meas TauT1, s</t>
  </si>
  <si>
    <t>Meas TauT2, s</t>
  </si>
  <si>
    <t>Meas TauT3, s</t>
  </si>
  <si>
    <t>Meas TauT4, s</t>
  </si>
  <si>
    <t>// Ard1_Turn1x_ESC1_G1b_T1a - myCLAW.h</t>
  </si>
  <si>
    <t>// Ard0_Turn0_ESC0_G0b_T0a - myCLAW.h</t>
  </si>
  <si>
    <t>From fr_a0_t0_e0_g0b_t0a.xlsx</t>
  </si>
  <si>
    <t>TBD</t>
  </si>
  <si>
    <t>T_P</t>
  </si>
  <si>
    <t>NG_P</t>
  </si>
  <si>
    <t>T_A0</t>
  </si>
  <si>
    <t>NG_A0</t>
  </si>
  <si>
    <t>T_A1</t>
  </si>
  <si>
    <t>NG_A1</t>
  </si>
  <si>
    <t>T_A2</t>
  </si>
  <si>
    <t>NG_A2</t>
  </si>
  <si>
    <t>T_A3</t>
  </si>
  <si>
    <t>NG_A3</t>
  </si>
  <si>
    <t>T_A4</t>
  </si>
  <si>
    <t>NG_A4</t>
  </si>
  <si>
    <t>G_P</t>
  </si>
  <si>
    <t>G_A0</t>
  </si>
  <si>
    <t>G_A1</t>
  </si>
  <si>
    <t>G_A2</t>
  </si>
  <si>
    <t>G_A3</t>
  </si>
  <si>
    <t>G_A4</t>
  </si>
  <si>
    <t>T_ALL</t>
  </si>
  <si>
    <t>NG_ALL</t>
  </si>
  <si>
    <t>P_LTALL_NG</t>
  </si>
  <si>
    <t>read off NG_ALL plot</t>
  </si>
  <si>
    <t>NGE_A0</t>
  </si>
  <si>
    <t>GE_A0</t>
  </si>
  <si>
    <t>NGE_A1</t>
  </si>
  <si>
    <t>GE_A1</t>
  </si>
  <si>
    <t>NGE_A3</t>
  </si>
  <si>
    <t>GE_A2</t>
  </si>
  <si>
    <t>NGE_A2</t>
  </si>
  <si>
    <t>GE_A3</t>
  </si>
  <si>
    <t>Meas TauT0, s</t>
  </si>
  <si>
    <t>NGE_A4</t>
  </si>
  <si>
    <t>GE_A4</t>
  </si>
  <si>
    <t>NGE</t>
  </si>
  <si>
    <t>GE</t>
  </si>
  <si>
    <t>Meas TauTx, s</t>
  </si>
  <si>
    <t>E.T_NG</t>
  </si>
  <si>
    <t>// Ardx_Turnx_ESCx_Gxb_Txa - myCLAW.h</t>
  </si>
  <si>
    <t>// Ard_Turn_ESC_Gb_T4 - myCLAW.h KIT 5</t>
  </si>
  <si>
    <t>From fr5_a_t_e_gb_ta.xlsx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</si>
</sst>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"/>
    <numFmt numFmtId="165" formatCode="0.0000"/>
    <numFmt numFmtId="166" formatCode="0.000"/>
    <numFmt numFmtId="167" formatCode="0E+00"/>
    <numFmt numFmtId="168" formatCode="0.000E+00"/>
    <numFmt numFmtId="169" formatCode="0.00000"/>
    <numFmt numFmtId="170" formatCode="0.000000"/>
  </numFmts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wrapText="1"/>
    </xf>
    <xf numFmtId="1" fontId="0" fillId="0" borderId="0" xfId="0" applyNumberFormat="1" applyFill="1"/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" borderId="0" xfId="0" applyNumberFormat="1" applyFill="1" applyAlignment="1">
      <alignment horizontal="left"/>
    </xf>
    <xf numFmtId="1" fontId="0" fillId="3" borderId="0" xfId="0" applyNumberFormat="1" applyFill="1" applyAlignment="1">
      <alignment horizontal="center"/>
    </xf>
    <xf numFmtId="1" fontId="0" fillId="2" borderId="0" xfId="0" applyNumberFormat="1" applyFill="1" applyAlignment="1">
      <alignment horizontal="left"/>
    </xf>
    <xf numFmtId="1" fontId="0" fillId="2" borderId="0" xfId="0" applyNumberFormat="1" applyFill="1" applyAlignment="1">
      <alignment horizontal="center"/>
    </xf>
    <xf numFmtId="1" fontId="0" fillId="5" borderId="0" xfId="0" applyNumberFormat="1" applyFill="1" applyAlignment="1">
      <alignment horizontal="left"/>
    </xf>
    <xf numFmtId="1" fontId="0" fillId="5" borderId="0" xfId="0" applyNumberFormat="1" applyFill="1" applyAlignment="1">
      <alignment horizontal="center"/>
    </xf>
    <xf numFmtId="0" fontId="0" fillId="0" borderId="1" xfId="0" applyBorder="1"/>
    <xf numFmtId="0" fontId="0" fillId="3" borderId="2" xfId="0" applyFill="1" applyBorder="1"/>
    <xf numFmtId="0" fontId="0" fillId="0" borderId="3" xfId="0" applyBorder="1"/>
    <xf numFmtId="0" fontId="0" fillId="3" borderId="4" xfId="0" applyFill="1" applyBorder="1"/>
    <xf numFmtId="0" fontId="0" fillId="0" borderId="5" xfId="0" applyBorder="1"/>
    <xf numFmtId="0" fontId="0" fillId="3" borderId="6" xfId="0" applyFill="1" applyBorder="1"/>
    <xf numFmtId="0" fontId="0" fillId="0" borderId="2" xfId="0" applyBorder="1" applyAlignment="1">
      <alignment wrapText="1"/>
    </xf>
    <xf numFmtId="0" fontId="0" fillId="3" borderId="3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0" borderId="7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8" xfId="0" applyBorder="1"/>
    <xf numFmtId="0" fontId="0" fillId="0" borderId="6" xfId="0" applyBorder="1"/>
    <xf numFmtId="0" fontId="0" fillId="3" borderId="9" xfId="0" applyFill="1" applyBorder="1"/>
    <xf numFmtId="0" fontId="0" fillId="0" borderId="10" xfId="0" applyBorder="1"/>
    <xf numFmtId="0" fontId="0" fillId="0" borderId="10" xfId="0" applyFill="1" applyBorder="1" applyAlignment="1">
      <alignment horizontal="center"/>
    </xf>
    <xf numFmtId="0" fontId="0" fillId="0" borderId="11" xfId="0" applyBorder="1"/>
    <xf numFmtId="0" fontId="0" fillId="0" borderId="9" xfId="0" applyBorder="1"/>
    <xf numFmtId="164" fontId="0" fillId="2" borderId="10" xfId="0" applyNumberFormat="1" applyFill="1" applyBorder="1"/>
    <xf numFmtId="0" fontId="0" fillId="3" borderId="10" xfId="0" applyFill="1" applyBorder="1"/>
    <xf numFmtId="0" fontId="0" fillId="0" borderId="11" xfId="0" applyFill="1" applyBorder="1" applyAlignment="1">
      <alignment horizontal="center"/>
    </xf>
    <xf numFmtId="0" fontId="0" fillId="0" borderId="7" xfId="0" applyBorder="1" applyAlignment="1">
      <alignment wrapText="1"/>
    </xf>
    <xf numFmtId="0" fontId="0" fillId="2" borderId="3" xfId="0" applyFill="1" applyBorder="1"/>
    <xf numFmtId="0" fontId="0" fillId="2" borderId="0" xfId="0" applyFill="1" applyBorder="1"/>
    <xf numFmtId="0" fontId="0" fillId="0" borderId="0" xfId="0" applyFill="1" applyBorder="1"/>
    <xf numFmtId="0" fontId="0" fillId="2" borderId="4" xfId="0" applyFill="1" applyBorder="1"/>
    <xf numFmtId="0" fontId="0" fillId="0" borderId="8" xfId="0" applyFill="1" applyBorder="1"/>
    <xf numFmtId="0" fontId="0" fillId="2" borderId="6" xfId="0" applyFill="1" applyBorder="1"/>
    <xf numFmtId="0" fontId="0" fillId="2" borderId="1" xfId="0" applyFill="1" applyBorder="1"/>
    <xf numFmtId="164" fontId="0" fillId="2" borderId="7" xfId="0" applyNumberFormat="1" applyFill="1" applyBorder="1"/>
    <xf numFmtId="0" fontId="0" fillId="2" borderId="7" xfId="0" applyFill="1" applyBorder="1"/>
    <xf numFmtId="0" fontId="0" fillId="2" borderId="2" xfId="0" applyFill="1" applyBorder="1"/>
    <xf numFmtId="1" fontId="0" fillId="2" borderId="0" xfId="0" applyNumberFormat="1" applyFill="1" applyBorder="1"/>
    <xf numFmtId="164" fontId="0" fillId="2" borderId="0" xfId="0" applyNumberFormat="1" applyFill="1" applyBorder="1"/>
    <xf numFmtId="0" fontId="0" fillId="2" borderId="5" xfId="0" applyFill="1" applyBorder="1"/>
    <xf numFmtId="1" fontId="0" fillId="2" borderId="8" xfId="0" applyNumberFormat="1" applyFill="1" applyBorder="1"/>
    <xf numFmtId="0" fontId="0" fillId="0" borderId="3" xfId="0" applyFill="1" applyBorder="1"/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5" borderId="1" xfId="0" applyNumberFormat="1" applyFill="1" applyBorder="1" applyAlignment="1">
      <alignment horizontal="left"/>
    </xf>
    <xf numFmtId="1" fontId="0" fillId="5" borderId="7" xfId="0" applyNumberFormat="1" applyFill="1" applyBorder="1" applyAlignment="1">
      <alignment horizontal="left"/>
    </xf>
    <xf numFmtId="0" fontId="0" fillId="0" borderId="7" xfId="0" applyFill="1" applyBorder="1"/>
    <xf numFmtId="1" fontId="0" fillId="5" borderId="3" xfId="0" applyNumberFormat="1" applyFill="1" applyBorder="1" applyAlignment="1">
      <alignment horizontal="left"/>
    </xf>
    <xf numFmtId="1" fontId="0" fillId="5" borderId="0" xfId="0" applyNumberFormat="1" applyFill="1" applyBorder="1" applyAlignment="1">
      <alignment horizontal="left"/>
    </xf>
    <xf numFmtId="1" fontId="0" fillId="5" borderId="0" xfId="0" applyNumberFormat="1" applyFill="1" applyBorder="1"/>
    <xf numFmtId="1" fontId="0" fillId="5" borderId="4" xfId="0" applyNumberFormat="1" applyFill="1" applyBorder="1"/>
    <xf numFmtId="165" fontId="0" fillId="5" borderId="0" xfId="0" applyNumberFormat="1" applyFill="1" applyBorder="1"/>
    <xf numFmtId="1" fontId="0" fillId="5" borderId="5" xfId="0" applyNumberFormat="1" applyFill="1" applyBorder="1" applyAlignment="1">
      <alignment horizontal="left"/>
    </xf>
    <xf numFmtId="1" fontId="0" fillId="5" borderId="8" xfId="0" applyNumberFormat="1" applyFill="1" applyBorder="1" applyAlignment="1">
      <alignment horizontal="left"/>
    </xf>
    <xf numFmtId="165" fontId="0" fillId="5" borderId="8" xfId="0" applyNumberFormat="1" applyFill="1" applyBorder="1"/>
    <xf numFmtId="0" fontId="0" fillId="3" borderId="12" xfId="0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 applyAlignment="1">
      <alignment horizontal="center" wrapText="1"/>
    </xf>
    <xf numFmtId="0" fontId="0" fillId="3" borderId="15" xfId="0" applyFill="1" applyBorder="1" applyAlignment="1">
      <alignment horizontal="center" wrapText="1"/>
    </xf>
    <xf numFmtId="0" fontId="0" fillId="3" borderId="16" xfId="0" applyFill="1" applyBorder="1"/>
    <xf numFmtId="0" fontId="0" fillId="3" borderId="17" xfId="0" applyFill="1" applyBorder="1" applyAlignment="1">
      <alignment horizontal="center"/>
    </xf>
    <xf numFmtId="0" fontId="0" fillId="3" borderId="18" xfId="0" applyFill="1" applyBorder="1"/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/>
    <xf numFmtId="0" fontId="0" fillId="3" borderId="22" xfId="0" applyFill="1" applyBorder="1" applyAlignment="1">
      <alignment horizontal="center" wrapText="1"/>
    </xf>
    <xf numFmtId="0" fontId="0" fillId="3" borderId="23" xfId="0" applyFill="1" applyBorder="1" applyAlignment="1">
      <alignment horizontal="center" wrapText="1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164" fontId="0" fillId="5" borderId="7" xfId="0" applyNumberFormat="1" applyFill="1" applyBorder="1" applyAlignment="1">
      <alignment horizontal="left"/>
    </xf>
    <xf numFmtId="0" fontId="0" fillId="6" borderId="0" xfId="0" applyFill="1" applyAlignment="1">
      <alignment horizontal="center"/>
    </xf>
    <xf numFmtId="2" fontId="0" fillId="2" borderId="4" xfId="0" applyNumberFormat="1" applyFill="1" applyBorder="1" applyAlignment="1">
      <alignment horizontal="center"/>
    </xf>
    <xf numFmtId="164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/>
    <xf numFmtId="1" fontId="0" fillId="0" borderId="0" xfId="0" applyNumberFormat="1" applyFill="1" applyBorder="1"/>
    <xf numFmtId="0" fontId="1" fillId="0" borderId="0" xfId="0" quotePrefix="1" applyFont="1"/>
    <xf numFmtId="166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3" borderId="24" xfId="0" applyFill="1" applyBorder="1"/>
    <xf numFmtId="0" fontId="0" fillId="3" borderId="25" xfId="0" applyFill="1" applyBorder="1" applyAlignment="1">
      <alignment horizontal="center" wrapText="1"/>
    </xf>
    <xf numFmtId="0" fontId="0" fillId="3" borderId="26" xfId="0" applyFill="1" applyBorder="1" applyAlignment="1">
      <alignment horizontal="center" wrapText="1"/>
    </xf>
    <xf numFmtId="167" fontId="0" fillId="3" borderId="25" xfId="0" applyNumberFormat="1" applyFill="1" applyBorder="1" applyAlignment="1">
      <alignment horizontal="center" wrapText="1"/>
    </xf>
    <xf numFmtId="164" fontId="0" fillId="2" borderId="8" xfId="0" applyNumberFormat="1" applyFill="1" applyBorder="1"/>
    <xf numFmtId="167" fontId="0" fillId="3" borderId="14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left"/>
    </xf>
    <xf numFmtId="167" fontId="0" fillId="3" borderId="12" xfId="0" applyNumberFormat="1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left"/>
    </xf>
    <xf numFmtId="0" fontId="0" fillId="2" borderId="8" xfId="0" applyFill="1" applyBorder="1"/>
    <xf numFmtId="0" fontId="0" fillId="3" borderId="12" xfId="0" applyFill="1" applyBorder="1" applyAlignment="1">
      <alignment horizontal="center" wrapText="1"/>
    </xf>
    <xf numFmtId="0" fontId="0" fillId="0" borderId="12" xfId="0" applyFill="1" applyBorder="1" applyAlignment="1">
      <alignment horizontal="center" wrapText="1"/>
    </xf>
    <xf numFmtId="0" fontId="0" fillId="2" borderId="12" xfId="0" applyFill="1" applyBorder="1"/>
    <xf numFmtId="2" fontId="0" fillId="3" borderId="12" xfId="0" applyNumberFormat="1" applyFill="1" applyBorder="1" applyAlignment="1">
      <alignment horizontal="center" wrapText="1"/>
    </xf>
    <xf numFmtId="0" fontId="0" fillId="0" borderId="16" xfId="0" applyFill="1" applyBorder="1"/>
    <xf numFmtId="0" fontId="0" fillId="0" borderId="17" xfId="0" applyFill="1" applyBorder="1" applyAlignment="1">
      <alignment horizontal="center" wrapText="1"/>
    </xf>
    <xf numFmtId="0" fontId="0" fillId="3" borderId="17" xfId="0" applyFill="1" applyBorder="1" applyAlignment="1">
      <alignment horizontal="center" wrapText="1"/>
    </xf>
    <xf numFmtId="0" fontId="0" fillId="0" borderId="18" xfId="0" applyFill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Fill="1" applyBorder="1"/>
    <xf numFmtId="168" fontId="0" fillId="2" borderId="2" xfId="0" applyNumberFormat="1" applyFill="1" applyBorder="1"/>
    <xf numFmtId="168" fontId="0" fillId="2" borderId="4" xfId="0" applyNumberFormat="1" applyFill="1" applyBorder="1"/>
    <xf numFmtId="168" fontId="0" fillId="2" borderId="6" xfId="0" applyNumberFormat="1" applyFill="1" applyBorder="1"/>
    <xf numFmtId="168" fontId="0" fillId="5" borderId="0" xfId="0" applyNumberFormat="1" applyFill="1" applyBorder="1"/>
    <xf numFmtId="168" fontId="0" fillId="5" borderId="8" xfId="0" applyNumberFormat="1" applyFill="1" applyBorder="1"/>
    <xf numFmtId="168" fontId="0" fillId="5" borderId="6" xfId="0" applyNumberFormat="1" applyFill="1" applyBorder="1"/>
    <xf numFmtId="169" fontId="0" fillId="0" borderId="0" xfId="0" applyNumberFormat="1"/>
    <xf numFmtId="170" fontId="0" fillId="0" borderId="0" xfId="0" applyNumberFormat="1"/>
    <xf numFmtId="11" fontId="0" fillId="3" borderId="4" xfId="0" applyNumberFormat="1" applyFill="1" applyBorder="1"/>
    <xf numFmtId="164" fontId="0" fillId="3" borderId="4" xfId="0" applyNumberFormat="1" applyFill="1" applyBorder="1"/>
    <xf numFmtId="0" fontId="0" fillId="0" borderId="5" xfId="0" applyFill="1" applyBorder="1"/>
    <xf numFmtId="165" fontId="0" fillId="3" borderId="4" xfId="0" applyNumberFormat="1" applyFill="1" applyBorder="1"/>
    <xf numFmtId="11" fontId="0" fillId="3" borderId="6" xfId="0" applyNumberFormat="1" applyFill="1" applyBorder="1"/>
    <xf numFmtId="166" fontId="0" fillId="7" borderId="0" xfId="0" applyNumberFormat="1" applyFill="1"/>
    <xf numFmtId="2" fontId="0" fillId="7" borderId="0" xfId="0" applyNumberFormat="1" applyFill="1"/>
    <xf numFmtId="0" fontId="0" fillId="7" borderId="0" xfId="0" applyFill="1"/>
    <xf numFmtId="169" fontId="0" fillId="7" borderId="0" xfId="0" applyNumberFormat="1" applyFill="1"/>
    <xf numFmtId="170" fontId="0" fillId="7" borderId="0" xfId="0" applyNumberFormat="1" applyFill="1"/>
    <xf numFmtId="168" fontId="0" fillId="5" borderId="4" xfId="0" applyNumberFormat="1" applyFill="1" applyBorder="1"/>
    <xf numFmtId="0" fontId="0" fillId="4" borderId="12" xfId="0" applyFill="1" applyBorder="1" applyAlignment="1">
      <alignment horizontal="center"/>
    </xf>
    <xf numFmtId="0" fontId="0" fillId="4" borderId="12" xfId="0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11" fontId="0" fillId="3" borderId="0" xfId="0" applyNumberFormat="1" applyFill="1" applyAlignment="1">
      <alignment horizontal="center"/>
    </xf>
    <xf numFmtId="0" fontId="0" fillId="0" borderId="27" xfId="0" applyFill="1" applyBorder="1"/>
    <xf numFmtId="168" fontId="0" fillId="3" borderId="6" xfId="0" applyNumberFormat="1" applyFill="1" applyBorder="1"/>
    <xf numFmtId="168" fontId="0" fillId="0" borderId="0" xfId="0" applyNumberFormat="1"/>
    <xf numFmtId="165" fontId="0" fillId="0" borderId="0" xfId="0" applyNumberFormat="1"/>
    <xf numFmtId="11" fontId="0" fillId="3" borderId="12" xfId="0" applyNumberFormat="1" applyFill="1" applyBorder="1" applyAlignment="1">
      <alignment horizontal="center" wrapText="1"/>
    </xf>
    <xf numFmtId="168" fontId="0" fillId="0" borderId="0" xfId="0" applyNumberFormat="1" applyFill="1" applyBorder="1"/>
    <xf numFmtId="169" fontId="0" fillId="0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168" fontId="0" fillId="0" borderId="0" xfId="0" applyNumberFormat="1" applyFill="1"/>
    <xf numFmtId="0" fontId="0" fillId="3" borderId="7" xfId="0" applyFill="1" applyBorder="1"/>
    <xf numFmtId="0" fontId="0" fillId="0" borderId="2" xfId="0" applyFill="1" applyBorder="1" applyAlignment="1">
      <alignment horizontal="center"/>
    </xf>
    <xf numFmtId="2" fontId="0" fillId="3" borderId="8" xfId="0" applyNumberFormat="1" applyFill="1" applyBorder="1"/>
    <xf numFmtId="0" fontId="0" fillId="3" borderId="0" xfId="0" applyFill="1"/>
    <xf numFmtId="2" fontId="0" fillId="0" borderId="0" xfId="0" applyNumberFormat="1" applyAlignment="1">
      <alignment horizontal="center" wrapText="1"/>
    </xf>
    <xf numFmtId="166" fontId="0" fillId="2" borderId="0" xfId="0" applyNumberFormat="1" applyFill="1"/>
    <xf numFmtId="0" fontId="0" fillId="5" borderId="0" xfId="0" applyFill="1" applyBorder="1"/>
    <xf numFmtId="0" fontId="0" fillId="5" borderId="3" xfId="0" applyFill="1" applyBorder="1"/>
    <xf numFmtId="166" fontId="0" fillId="5" borderId="0" xfId="0" applyNumberFormat="1" applyFill="1" applyBorder="1"/>
    <xf numFmtId="166" fontId="0" fillId="2" borderId="0" xfId="0" applyNumberFormat="1" applyFill="1" applyAlignment="1">
      <alignment horizontal="center"/>
    </xf>
    <xf numFmtId="0" fontId="0" fillId="0" borderId="0" xfId="0" quotePrefix="1"/>
    <xf numFmtId="166" fontId="0" fillId="0" borderId="0" xfId="0" applyNumberFormat="1" applyFill="1" applyAlignment="1">
      <alignment horizontal="center"/>
    </xf>
    <xf numFmtId="2" fontId="0" fillId="4" borderId="8" xfId="0" applyNumberFormat="1" applyFill="1" applyBorder="1"/>
    <xf numFmtId="0" fontId="0" fillId="9" borderId="0" xfId="0" applyFill="1"/>
    <xf numFmtId="0" fontId="0" fillId="9" borderId="0" xfId="0" applyFill="1" applyBorder="1"/>
    <xf numFmtId="168" fontId="0" fillId="9" borderId="4" xfId="0" applyNumberFormat="1" applyFill="1" applyBorder="1"/>
    <xf numFmtId="168" fontId="0" fillId="9" borderId="0" xfId="0" applyNumberFormat="1" applyFill="1" applyBorder="1"/>
    <xf numFmtId="1" fontId="0" fillId="9" borderId="3" xfId="0" applyNumberFormat="1" applyFill="1" applyBorder="1" applyAlignment="1">
      <alignment horizontal="left"/>
    </xf>
    <xf numFmtId="166" fontId="0" fillId="3" borderId="0" xfId="0" applyNumberFormat="1" applyFill="1"/>
    <xf numFmtId="164" fontId="0" fillId="0" borderId="0" xfId="0" applyNumberFormat="1" applyFill="1"/>
    <xf numFmtId="1" fontId="0" fillId="0" borderId="0" xfId="0" applyNumberFormat="1"/>
    <xf numFmtId="164" fontId="0" fillId="0" borderId="0" xfId="0" applyNumberFormat="1" applyAlignment="1">
      <alignment horizontal="center" wrapText="1"/>
    </xf>
    <xf numFmtId="0" fontId="0" fillId="0" borderId="0" xfId="0" applyAlignment="1">
      <alignment horizontal="left"/>
    </xf>
    <xf numFmtId="1" fontId="0" fillId="0" borderId="4" xfId="0" quotePrefix="1" applyNumberFormat="1" applyFill="1" applyBorder="1" applyAlignment="1">
      <alignment horizontal="left"/>
    </xf>
    <xf numFmtId="164" fontId="0" fillId="0" borderId="0" xfId="0" applyNumberFormat="1" applyBorder="1"/>
    <xf numFmtId="168" fontId="0" fillId="8" borderId="0" xfId="0" applyNumberFormat="1" applyFill="1" applyBorder="1"/>
    <xf numFmtId="168" fontId="0" fillId="2" borderId="0" xfId="0" applyNumberFormat="1" applyFill="1" applyBorder="1"/>
    <xf numFmtId="1" fontId="0" fillId="2" borderId="3" xfId="0" applyNumberFormat="1" applyFill="1" applyBorder="1" applyAlignment="1">
      <alignment horizontal="left"/>
    </xf>
    <xf numFmtId="168" fontId="0" fillId="2" borderId="8" xfId="0" applyNumberFormat="1" applyFill="1" applyBorder="1"/>
    <xf numFmtId="166" fontId="0" fillId="8" borderId="8" xfId="0" applyNumberFormat="1" applyFill="1" applyBorder="1"/>
    <xf numFmtId="0" fontId="0" fillId="10" borderId="0" xfId="0" applyFill="1"/>
    <xf numFmtId="168" fontId="0" fillId="3" borderId="0" xfId="0" applyNumberFormat="1" applyFill="1"/>
    <xf numFmtId="169" fontId="0" fillId="0" borderId="0" xfId="0" applyNumberFormat="1" applyFill="1" applyBorder="1"/>
    <xf numFmtId="164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11" fontId="0" fillId="0" borderId="0" xfId="0" applyNumberFormat="1" applyFill="1" applyBorder="1" applyAlignment="1">
      <alignment horizontal="center"/>
    </xf>
    <xf numFmtId="167" fontId="0" fillId="3" borderId="17" xfId="0" applyNumberFormat="1" applyFill="1" applyBorder="1" applyAlignment="1">
      <alignment horizontal="center"/>
    </xf>
    <xf numFmtId="0" fontId="0" fillId="2" borderId="0" xfId="0" applyFill="1"/>
    <xf numFmtId="0" fontId="0" fillId="0" borderId="1" xfId="0" applyFill="1" applyBorder="1"/>
    <xf numFmtId="0" fontId="0" fillId="0" borderId="0" xfId="0" applyFill="1" applyBorder="1" applyAlignment="1">
      <alignment wrapText="1"/>
    </xf>
    <xf numFmtId="2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/>
    <xf numFmtId="0" fontId="0" fillId="0" borderId="9" xfId="0" applyFill="1" applyBorder="1"/>
    <xf numFmtId="0" fontId="0" fillId="0" borderId="0" xfId="0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3" borderId="11" xfId="0" applyFill="1" applyBorder="1" applyAlignment="1">
      <alignment horizontal="right"/>
    </xf>
    <xf numFmtId="0" fontId="0" fillId="3" borderId="4" xfId="0" applyFill="1" applyBorder="1" applyAlignment="1">
      <alignment horizontal="right"/>
    </xf>
    <xf numFmtId="2" fontId="0" fillId="3" borderId="6" xfId="0" applyNumberFormat="1" applyFill="1" applyBorder="1" applyAlignment="1">
      <alignment horizontal="right"/>
    </xf>
    <xf numFmtId="1" fontId="0" fillId="5" borderId="0" xfId="0" applyNumberFormat="1" applyFill="1" applyBorder="1" applyAlignment="1">
      <alignment horizontal="right"/>
    </xf>
    <xf numFmtId="166" fontId="0" fillId="5" borderId="0" xfId="0" applyNumberFormat="1" applyFill="1" applyBorder="1" applyAlignment="1">
      <alignment horizontal="right"/>
    </xf>
    <xf numFmtId="2" fontId="0" fillId="5" borderId="0" xfId="0" applyNumberFormat="1" applyFill="1" applyBorder="1" applyAlignment="1">
      <alignment horizontal="right"/>
    </xf>
    <xf numFmtId="0" fontId="0" fillId="3" borderId="0" xfId="0" applyFill="1" applyBorder="1"/>
    <xf numFmtId="0" fontId="0" fillId="3" borderId="28" xfId="0" applyFill="1" applyBorder="1"/>
    <xf numFmtId="164" fontId="0" fillId="3" borderId="0" xfId="0" applyNumberFormat="1" applyFill="1" applyBorder="1"/>
    <xf numFmtId="168" fontId="0" fillId="2" borderId="0" xfId="0" applyNumberFormat="1" applyFill="1" applyBorder="1" applyAlignment="1">
      <alignment horizontal="right"/>
    </xf>
    <xf numFmtId="1" fontId="0" fillId="2" borderId="0" xfId="0" applyNumberForma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1" xfId="0" quotePrefix="1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quotePrefix="1" applyBorder="1" applyAlignment="1">
      <alignment horizontal="left"/>
    </xf>
    <xf numFmtId="0" fontId="0" fillId="5" borderId="5" xfId="0" applyFill="1" applyBorder="1"/>
    <xf numFmtId="0" fontId="0" fillId="4" borderId="8" xfId="0" applyFill="1" applyBorder="1" applyAlignment="1">
      <alignment horizontal="right"/>
    </xf>
    <xf numFmtId="2" fontId="0" fillId="0" borderId="16" xfId="0" applyNumberFormat="1" applyFill="1" applyBorder="1" applyAlignment="1">
      <alignment horizontal="center"/>
    </xf>
    <xf numFmtId="2" fontId="0" fillId="0" borderId="18" xfId="0" applyNumberFormat="1" applyFill="1" applyBorder="1" applyAlignment="1">
      <alignment horizontal="center"/>
    </xf>
    <xf numFmtId="0" fontId="0" fillId="0" borderId="2" xfId="0" applyBorder="1" applyAlignment="1">
      <alignment horizontal="right" wrapText="1"/>
    </xf>
    <xf numFmtId="0" fontId="0" fillId="0" borderId="13" xfId="0" applyFill="1" applyBorder="1"/>
    <xf numFmtId="0" fontId="0" fillId="0" borderId="14" xfId="0" applyFill="1" applyBorder="1" applyAlignment="1">
      <alignment horizontal="center" wrapText="1"/>
    </xf>
    <xf numFmtId="0" fontId="0" fillId="0" borderId="15" xfId="0" applyFill="1" applyBorder="1" applyAlignment="1">
      <alignment horizontal="center" wrapText="1"/>
    </xf>
    <xf numFmtId="0" fontId="2" fillId="3" borderId="3" xfId="0" quotePrefix="1" applyFont="1" applyFill="1" applyBorder="1" applyAlignment="1">
      <alignment horizontal="left"/>
    </xf>
    <xf numFmtId="169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9" fontId="0" fillId="0" borderId="0" xfId="0" applyNumberFormat="1" applyFill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0" xfId="0" applyFill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6" fontId="0" fillId="3" borderId="0" xfId="0" applyNumberFormat="1" applyFill="1" applyBorder="1" applyAlignment="1">
      <alignment horizontal="center"/>
    </xf>
    <xf numFmtId="166" fontId="0" fillId="3" borderId="4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68" fontId="0" fillId="2" borderId="0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4" fontId="0" fillId="5" borderId="7" xfId="0" applyNumberFormat="1" applyFill="1" applyBorder="1" applyAlignment="1">
      <alignment horizontal="center"/>
    </xf>
    <xf numFmtId="164" fontId="0" fillId="5" borderId="7" xfId="0" applyNumberFormat="1" applyFill="1" applyBorder="1"/>
    <xf numFmtId="164" fontId="0" fillId="4" borderId="7" xfId="0" applyNumberFormat="1" applyFill="1" applyBorder="1" applyAlignment="1">
      <alignment horizontal="center"/>
    </xf>
    <xf numFmtId="164" fontId="0" fillId="4" borderId="2" xfId="0" applyNumberFormat="1" applyFill="1" applyBorder="1"/>
    <xf numFmtId="2" fontId="0" fillId="2" borderId="12" xfId="0" applyNumberFormat="1" applyFill="1" applyBorder="1" applyAlignment="1">
      <alignment horizontal="center"/>
    </xf>
    <xf numFmtId="0" fontId="0" fillId="0" borderId="7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2" fontId="0" fillId="0" borderId="27" xfId="0" applyNumberFormat="1" applyFill="1" applyBorder="1" applyAlignment="1">
      <alignment horizontal="center"/>
    </xf>
    <xf numFmtId="1" fontId="0" fillId="11" borderId="3" xfId="0" applyNumberFormat="1" applyFill="1" applyBorder="1" applyAlignment="1">
      <alignment horizontal="left"/>
    </xf>
    <xf numFmtId="1" fontId="0" fillId="11" borderId="0" xfId="0" applyNumberFormat="1" applyFill="1" applyBorder="1" applyAlignment="1">
      <alignment horizontal="right"/>
    </xf>
    <xf numFmtId="0" fontId="0" fillId="11" borderId="0" xfId="0" applyFill="1" applyBorder="1" applyAlignment="1">
      <alignment horizontal="right"/>
    </xf>
    <xf numFmtId="166" fontId="0" fillId="11" borderId="0" xfId="0" applyNumberFormat="1" applyFill="1" applyBorder="1" applyAlignment="1">
      <alignment horizontal="right"/>
    </xf>
    <xf numFmtId="168" fontId="0" fillId="11" borderId="0" xfId="0" applyNumberFormat="1" applyFill="1" applyBorder="1" applyAlignment="1">
      <alignment horizontal="right"/>
    </xf>
    <xf numFmtId="0" fontId="0" fillId="11" borderId="3" xfId="0" applyFill="1" applyBorder="1" applyAlignment="1">
      <alignment horizontal="center"/>
    </xf>
    <xf numFmtId="166" fontId="0" fillId="11" borderId="0" xfId="0" applyNumberFormat="1" applyFill="1" applyBorder="1" applyAlignment="1">
      <alignment horizontal="center"/>
    </xf>
    <xf numFmtId="166" fontId="0" fillId="11" borderId="0" xfId="0" applyNumberFormat="1" applyFill="1" applyBorder="1"/>
    <xf numFmtId="166" fontId="0" fillId="11" borderId="4" xfId="0" applyNumberFormat="1" applyFill="1" applyBorder="1"/>
    <xf numFmtId="2" fontId="0" fillId="11" borderId="0" xfId="0" applyNumberFormat="1" applyFill="1" applyBorder="1" applyAlignment="1">
      <alignment horizontal="center"/>
    </xf>
    <xf numFmtId="2" fontId="0" fillId="11" borderId="0" xfId="0" applyNumberFormat="1" applyFill="1" applyBorder="1"/>
    <xf numFmtId="2" fontId="0" fillId="11" borderId="4" xfId="0" applyNumberFormat="1" applyFill="1" applyBorder="1"/>
    <xf numFmtId="0" fontId="0" fillId="11" borderId="0" xfId="0" applyFill="1" applyBorder="1" applyAlignment="1">
      <alignment horizontal="center"/>
    </xf>
    <xf numFmtId="0" fontId="0" fillId="11" borderId="0" xfId="0" applyFill="1" applyBorder="1"/>
    <xf numFmtId="0" fontId="0" fillId="11" borderId="4" xfId="0" applyFill="1" applyBorder="1"/>
    <xf numFmtId="0" fontId="0" fillId="11" borderId="5" xfId="0" applyFill="1" applyBorder="1" applyAlignment="1">
      <alignment horizontal="center"/>
    </xf>
    <xf numFmtId="2" fontId="0" fillId="11" borderId="8" xfId="0" applyNumberFormat="1" applyFill="1" applyBorder="1" applyAlignment="1">
      <alignment horizontal="center"/>
    </xf>
    <xf numFmtId="2" fontId="0" fillId="11" borderId="8" xfId="0" applyNumberFormat="1" applyFill="1" applyBorder="1"/>
    <xf numFmtId="2" fontId="0" fillId="11" borderId="6" xfId="0" applyNumberFormat="1" applyFill="1" applyBorder="1"/>
    <xf numFmtId="0" fontId="0" fillId="11" borderId="0" xfId="0" applyFill="1" applyAlignment="1">
      <alignment horizontal="center"/>
    </xf>
    <xf numFmtId="0" fontId="0" fillId="11" borderId="0" xfId="0" applyFill="1" applyAlignment="1">
      <alignment horizontal="left"/>
    </xf>
    <xf numFmtId="1" fontId="0" fillId="11" borderId="0" xfId="0" applyNumberFormat="1" applyFill="1" applyBorder="1" applyAlignment="1">
      <alignment horizontal="center"/>
    </xf>
    <xf numFmtId="166" fontId="0" fillId="0" borderId="0" xfId="0" applyNumberFormat="1" applyFill="1" applyBorder="1"/>
    <xf numFmtId="165" fontId="0" fillId="5" borderId="0" xfId="0" applyNumberFormat="1" applyFill="1" applyBorder="1" applyAlignment="1">
      <alignment horizontal="right"/>
    </xf>
    <xf numFmtId="0" fontId="0" fillId="3" borderId="7" xfId="0" applyFill="1" applyBorder="1" applyAlignment="1">
      <alignment wrapText="1"/>
    </xf>
    <xf numFmtId="166" fontId="0" fillId="12" borderId="0" xfId="0" applyNumberFormat="1" applyFill="1" applyBorder="1" applyAlignment="1">
      <alignment horizontal="right"/>
    </xf>
    <xf numFmtId="2" fontId="0" fillId="12" borderId="0" xfId="0" applyNumberFormat="1" applyFill="1" applyBorder="1" applyAlignment="1">
      <alignment horizontal="right"/>
    </xf>
    <xf numFmtId="0" fontId="0" fillId="12" borderId="8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theme" Target="theme/theme1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Throttle Measurements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'Gain Approx'!$AF$1</c:f>
              <c:strCache>
                <c:ptCount val="1"/>
                <c:pt idx="0">
                  <c:v>NG_ALL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0.34790026246719158"/>
                  <c:y val="-9.7539005540974041E-2"/>
                </c:manualLayout>
              </c:layout>
              <c:numFmt formatCode="General" sourceLinked="0"/>
            </c:trendlineLbl>
          </c:trendline>
          <c:xVal>
            <c:numRef>
              <c:f>'Gain Approx'!$AE$2:$AE$85</c:f>
              <c:numCache>
                <c:formatCode>General</c:formatCode>
                <c:ptCount val="84"/>
                <c:pt idx="0">
                  <c:v>10.076726574109877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35</c:v>
                </c:pt>
                <c:pt idx="5">
                  <c:v>54</c:v>
                </c:pt>
                <c:pt idx="6">
                  <c:v>64</c:v>
                </c:pt>
                <c:pt idx="7">
                  <c:v>89</c:v>
                </c:pt>
                <c:pt idx="8">
                  <c:v>101</c:v>
                </c:pt>
                <c:pt idx="9">
                  <c:v>114</c:v>
                </c:pt>
                <c:pt idx="10">
                  <c:v>125</c:v>
                </c:pt>
                <c:pt idx="11">
                  <c:v>130</c:v>
                </c:pt>
                <c:pt idx="12">
                  <c:v>140</c:v>
                </c:pt>
                <c:pt idx="13">
                  <c:v>145</c:v>
                </c:pt>
                <c:pt idx="14">
                  <c:v>155</c:v>
                </c:pt>
                <c:pt idx="15">
                  <c:v>166</c:v>
                </c:pt>
                <c:pt idx="16">
                  <c:v>180</c:v>
                </c:pt>
                <c:pt idx="17" formatCode="0.00">
                  <c:v>6.0661220353948684</c:v>
                </c:pt>
                <c:pt idx="18" formatCode="0.00">
                  <c:v>9</c:v>
                </c:pt>
                <c:pt idx="19" formatCode="0.00">
                  <c:v>20</c:v>
                </c:pt>
                <c:pt idx="20" formatCode="0.00">
                  <c:v>25</c:v>
                </c:pt>
                <c:pt idx="21" formatCode="0.00">
                  <c:v>35</c:v>
                </c:pt>
                <c:pt idx="22" formatCode="0.00">
                  <c:v>54</c:v>
                </c:pt>
                <c:pt idx="23" formatCode="0.00">
                  <c:v>64</c:v>
                </c:pt>
                <c:pt idx="24" formatCode="0.00">
                  <c:v>90</c:v>
                </c:pt>
                <c:pt idx="25" formatCode="0.00">
                  <c:v>125</c:v>
                </c:pt>
                <c:pt idx="26" formatCode="0.00">
                  <c:v>155</c:v>
                </c:pt>
                <c:pt idx="27" formatCode="0.00">
                  <c:v>180</c:v>
                </c:pt>
                <c:pt idx="28" formatCode="0.00">
                  <c:v>5.3803300418278059</c:v>
                </c:pt>
                <c:pt idx="29" formatCode="0.00">
                  <c:v>8</c:v>
                </c:pt>
                <c:pt idx="30" formatCode="0.00">
                  <c:v>12</c:v>
                </c:pt>
                <c:pt idx="31" formatCode="0.00">
                  <c:v>17</c:v>
                </c:pt>
                <c:pt idx="32" formatCode="0.00">
                  <c:v>21</c:v>
                </c:pt>
                <c:pt idx="33" formatCode="0.00">
                  <c:v>27</c:v>
                </c:pt>
                <c:pt idx="34" formatCode="0.00">
                  <c:v>42</c:v>
                </c:pt>
                <c:pt idx="35" formatCode="0.00">
                  <c:v>67</c:v>
                </c:pt>
                <c:pt idx="36" formatCode="0.00">
                  <c:v>79</c:v>
                </c:pt>
                <c:pt idx="37" formatCode="0.00">
                  <c:v>84</c:v>
                </c:pt>
                <c:pt idx="38" formatCode="0.00">
                  <c:v>121</c:v>
                </c:pt>
                <c:pt idx="39" formatCode="0.00">
                  <c:v>175</c:v>
                </c:pt>
                <c:pt idx="40" formatCode="0.00">
                  <c:v>0</c:v>
                </c:pt>
                <c:pt idx="41" formatCode="0.00">
                  <c:v>5.7969930558608072</c:v>
                </c:pt>
                <c:pt idx="42" formatCode="0.00">
                  <c:v>9</c:v>
                </c:pt>
                <c:pt idx="43" formatCode="0.00">
                  <c:v>12</c:v>
                </c:pt>
                <c:pt idx="44" formatCode="0.00">
                  <c:v>24</c:v>
                </c:pt>
                <c:pt idx="45" formatCode="0.00">
                  <c:v>28</c:v>
                </c:pt>
                <c:pt idx="46" formatCode="0.00">
                  <c:v>32</c:v>
                </c:pt>
                <c:pt idx="47" formatCode="0.00">
                  <c:v>50</c:v>
                </c:pt>
                <c:pt idx="48" formatCode="0.00">
                  <c:v>78</c:v>
                </c:pt>
                <c:pt idx="49" formatCode="0.00">
                  <c:v>115</c:v>
                </c:pt>
                <c:pt idx="50" formatCode="0.00">
                  <c:v>140</c:v>
                </c:pt>
                <c:pt idx="51" formatCode="0.00">
                  <c:v>155</c:v>
                </c:pt>
                <c:pt idx="52" formatCode="0.00">
                  <c:v>180</c:v>
                </c:pt>
                <c:pt idx="53" formatCode="0.00">
                  <c:v>6.6811957375597357</c:v>
                </c:pt>
                <c:pt idx="54" formatCode="0.00">
                  <c:v>9</c:v>
                </c:pt>
                <c:pt idx="55" formatCode="0.00">
                  <c:v>13</c:v>
                </c:pt>
                <c:pt idx="56" formatCode="0.00">
                  <c:v>24</c:v>
                </c:pt>
                <c:pt idx="57" formatCode="0.00">
                  <c:v>28</c:v>
                </c:pt>
                <c:pt idx="58" formatCode="0.00">
                  <c:v>36</c:v>
                </c:pt>
                <c:pt idx="59" formatCode="0.00">
                  <c:v>52</c:v>
                </c:pt>
                <c:pt idx="60" formatCode="0.00">
                  <c:v>73</c:v>
                </c:pt>
                <c:pt idx="61" formatCode="0.00">
                  <c:v>94</c:v>
                </c:pt>
                <c:pt idx="62" formatCode="0.00">
                  <c:v>99</c:v>
                </c:pt>
                <c:pt idx="63" formatCode="0.00">
                  <c:v>110</c:v>
                </c:pt>
                <c:pt idx="64" formatCode="0.00">
                  <c:v>132</c:v>
                </c:pt>
                <c:pt idx="65" formatCode="0.00">
                  <c:v>180</c:v>
                </c:pt>
                <c:pt idx="66" formatCode="0.00">
                  <c:v>6.7090339239286205</c:v>
                </c:pt>
                <c:pt idx="67" formatCode="0.00">
                  <c:v>10</c:v>
                </c:pt>
                <c:pt idx="68" formatCode="0.00">
                  <c:v>14</c:v>
                </c:pt>
                <c:pt idx="69" formatCode="0.00">
                  <c:v>26</c:v>
                </c:pt>
                <c:pt idx="70" formatCode="0.00">
                  <c:v>34</c:v>
                </c:pt>
                <c:pt idx="71" formatCode="0.00">
                  <c:v>51</c:v>
                </c:pt>
                <c:pt idx="72" formatCode="0.00">
                  <c:v>76</c:v>
                </c:pt>
                <c:pt idx="73" formatCode="0.00">
                  <c:v>91</c:v>
                </c:pt>
                <c:pt idx="74" formatCode="0.00">
                  <c:v>106</c:v>
                </c:pt>
                <c:pt idx="75" formatCode="0.00">
                  <c:v>132</c:v>
                </c:pt>
                <c:pt idx="76" formatCode="0.00">
                  <c:v>180</c:v>
                </c:pt>
                <c:pt idx="77" formatCode="0.00">
                  <c:v>0</c:v>
                </c:pt>
                <c:pt idx="78" formatCode="0.00">
                  <c:v>0</c:v>
                </c:pt>
              </c:numCache>
            </c:numRef>
          </c:xVal>
          <c:yVal>
            <c:numRef>
              <c:f>'Gain Approx'!$AF$2:$AF$85</c:f>
              <c:numCache>
                <c:formatCode>0</c:formatCode>
                <c:ptCount val="84"/>
                <c:pt idx="0">
                  <c:v>5.9999999999999995E-25</c:v>
                </c:pt>
                <c:pt idx="1">
                  <c:v>8287.2928176795576</c:v>
                </c:pt>
                <c:pt idx="2">
                  <c:v>9375</c:v>
                </c:pt>
                <c:pt idx="3">
                  <c:v>11811.023622047245</c:v>
                </c:pt>
                <c:pt idx="4">
                  <c:v>19354.83870967742</c:v>
                </c:pt>
                <c:pt idx="5">
                  <c:v>24793.388429752067</c:v>
                </c:pt>
                <c:pt idx="6">
                  <c:v>28037.383177570096</c:v>
                </c:pt>
                <c:pt idx="7">
                  <c:v>32085.561497326202</c:v>
                </c:pt>
                <c:pt idx="8">
                  <c:v>34090.909090909088</c:v>
                </c:pt>
                <c:pt idx="9">
                  <c:v>36809.815950920245</c:v>
                </c:pt>
                <c:pt idx="10">
                  <c:v>37500</c:v>
                </c:pt>
                <c:pt idx="11">
                  <c:v>38961.038961038961</c:v>
                </c:pt>
                <c:pt idx="12">
                  <c:v>41095.890410958906</c:v>
                </c:pt>
                <c:pt idx="13">
                  <c:v>42553.191489361707</c:v>
                </c:pt>
                <c:pt idx="14">
                  <c:v>44444.444444444445</c:v>
                </c:pt>
                <c:pt idx="15">
                  <c:v>45454.545454545456</c:v>
                </c:pt>
                <c:pt idx="16">
                  <c:v>46875.000000000007</c:v>
                </c:pt>
                <c:pt idx="17">
                  <c:v>5.9999999999999995E-25</c:v>
                </c:pt>
                <c:pt idx="18">
                  <c:v>8474.5762711864409</c:v>
                </c:pt>
                <c:pt idx="19">
                  <c:v>14851.485148514852</c:v>
                </c:pt>
                <c:pt idx="20">
                  <c:v>16304.347826086958</c:v>
                </c:pt>
                <c:pt idx="21">
                  <c:v>20134.228187919463</c:v>
                </c:pt>
                <c:pt idx="22">
                  <c:v>25104.602510460249</c:v>
                </c:pt>
                <c:pt idx="23">
                  <c:v>27649.76958525346</c:v>
                </c:pt>
                <c:pt idx="24">
                  <c:v>32258.06451612903</c:v>
                </c:pt>
                <c:pt idx="25">
                  <c:v>37037.037037037036</c:v>
                </c:pt>
                <c:pt idx="26">
                  <c:v>41958.041958041955</c:v>
                </c:pt>
                <c:pt idx="27">
                  <c:v>43859.649122807015</c:v>
                </c:pt>
                <c:pt idx="28">
                  <c:v>5.9999999999999995E-25</c:v>
                </c:pt>
                <c:pt idx="29">
                  <c:v>7500.0000000000009</c:v>
                </c:pt>
                <c:pt idx="30">
                  <c:v>10830.324909747293</c:v>
                </c:pt>
                <c:pt idx="31">
                  <c:v>12244.897959183674</c:v>
                </c:pt>
                <c:pt idx="32">
                  <c:v>14354.066985645934</c:v>
                </c:pt>
                <c:pt idx="33">
                  <c:v>16949.152542372882</c:v>
                </c:pt>
                <c:pt idx="34">
                  <c:v>21660.649819494585</c:v>
                </c:pt>
                <c:pt idx="35">
                  <c:v>27649.76958525346</c:v>
                </c:pt>
                <c:pt idx="36">
                  <c:v>29702.970297029704</c:v>
                </c:pt>
                <c:pt idx="37">
                  <c:v>30456.852791878177</c:v>
                </c:pt>
                <c:pt idx="38">
                  <c:v>36363.636363636368</c:v>
                </c:pt>
                <c:pt idx="39">
                  <c:v>44117.647058823532</c:v>
                </c:pt>
                <c:pt idx="40">
                  <c:v>0</c:v>
                </c:pt>
                <c:pt idx="41">
                  <c:v>5.9999999999999995E-25</c:v>
                </c:pt>
                <c:pt idx="42">
                  <c:v>8571.4285714285725</c:v>
                </c:pt>
                <c:pt idx="43">
                  <c:v>9933.7748344370866</c:v>
                </c:pt>
                <c:pt idx="44">
                  <c:v>16129.032258064515</c:v>
                </c:pt>
                <c:pt idx="45">
                  <c:v>17341.040462427747</c:v>
                </c:pt>
                <c:pt idx="46">
                  <c:v>18867.92452830189</c:v>
                </c:pt>
                <c:pt idx="47">
                  <c:v>24193.548387096776</c:v>
                </c:pt>
                <c:pt idx="48">
                  <c:v>30150.753768844224</c:v>
                </c:pt>
                <c:pt idx="49">
                  <c:v>35294.117647058825</c:v>
                </c:pt>
                <c:pt idx="50">
                  <c:v>38709.677419354841</c:v>
                </c:pt>
                <c:pt idx="51">
                  <c:v>41958.041958041955</c:v>
                </c:pt>
                <c:pt idx="52">
                  <c:v>44444.444444444445</c:v>
                </c:pt>
                <c:pt idx="53">
                  <c:v>5.9999999999999995E-25</c:v>
                </c:pt>
                <c:pt idx="54">
                  <c:v>8174.3869209809272</c:v>
                </c:pt>
                <c:pt idx="55">
                  <c:v>10309.278350515466</c:v>
                </c:pt>
                <c:pt idx="56">
                  <c:v>16042.780748663101</c:v>
                </c:pt>
                <c:pt idx="57">
                  <c:v>17341.040462427747</c:v>
                </c:pt>
                <c:pt idx="58">
                  <c:v>20134.228187919463</c:v>
                </c:pt>
                <c:pt idx="59">
                  <c:v>24691.358024691359</c:v>
                </c:pt>
                <c:pt idx="60">
                  <c:v>29411.764705882353</c:v>
                </c:pt>
                <c:pt idx="61">
                  <c:v>32432.43243243243</c:v>
                </c:pt>
                <c:pt idx="62">
                  <c:v>32967.032967032967</c:v>
                </c:pt>
                <c:pt idx="63">
                  <c:v>35087.719298245618</c:v>
                </c:pt>
                <c:pt idx="64">
                  <c:v>37267.080745341613</c:v>
                </c:pt>
                <c:pt idx="65">
                  <c:v>43795.620437956204</c:v>
                </c:pt>
                <c:pt idx="66">
                  <c:v>5.9999999999999995E-25</c:v>
                </c:pt>
                <c:pt idx="67">
                  <c:v>8152.1739130434789</c:v>
                </c:pt>
                <c:pt idx="68">
                  <c:v>11029.411764705883</c:v>
                </c:pt>
                <c:pt idx="69">
                  <c:v>16620.498614958451</c:v>
                </c:pt>
                <c:pt idx="70">
                  <c:v>19480.519480519481</c:v>
                </c:pt>
                <c:pt idx="71">
                  <c:v>24096.385542168679</c:v>
                </c:pt>
                <c:pt idx="72">
                  <c:v>28985.507246376812</c:v>
                </c:pt>
                <c:pt idx="73">
                  <c:v>31746.031746031746</c:v>
                </c:pt>
                <c:pt idx="74">
                  <c:v>33333.333333333336</c:v>
                </c:pt>
                <c:pt idx="75">
                  <c:v>36809.815950920245</c:v>
                </c:pt>
                <c:pt idx="76">
                  <c:v>43795.620437956204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B62-431E-BDC4-F4B94970D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74064"/>
        <c:axId val="177564560"/>
      </c:scatterChart>
      <c:valAx>
        <c:axId val="177974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564560"/>
        <c:crosses val="autoZero"/>
        <c:crossBetween val="midCat"/>
      </c:valAx>
      <c:valAx>
        <c:axId val="177564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7974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Ard0_Turn0_ESC0_G0b_T0a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Ard0_Turn0_ESC0_G0b_T0a!$K$38</c:f>
              <c:strCache>
                <c:ptCount val="1"/>
                <c:pt idx="0">
                  <c:v>Meas TauT0,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Ard0_Turn0_ESC0_G0b_T0a!$I$40:$I$43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Ard0_Turn0_ESC0_G0b_T0a!$K$40:$K$43</c:f>
              <c:numCache>
                <c:formatCode>0.000</c:formatCode>
                <c:ptCount val="4"/>
                <c:pt idx="0">
                  <c:v>0.05</c:v>
                </c:pt>
                <c:pt idx="1">
                  <c:v>8.2000000000000003E-2</c:v>
                </c:pt>
                <c:pt idx="2">
                  <c:v>0.19600000000000001</c:v>
                </c:pt>
                <c:pt idx="3">
                  <c:v>0.249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20-4B1C-8A9F-4902BA07A6FA}"/>
            </c:ext>
          </c:extLst>
        </c:ser>
        <c:ser>
          <c:idx val="1"/>
          <c:order val="1"/>
          <c:tx>
            <c:strRef>
              <c:f>Ard0_Turn0_ESC0_G0b_T0a!$AU$1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Ard0_Turn0_ESC0_G0b_T0a!$AN$6:$AN$13</c:f>
              <c:numCache>
                <c:formatCode>0.0</c:formatCode>
                <c:ptCount val="8"/>
                <c:pt idx="0">
                  <c:v>27.448798915631624</c:v>
                </c:pt>
                <c:pt idx="1">
                  <c:v>38.563955282652181</c:v>
                </c:pt>
                <c:pt idx="2">
                  <c:v>42.918885282894202</c:v>
                </c:pt>
                <c:pt idx="3">
                  <c:v>51.657671855688875</c:v>
                </c:pt>
                <c:pt idx="4">
                  <c:v>60.078038700857462</c:v>
                </c:pt>
                <c:pt idx="5">
                  <c:v>65.591872199604325</c:v>
                </c:pt>
                <c:pt idx="6">
                  <c:v>67.194422651798703</c:v>
                </c:pt>
                <c:pt idx="7">
                  <c:v>69.424738156593676</c:v>
                </c:pt>
              </c:numCache>
            </c:numRef>
          </c:xVal>
          <c:yVal>
            <c:numRef>
              <c:f>Ard0_Turn0_ESC0_G0b_T0a!$AU$6:$AU$13</c:f>
              <c:numCache>
                <c:formatCode>0.000</c:formatCode>
                <c:ptCount val="8"/>
                <c:pt idx="0">
                  <c:v>0.24668014344673286</c:v>
                </c:pt>
                <c:pt idx="1">
                  <c:v>0.17717671596153275</c:v>
                </c:pt>
                <c:pt idx="2">
                  <c:v>0.1532849077918651</c:v>
                </c:pt>
                <c:pt idx="3">
                  <c:v>0.12164078453613508</c:v>
                </c:pt>
                <c:pt idx="4">
                  <c:v>9.8874048692126973E-2</c:v>
                </c:pt>
                <c:pt idx="5">
                  <c:v>8.2000000000000017E-2</c:v>
                </c:pt>
                <c:pt idx="6">
                  <c:v>7.7737116224917441E-2</c:v>
                </c:pt>
                <c:pt idx="7">
                  <c:v>7.1247227036698585E-2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20-4B1C-8A9F-4902BA07A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79024"/>
        <c:axId val="178483728"/>
      </c:scatterChart>
      <c:valAx>
        <c:axId val="17847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483728"/>
        <c:crosses val="autoZero"/>
        <c:crossBetween val="midCat"/>
      </c:valAx>
      <c:valAx>
        <c:axId val="178483728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7847902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Ard0_Turn0_ESC0_G0b_T0a!$K$38</c:f>
              <c:strCache>
                <c:ptCount val="1"/>
                <c:pt idx="0">
                  <c:v>Meas TauT0,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Ard0_Turn0_ESC0_G0b_T0a!$I$40:$I$43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Ard0_Turn0_ESC0_G0b_T0a!$K$40:$K$43</c:f>
              <c:numCache>
                <c:formatCode>0.000</c:formatCode>
                <c:ptCount val="4"/>
                <c:pt idx="0">
                  <c:v>0.05</c:v>
                </c:pt>
                <c:pt idx="1">
                  <c:v>8.2000000000000003E-2</c:v>
                </c:pt>
                <c:pt idx="2">
                  <c:v>0.19600000000000001</c:v>
                </c:pt>
                <c:pt idx="3">
                  <c:v>0.249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07-40A5-B1F0-2EF41DA3BA70}"/>
            </c:ext>
          </c:extLst>
        </c:ser>
        <c:ser>
          <c:idx val="1"/>
          <c:order val="1"/>
          <c:tx>
            <c:strRef>
              <c:f>Ard0_Turn0_ESC0_G0b_T0a!$AU$1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Ard0_Turn0_ESC0_G0b_T0a!$AN$6:$AN$13</c:f>
              <c:numCache>
                <c:formatCode>0.0</c:formatCode>
                <c:ptCount val="8"/>
                <c:pt idx="0">
                  <c:v>27.448798915631624</c:v>
                </c:pt>
                <c:pt idx="1">
                  <c:v>38.563955282652181</c:v>
                </c:pt>
                <c:pt idx="2">
                  <c:v>42.918885282894202</c:v>
                </c:pt>
                <c:pt idx="3">
                  <c:v>51.657671855688875</c:v>
                </c:pt>
                <c:pt idx="4">
                  <c:v>60.078038700857462</c:v>
                </c:pt>
                <c:pt idx="5">
                  <c:v>65.591872199604325</c:v>
                </c:pt>
                <c:pt idx="6">
                  <c:v>67.194422651798703</c:v>
                </c:pt>
                <c:pt idx="7">
                  <c:v>69.424738156593676</c:v>
                </c:pt>
              </c:numCache>
            </c:numRef>
          </c:xVal>
          <c:yVal>
            <c:numRef>
              <c:f>Ard0_Turn0_ESC0_G0b_T0a!$AU$6:$AU$13</c:f>
              <c:numCache>
                <c:formatCode>0.000</c:formatCode>
                <c:ptCount val="8"/>
                <c:pt idx="0">
                  <c:v>0.24668014344673286</c:v>
                </c:pt>
                <c:pt idx="1">
                  <c:v>0.17717671596153275</c:v>
                </c:pt>
                <c:pt idx="2">
                  <c:v>0.1532849077918651</c:v>
                </c:pt>
                <c:pt idx="3">
                  <c:v>0.12164078453613508</c:v>
                </c:pt>
                <c:pt idx="4">
                  <c:v>9.8874048692126973E-2</c:v>
                </c:pt>
                <c:pt idx="5">
                  <c:v>8.2000000000000017E-2</c:v>
                </c:pt>
                <c:pt idx="6">
                  <c:v>7.7737116224917441E-2</c:v>
                </c:pt>
                <c:pt idx="7">
                  <c:v>7.1247227036698585E-2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07-40A5-B1F0-2EF41DA3BA70}"/>
            </c:ext>
          </c:extLst>
        </c:ser>
        <c:ser>
          <c:idx val="2"/>
          <c:order val="2"/>
          <c:tx>
            <c:strRef>
              <c:f>Ard0_Turn0_ESC0_G0b_T0a!$AS$1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Ard0_Turn0_ESC0_G0b_T0a!$AN$4:$AN$13</c:f>
              <c:numCache>
                <c:formatCode>0.0</c:formatCode>
                <c:ptCount val="10"/>
                <c:pt idx="0">
                  <c:v>13.10447048707233</c:v>
                </c:pt>
                <c:pt idx="1">
                  <c:v>18.824188293060072</c:v>
                </c:pt>
                <c:pt idx="2">
                  <c:v>27.448798915631624</c:v>
                </c:pt>
                <c:pt idx="3">
                  <c:v>38.563955282652181</c:v>
                </c:pt>
                <c:pt idx="4">
                  <c:v>42.918885282894202</c:v>
                </c:pt>
                <c:pt idx="5">
                  <c:v>51.657671855688875</c:v>
                </c:pt>
                <c:pt idx="6">
                  <c:v>60.078038700857462</c:v>
                </c:pt>
                <c:pt idx="7">
                  <c:v>65.591872199604325</c:v>
                </c:pt>
                <c:pt idx="8">
                  <c:v>67.194422651798703</c:v>
                </c:pt>
                <c:pt idx="9">
                  <c:v>69.424738156593676</c:v>
                </c:pt>
              </c:numCache>
            </c:numRef>
          </c:xVal>
          <c:yVal>
            <c:numRef>
              <c:f>Ard0_Turn0_ESC0_G0b_T0a!$AS$4:$AS$13</c:f>
              <c:numCache>
                <c:formatCode>0.000</c:formatCode>
                <c:ptCount val="10"/>
                <c:pt idx="0">
                  <c:v>0.10035810602202501</c:v>
                </c:pt>
                <c:pt idx="1">
                  <c:v>8.3869318096810225E-2</c:v>
                </c:pt>
                <c:pt idx="2">
                  <c:v>6.7216827998183737E-2</c:v>
                </c:pt>
                <c:pt idx="3">
                  <c:v>5.3521299362907268E-2</c:v>
                </c:pt>
                <c:pt idx="4">
                  <c:v>4.9564558312960312E-2</c:v>
                </c:pt>
                <c:pt idx="5">
                  <c:v>4.3161628302909295E-2</c:v>
                </c:pt>
                <c:pt idx="6">
                  <c:v>3.8383752813624543E-2</c:v>
                </c:pt>
                <c:pt idx="7">
                  <c:v>3.578948341766993E-2</c:v>
                </c:pt>
                <c:pt idx="8">
                  <c:v>3.50999859979544E-2</c:v>
                </c:pt>
                <c:pt idx="9">
                  <c:v>3.4183453754851705E-2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07-40A5-B1F0-2EF41DA3B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77064"/>
        <c:axId val="178477456"/>
      </c:scatterChart>
      <c:valAx>
        <c:axId val="178477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477456"/>
        <c:crosses val="autoZero"/>
        <c:crossBetween val="midCat"/>
      </c:valAx>
      <c:valAx>
        <c:axId val="178477456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7847706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Ard0_Turn0_ESC0_G0b_T0a!$AV$1</c:f>
              <c:strCache>
                <c:ptCount val="1"/>
                <c:pt idx="0">
                  <c:v>v4, vdc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Ard0_Turn0_ESC0_G0b_T0a!$Q$2:$Q$13</c:f>
              <c:numCache>
                <c:formatCode>0</c:formatCode>
                <c:ptCount val="12"/>
                <c:pt idx="0" formatCode="General">
                  <c:v>0</c:v>
                </c:pt>
                <c:pt idx="1">
                  <c:v>5.9999999999999995E-25</c:v>
                </c:pt>
                <c:pt idx="2">
                  <c:v>882.35294117647061</c:v>
                </c:pt>
                <c:pt idx="3">
                  <c:v>7058.8235294117649</c:v>
                </c:pt>
                <c:pt idx="4">
                  <c:v>11070.110701107011</c:v>
                </c:pt>
                <c:pt idx="5">
                  <c:v>16042.780748663101</c:v>
                </c:pt>
                <c:pt idx="6">
                  <c:v>18404.907975460123</c:v>
                </c:pt>
                <c:pt idx="7">
                  <c:v>22304.832713754648</c:v>
                </c:pt>
                <c:pt idx="8">
                  <c:v>27149.321266968327</c:v>
                </c:pt>
                <c:pt idx="9">
                  <c:v>31578.947368421057</c:v>
                </c:pt>
                <c:pt idx="10">
                  <c:v>33057.85123966942</c:v>
                </c:pt>
                <c:pt idx="11">
                  <c:v>33519.553072625698</c:v>
                </c:pt>
              </c:numCache>
            </c:numRef>
          </c:xVal>
          <c:yVal>
            <c:numRef>
              <c:f>Ard0_Turn0_ESC0_G0b_T0a!$AV$2:$AV$13</c:f>
              <c:numCache>
                <c:formatCode>General</c:formatCode>
                <c:ptCount val="12"/>
                <c:pt idx="0">
                  <c:v>3.2000000000000002E-3</c:v>
                </c:pt>
                <c:pt idx="1">
                  <c:v>2.3999999999999998E-3</c:v>
                </c:pt>
                <c:pt idx="2">
                  <c:v>6.9000000000000006E-2</c:v>
                </c:pt>
                <c:pt idx="3">
                  <c:v>0.51</c:v>
                </c:pt>
                <c:pt idx="4">
                  <c:v>0.80100000000000005</c:v>
                </c:pt>
                <c:pt idx="5">
                  <c:v>1.167</c:v>
                </c:pt>
                <c:pt idx="6">
                  <c:v>1.2749999999999999</c:v>
                </c:pt>
                <c:pt idx="7">
                  <c:v>1.597</c:v>
                </c:pt>
                <c:pt idx="8">
                  <c:v>1.95</c:v>
                </c:pt>
                <c:pt idx="9">
                  <c:v>2.2599999999999998</c:v>
                </c:pt>
                <c:pt idx="10">
                  <c:v>2.34</c:v>
                </c:pt>
                <c:pt idx="11">
                  <c:v>2.4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0DE-403F-A12F-8C2A3E290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78240"/>
        <c:axId val="180146968"/>
      </c:scatterChart>
      <c:valAx>
        <c:axId val="17847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46968"/>
        <c:crosses val="autoZero"/>
        <c:crossBetween val="midCat"/>
      </c:valAx>
      <c:valAx>
        <c:axId val="18014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7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Ard0_Turn0_ESC0_G0b_T0a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Ard0_Turn0_ESC0_G0b_T0a!$K$38</c:f>
              <c:strCache>
                <c:ptCount val="1"/>
                <c:pt idx="0">
                  <c:v>Meas TauT0,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Ard0_Turn0_ESC0_G0b_T0a!$J$40:$J$43</c:f>
              <c:numCache>
                <c:formatCode>0.0</c:formatCode>
                <c:ptCount val="4"/>
                <c:pt idx="0">
                  <c:v>83.87668416619394</c:v>
                </c:pt>
                <c:pt idx="1">
                  <c:v>69.107064868117362</c:v>
                </c:pt>
                <c:pt idx="2">
                  <c:v>44.842690306991543</c:v>
                </c:pt>
                <c:pt idx="3">
                  <c:v>35.347935043942314</c:v>
                </c:pt>
              </c:numCache>
            </c:numRef>
          </c:xVal>
          <c:yVal>
            <c:numRef>
              <c:f>Ard0_Turn0_ESC0_G0b_T0a!$K$40:$K$43</c:f>
              <c:numCache>
                <c:formatCode>0.000</c:formatCode>
                <c:ptCount val="4"/>
                <c:pt idx="0">
                  <c:v>0.05</c:v>
                </c:pt>
                <c:pt idx="1">
                  <c:v>8.2000000000000003E-2</c:v>
                </c:pt>
                <c:pt idx="2">
                  <c:v>0.19600000000000001</c:v>
                </c:pt>
                <c:pt idx="3">
                  <c:v>0.249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C6-44AD-875B-27D97B41C35F}"/>
            </c:ext>
          </c:extLst>
        </c:ser>
        <c:ser>
          <c:idx val="1"/>
          <c:order val="1"/>
          <c:tx>
            <c:strRef>
              <c:f>Ard0_Turn0_ESC0_G0b_T0a!$AU$1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Ard0_Turn0_ESC0_G0b_T0a!$AK$6:$AK$13</c:f>
              <c:numCache>
                <c:formatCode>0.00</c:formatCode>
                <c:ptCount val="8"/>
                <c:pt idx="0">
                  <c:v>47.415870758757066</c:v>
                </c:pt>
                <c:pt idx="1">
                  <c:v>59.147522629092926</c:v>
                </c:pt>
                <c:pt idx="2">
                  <c:v>63.74399621844433</c:v>
                </c:pt>
                <c:pt idx="3">
                  <c:v>72.967474364498813</c:v>
                </c:pt>
                <c:pt idx="4">
                  <c:v>81.854871823084068</c:v>
                </c:pt>
                <c:pt idx="5">
                  <c:v>87.674526800698516</c:v>
                </c:pt>
                <c:pt idx="6">
                  <c:v>89.365961755727696</c:v>
                </c:pt>
                <c:pt idx="7">
                  <c:v>91.71998037672536</c:v>
                </c:pt>
              </c:numCache>
            </c:numRef>
          </c:xVal>
          <c:yVal>
            <c:numRef>
              <c:f>Ard0_Turn0_ESC0_G0b_T0a!$AU$6:$AU$13</c:f>
              <c:numCache>
                <c:formatCode>0.000</c:formatCode>
                <c:ptCount val="8"/>
                <c:pt idx="0">
                  <c:v>0.24668014344673286</c:v>
                </c:pt>
                <c:pt idx="1">
                  <c:v>0.17717671596153275</c:v>
                </c:pt>
                <c:pt idx="2">
                  <c:v>0.1532849077918651</c:v>
                </c:pt>
                <c:pt idx="3">
                  <c:v>0.12164078453613508</c:v>
                </c:pt>
                <c:pt idx="4">
                  <c:v>9.8874048692126973E-2</c:v>
                </c:pt>
                <c:pt idx="5">
                  <c:v>8.2000000000000017E-2</c:v>
                </c:pt>
                <c:pt idx="6">
                  <c:v>7.7737116224917441E-2</c:v>
                </c:pt>
                <c:pt idx="7">
                  <c:v>7.1247227036698585E-2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C6-44AD-875B-27D97B41C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53632"/>
        <c:axId val="180149712"/>
      </c:scatterChart>
      <c:valAx>
        <c:axId val="18015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80149712"/>
        <c:crosses val="autoZero"/>
        <c:crossBetween val="midCat"/>
      </c:valAx>
      <c:valAx>
        <c:axId val="180149712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80153632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Ard1_Turn1x_ESC1_G1b_T1a!$Q$1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Ard1_Turn1x_ESC1_G1b_T1a!$P$4:$P$13</c:f>
              <c:numCache>
                <c:formatCode>0</c:formatCode>
                <c:ptCount val="10"/>
                <c:pt idx="0">
                  <c:v>10830.324909747293</c:v>
                </c:pt>
                <c:pt idx="1">
                  <c:v>12244.897959183674</c:v>
                </c:pt>
                <c:pt idx="2">
                  <c:v>14354.066985645934</c:v>
                </c:pt>
                <c:pt idx="3">
                  <c:v>16949.152542372882</c:v>
                </c:pt>
                <c:pt idx="4">
                  <c:v>21660.649819494585</c:v>
                </c:pt>
                <c:pt idx="5">
                  <c:v>27649.76958525346</c:v>
                </c:pt>
                <c:pt idx="6">
                  <c:v>29702.970297029704</c:v>
                </c:pt>
                <c:pt idx="7">
                  <c:v>30456.852791878177</c:v>
                </c:pt>
                <c:pt idx="8">
                  <c:v>36363.636363636368</c:v>
                </c:pt>
                <c:pt idx="9">
                  <c:v>44117.647058823532</c:v>
                </c:pt>
              </c:numCache>
            </c:numRef>
          </c:xVal>
          <c:yVal>
            <c:numRef>
              <c:f>Ard1_Turn1x_ESC1_G1b_T1a!$Q$4:$Q$13</c:f>
              <c:numCache>
                <c:formatCode>0</c:formatCode>
                <c:ptCount val="10"/>
                <c:pt idx="0">
                  <c:v>4545.454545454546</c:v>
                </c:pt>
                <c:pt idx="1">
                  <c:v>6000.0000000000009</c:v>
                </c:pt>
                <c:pt idx="2">
                  <c:v>8000.0000000000009</c:v>
                </c:pt>
                <c:pt idx="3">
                  <c:v>10752.688172043012</c:v>
                </c:pt>
                <c:pt idx="4">
                  <c:v>15957.44680851064</c:v>
                </c:pt>
                <c:pt idx="5">
                  <c:v>21352.313167259788</c:v>
                </c:pt>
                <c:pt idx="6">
                  <c:v>23437.500000000004</c:v>
                </c:pt>
                <c:pt idx="7">
                  <c:v>24193.548387096776</c:v>
                </c:pt>
                <c:pt idx="8">
                  <c:v>29411.764705882353</c:v>
                </c:pt>
                <c:pt idx="9">
                  <c:v>37037.037037037036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E9-4C6B-9E94-AA9853B1B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47360"/>
        <c:axId val="180147752"/>
      </c:scatterChart>
      <c:valAx>
        <c:axId val="18014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0147752"/>
        <c:crosses val="autoZero"/>
        <c:crossBetween val="midCat"/>
      </c:valAx>
      <c:valAx>
        <c:axId val="18014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014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Ard1_Turn1x_ESC1_G1b_T1a!$L$4:$L$13</c:f>
              <c:numCache>
                <c:formatCode>General</c:formatCode>
                <c:ptCount val="10"/>
                <c:pt idx="0">
                  <c:v>12</c:v>
                </c:pt>
                <c:pt idx="1">
                  <c:v>17</c:v>
                </c:pt>
                <c:pt idx="2">
                  <c:v>21</c:v>
                </c:pt>
                <c:pt idx="3">
                  <c:v>27</c:v>
                </c:pt>
                <c:pt idx="4">
                  <c:v>42</c:v>
                </c:pt>
                <c:pt idx="5">
                  <c:v>67</c:v>
                </c:pt>
                <c:pt idx="6">
                  <c:v>79</c:v>
                </c:pt>
                <c:pt idx="7">
                  <c:v>84</c:v>
                </c:pt>
                <c:pt idx="8">
                  <c:v>121</c:v>
                </c:pt>
                <c:pt idx="9">
                  <c:v>175</c:v>
                </c:pt>
              </c:numCache>
            </c:numRef>
          </c:xVal>
          <c:yVal>
            <c:numRef>
              <c:f>Ard1_Turn1x_ESC1_G1b_T1a!$R$4:$R$13</c:f>
              <c:numCache>
                <c:formatCode>0</c:formatCode>
                <c:ptCount val="10"/>
                <c:pt idx="0">
                  <c:v>23.503309265944644</c:v>
                </c:pt>
                <c:pt idx="1">
                  <c:v>26.573129251700681</c:v>
                </c:pt>
                <c:pt idx="2">
                  <c:v>31.150318979266348</c:v>
                </c:pt>
                <c:pt idx="3">
                  <c:v>36.78201506591337</c:v>
                </c:pt>
                <c:pt idx="4">
                  <c:v>47.006618531889288</c:v>
                </c:pt>
                <c:pt idx="5">
                  <c:v>60.003840245775734</c:v>
                </c:pt>
                <c:pt idx="6">
                  <c:v>64.459570957095707</c:v>
                </c:pt>
                <c:pt idx="7">
                  <c:v>66.095600676818961</c:v>
                </c:pt>
                <c:pt idx="8">
                  <c:v>78.914141414141426</c:v>
                </c:pt>
                <c:pt idx="9">
                  <c:v>95.741421568627459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467-4FE8-A79D-E7AA2DB34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48928"/>
        <c:axId val="180153240"/>
      </c:scatterChart>
      <c:scatterChart>
        <c:scatterStyle val="lineMarker"/>
        <c:varyColors val="0"/>
        <c:ser>
          <c:idx val="1"/>
          <c:order val="1"/>
          <c:tx>
            <c:strRef>
              <c:f>Ard1_Turn1x_ESC1_G1b_T1a!$U$1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Ard1_Turn1x_ESC1_G1b_T1a!$L$3:$L$13</c:f>
              <c:numCache>
                <c:formatCode>General</c:formatCode>
                <c:ptCount val="11"/>
                <c:pt idx="0">
                  <c:v>8</c:v>
                </c:pt>
                <c:pt idx="1">
                  <c:v>12</c:v>
                </c:pt>
                <c:pt idx="2">
                  <c:v>17</c:v>
                </c:pt>
                <c:pt idx="3">
                  <c:v>21</c:v>
                </c:pt>
                <c:pt idx="4">
                  <c:v>27</c:v>
                </c:pt>
                <c:pt idx="5">
                  <c:v>42</c:v>
                </c:pt>
                <c:pt idx="6">
                  <c:v>67</c:v>
                </c:pt>
                <c:pt idx="7">
                  <c:v>79</c:v>
                </c:pt>
                <c:pt idx="8">
                  <c:v>84</c:v>
                </c:pt>
                <c:pt idx="9">
                  <c:v>121</c:v>
                </c:pt>
                <c:pt idx="10">
                  <c:v>175</c:v>
                </c:pt>
              </c:numCache>
            </c:numRef>
          </c:xVal>
          <c:yVal>
            <c:numRef>
              <c:f>Ard1_Turn1x_ESC1_G1b_T1a!$U$3:$U$13</c:f>
              <c:numCache>
                <c:formatCode>0.00</c:formatCode>
                <c:ptCount val="11"/>
                <c:pt idx="0">
                  <c:v>3.3877100000000002</c:v>
                </c:pt>
                <c:pt idx="1">
                  <c:v>6.468</c:v>
                </c:pt>
                <c:pt idx="2">
                  <c:v>8.0172000000000008</c:v>
                </c:pt>
                <c:pt idx="3">
                  <c:v>10.73448</c:v>
                </c:pt>
                <c:pt idx="4">
                  <c:v>15.042899999999999</c:v>
                </c:pt>
                <c:pt idx="5">
                  <c:v>29.3779</c:v>
                </c:pt>
                <c:pt idx="6">
                  <c:v>51.795099999999998</c:v>
                </c:pt>
                <c:pt idx="7">
                  <c:v>64.318799999999996</c:v>
                </c:pt>
                <c:pt idx="8">
                  <c:v>68.010400000000004</c:v>
                </c:pt>
                <c:pt idx="9">
                  <c:v>103.6602</c:v>
                </c:pt>
                <c:pt idx="10">
                  <c:v>172.22399999999999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467-4FE8-A79D-E7AA2DB34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50104"/>
        <c:axId val="180150888"/>
      </c:scatterChart>
      <c:valAx>
        <c:axId val="180148928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0153240"/>
        <c:crossesAt val="-40"/>
        <c:crossBetween val="midCat"/>
        <c:majorUnit val="20"/>
      </c:valAx>
      <c:valAx>
        <c:axId val="18015324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0148928"/>
        <c:crosses val="autoZero"/>
        <c:crossBetween val="midCat"/>
      </c:valAx>
      <c:valAx>
        <c:axId val="180150888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0150104"/>
        <c:crosses val="max"/>
        <c:crossBetween val="midCat"/>
        <c:majorUnit val="40"/>
      </c:valAx>
      <c:valAx>
        <c:axId val="180150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0150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Ard1_Turn1x_ESC1_G1b_T1a!$V$1</c:f>
              <c:strCache>
                <c:ptCount val="1"/>
                <c:pt idx="0">
                  <c:v>Ng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Ard1_Turn1x_ESC1_G1b_T1a!$R$3:$R$13</c:f>
              <c:numCache>
                <c:formatCode>0</c:formatCode>
                <c:ptCount val="11"/>
                <c:pt idx="0">
                  <c:v>16.276041666666668</c:v>
                </c:pt>
                <c:pt idx="1">
                  <c:v>23.503309265944644</c:v>
                </c:pt>
                <c:pt idx="2">
                  <c:v>26.573129251700681</c:v>
                </c:pt>
                <c:pt idx="3">
                  <c:v>31.150318979266348</c:v>
                </c:pt>
                <c:pt idx="4">
                  <c:v>36.78201506591337</c:v>
                </c:pt>
                <c:pt idx="5">
                  <c:v>47.006618531889288</c:v>
                </c:pt>
                <c:pt idx="6">
                  <c:v>60.003840245775734</c:v>
                </c:pt>
                <c:pt idx="7">
                  <c:v>64.459570957095707</c:v>
                </c:pt>
                <c:pt idx="8">
                  <c:v>66.095600676818961</c:v>
                </c:pt>
                <c:pt idx="9">
                  <c:v>78.914141414141426</c:v>
                </c:pt>
                <c:pt idx="10">
                  <c:v>95.741421568627459</c:v>
                </c:pt>
              </c:numCache>
            </c:numRef>
          </c:xVal>
          <c:yVal>
            <c:numRef>
              <c:f>Ard1_Turn1x_ESC1_G1b_T1a!$V$3:$V$13</c:f>
              <c:numCache>
                <c:formatCode>0.00</c:formatCode>
                <c:ptCount val="11"/>
                <c:pt idx="0" formatCode="General">
                  <c:v>3.1551500000000003</c:v>
                </c:pt>
                <c:pt idx="1">
                  <c:v>6.2354399999999996</c:v>
                </c:pt>
                <c:pt idx="2">
                  <c:v>7.7846400000000004</c:v>
                </c:pt>
                <c:pt idx="3">
                  <c:v>10.50192</c:v>
                </c:pt>
                <c:pt idx="4">
                  <c:v>14.81034</c:v>
                </c:pt>
                <c:pt idx="5">
                  <c:v>29.145340000000001</c:v>
                </c:pt>
                <c:pt idx="6">
                  <c:v>51.562539999999998</c:v>
                </c:pt>
                <c:pt idx="7">
                  <c:v>64.086239999999989</c:v>
                </c:pt>
                <c:pt idx="8">
                  <c:v>67.777839999999998</c:v>
                </c:pt>
                <c:pt idx="9">
                  <c:v>103.42764</c:v>
                </c:pt>
                <c:pt idx="10">
                  <c:v>171.99143999999998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C1-4189-B7D3-62734AEDF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46184"/>
        <c:axId val="180152848"/>
      </c:scatterChart>
      <c:valAx>
        <c:axId val="180146184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80152848"/>
        <c:crosses val="autoZero"/>
        <c:crossBetween val="midCat"/>
      </c:valAx>
      <c:valAx>
        <c:axId val="180152848"/>
        <c:scaling>
          <c:orientation val="minMax"/>
          <c:max val="2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146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Ard1_Turn1x_ESC1_G1b_T1a!$L$2:$L$13</c:f>
              <c:numCache>
                <c:formatCode>General</c:formatCode>
                <c:ptCount val="12"/>
                <c:pt idx="0" formatCode="0.00">
                  <c:v>5.3803300418278059</c:v>
                </c:pt>
                <c:pt idx="1">
                  <c:v>8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27</c:v>
                </c:pt>
                <c:pt idx="6">
                  <c:v>42</c:v>
                </c:pt>
                <c:pt idx="7">
                  <c:v>67</c:v>
                </c:pt>
                <c:pt idx="8">
                  <c:v>79</c:v>
                </c:pt>
                <c:pt idx="9">
                  <c:v>84</c:v>
                </c:pt>
                <c:pt idx="10">
                  <c:v>121</c:v>
                </c:pt>
                <c:pt idx="11">
                  <c:v>175</c:v>
                </c:pt>
              </c:numCache>
            </c:numRef>
          </c:xVal>
          <c:yVal>
            <c:numRef>
              <c:f>Ard1_Turn1x_ESC1_G1b_T1a!$P$2:$P$13</c:f>
              <c:numCache>
                <c:formatCode>0</c:formatCode>
                <c:ptCount val="12"/>
                <c:pt idx="0">
                  <c:v>5.9999999999999995E-25</c:v>
                </c:pt>
                <c:pt idx="1">
                  <c:v>7500.0000000000009</c:v>
                </c:pt>
                <c:pt idx="2">
                  <c:v>10830.324909747293</c:v>
                </c:pt>
                <c:pt idx="3">
                  <c:v>12244.897959183674</c:v>
                </c:pt>
                <c:pt idx="4">
                  <c:v>14354.066985645934</c:v>
                </c:pt>
                <c:pt idx="5">
                  <c:v>16949.152542372882</c:v>
                </c:pt>
                <c:pt idx="6">
                  <c:v>21660.649819494585</c:v>
                </c:pt>
                <c:pt idx="7">
                  <c:v>27649.76958525346</c:v>
                </c:pt>
                <c:pt idx="8">
                  <c:v>29702.970297029704</c:v>
                </c:pt>
                <c:pt idx="9">
                  <c:v>30456.852791878177</c:v>
                </c:pt>
                <c:pt idx="10">
                  <c:v>36363.636363636368</c:v>
                </c:pt>
                <c:pt idx="11">
                  <c:v>44117.647058823532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63-46D6-BA2C-2B13BEC2B664}"/>
            </c:ext>
          </c:extLst>
        </c:ser>
        <c:ser>
          <c:idx val="1"/>
          <c:order val="1"/>
          <c:tx>
            <c:strRef>
              <c:f>Ard1_Turn1x_ESC1_G1b_T1a!$AJ$1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trendlineType val="log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Ard1_Turn1x_ESC1_G1b_T1a!$D$3:$D$13</c:f>
              <c:numCache>
                <c:formatCode>General</c:formatCode>
                <c:ptCount val="11"/>
                <c:pt idx="0">
                  <c:v>8</c:v>
                </c:pt>
                <c:pt idx="1">
                  <c:v>12</c:v>
                </c:pt>
                <c:pt idx="2">
                  <c:v>17</c:v>
                </c:pt>
                <c:pt idx="3">
                  <c:v>21</c:v>
                </c:pt>
                <c:pt idx="4">
                  <c:v>27</c:v>
                </c:pt>
                <c:pt idx="5">
                  <c:v>42</c:v>
                </c:pt>
                <c:pt idx="6">
                  <c:v>67</c:v>
                </c:pt>
                <c:pt idx="7">
                  <c:v>79</c:v>
                </c:pt>
                <c:pt idx="8">
                  <c:v>84</c:v>
                </c:pt>
                <c:pt idx="9">
                  <c:v>121</c:v>
                </c:pt>
                <c:pt idx="10">
                  <c:v>175</c:v>
                </c:pt>
              </c:numCache>
            </c:numRef>
          </c:xVal>
          <c:yVal>
            <c:numRef>
              <c:f>Ard1_Turn1x_ESC1_G1b_T1a!$AJ$3:$AJ$13</c:f>
              <c:numCache>
                <c:formatCode>0.00</c:formatCode>
                <c:ptCount val="11"/>
                <c:pt idx="0">
                  <c:v>4555.170672024622</c:v>
                </c:pt>
                <c:pt idx="1">
                  <c:v>9211.0840546388536</c:v>
                </c:pt>
                <c:pt idx="2">
                  <c:v>13210.653355839728</c:v>
                </c:pt>
                <c:pt idx="3">
                  <c:v>15637.093553526916</c:v>
                </c:pt>
                <c:pt idx="4">
                  <c:v>18522.910819867313</c:v>
                </c:pt>
                <c:pt idx="5">
                  <c:v>23596.430052660289</c:v>
                </c:pt>
                <c:pt idx="6">
                  <c:v>28959.20627523346</c:v>
                </c:pt>
                <c:pt idx="7">
                  <c:v>30851.073366124794</c:v>
                </c:pt>
                <c:pt idx="8">
                  <c:v>31555.766551793655</c:v>
                </c:pt>
                <c:pt idx="9">
                  <c:v>35746.721871576265</c:v>
                </c:pt>
                <c:pt idx="10">
                  <c:v>39983.857739779705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263-46D6-BA2C-2B13BEC2B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49320"/>
        <c:axId val="180150496"/>
      </c:scatterChart>
      <c:valAx>
        <c:axId val="180149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0150496"/>
        <c:crosses val="autoZero"/>
        <c:crossBetween val="midCat"/>
      </c:valAx>
      <c:valAx>
        <c:axId val="180150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0149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Ard1_Turn1x_ESC1_G1b_T1a!$P$3:$P$13</c:f>
              <c:numCache>
                <c:formatCode>0</c:formatCode>
                <c:ptCount val="11"/>
                <c:pt idx="0">
                  <c:v>7500.0000000000009</c:v>
                </c:pt>
                <c:pt idx="1">
                  <c:v>10830.324909747293</c:v>
                </c:pt>
                <c:pt idx="2">
                  <c:v>12244.897959183674</c:v>
                </c:pt>
                <c:pt idx="3">
                  <c:v>14354.066985645934</c:v>
                </c:pt>
                <c:pt idx="4">
                  <c:v>16949.152542372882</c:v>
                </c:pt>
                <c:pt idx="5">
                  <c:v>21660.649819494585</c:v>
                </c:pt>
                <c:pt idx="6">
                  <c:v>27649.76958525346</c:v>
                </c:pt>
                <c:pt idx="7">
                  <c:v>29702.970297029704</c:v>
                </c:pt>
                <c:pt idx="8">
                  <c:v>30456.852791878177</c:v>
                </c:pt>
                <c:pt idx="9">
                  <c:v>36363.636363636368</c:v>
                </c:pt>
                <c:pt idx="10">
                  <c:v>44117.647058823532</c:v>
                </c:pt>
              </c:numCache>
            </c:numRef>
          </c:xVal>
          <c:yVal>
            <c:numRef>
              <c:f>Ard1_Turn1x_ESC1_G1b_T1a!$Y$3:$Y$13</c:f>
              <c:numCache>
                <c:formatCode>0.00000</c:formatCode>
                <c:ptCount val="11"/>
                <c:pt idx="0">
                  <c:v>0</c:v>
                </c:pt>
                <c:pt idx="1">
                  <c:v>1.0920406737528997E-3</c:v>
                </c:pt>
                <c:pt idx="2">
                  <c:v>1.5146702922285921E-3</c:v>
                </c:pt>
                <c:pt idx="3">
                  <c:v>2.190015162015271E-3</c:v>
                </c:pt>
                <c:pt idx="4">
                  <c:v>3.1913696025452788E-3</c:v>
                </c:pt>
                <c:pt idx="5">
                  <c:v>6.5138085121688631E-3</c:v>
                </c:pt>
                <c:pt idx="6">
                  <c:v>1.0171277187863148E-2</c:v>
                </c:pt>
                <c:pt idx="7">
                  <c:v>1.2232952458491667E-2</c:v>
                </c:pt>
                <c:pt idx="8">
                  <c:v>1.2710487515752471E-2</c:v>
                </c:pt>
                <c:pt idx="9">
                  <c:v>1.7069342917341978E-2</c:v>
                </c:pt>
                <c:pt idx="10">
                  <c:v>2.449421195804298E-2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EC0-4343-9CD4-75EEBAFED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51672"/>
        <c:axId val="180406888"/>
      </c:scatterChart>
      <c:valAx>
        <c:axId val="180151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80406888"/>
        <c:crosses val="autoZero"/>
        <c:crossBetween val="midCat"/>
      </c:valAx>
      <c:valAx>
        <c:axId val="180406888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1801516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Ard1_Turn1x_ESC1_G1b_T1a!$E$2:$E$13</c:f>
              <c:numCache>
                <c:formatCode>General</c:formatCode>
                <c:ptCount val="12"/>
                <c:pt idx="0">
                  <c:v>3.2000000000000002E-3</c:v>
                </c:pt>
                <c:pt idx="1">
                  <c:v>4.5999999999999999E-3</c:v>
                </c:pt>
                <c:pt idx="2">
                  <c:v>0.23799999999999999</c:v>
                </c:pt>
                <c:pt idx="3">
                  <c:v>0.434</c:v>
                </c:pt>
                <c:pt idx="4">
                  <c:v>0.58599999999999997</c:v>
                </c:pt>
                <c:pt idx="5">
                  <c:v>0.79300000000000004</c:v>
                </c:pt>
                <c:pt idx="6">
                  <c:v>1.175</c:v>
                </c:pt>
                <c:pt idx="7">
                  <c:v>1.6240000000000001</c:v>
                </c:pt>
                <c:pt idx="8">
                  <c:v>1.786</c:v>
                </c:pt>
                <c:pt idx="9">
                  <c:v>1.8420000000000001</c:v>
                </c:pt>
                <c:pt idx="10">
                  <c:v>2.19</c:v>
                </c:pt>
                <c:pt idx="11">
                  <c:v>2.66</c:v>
                </c:pt>
              </c:numCache>
            </c:numRef>
          </c:xVal>
          <c:yVal>
            <c:numRef>
              <c:f>Ard1_Turn1x_ESC1_G1b_T1a!$Q$2:$Q$13</c:f>
              <c:numCache>
                <c:formatCode>0</c:formatCode>
                <c:ptCount val="12"/>
                <c:pt idx="0" formatCode="General">
                  <c:v>0</c:v>
                </c:pt>
                <c:pt idx="1">
                  <c:v>5.9999999999999995E-25</c:v>
                </c:pt>
                <c:pt idx="2">
                  <c:v>4545.454545454546</c:v>
                </c:pt>
                <c:pt idx="3">
                  <c:v>6000.0000000000009</c:v>
                </c:pt>
                <c:pt idx="4">
                  <c:v>8000.0000000000009</c:v>
                </c:pt>
                <c:pt idx="5">
                  <c:v>10752.688172043012</c:v>
                </c:pt>
                <c:pt idx="6">
                  <c:v>15957.44680851064</c:v>
                </c:pt>
                <c:pt idx="7">
                  <c:v>21352.313167259788</c:v>
                </c:pt>
                <c:pt idx="8">
                  <c:v>23437.500000000004</c:v>
                </c:pt>
                <c:pt idx="9">
                  <c:v>24193.548387096776</c:v>
                </c:pt>
                <c:pt idx="10">
                  <c:v>29411.764705882353</c:v>
                </c:pt>
                <c:pt idx="11">
                  <c:v>37037.037037037036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7E-4759-8EC6-3C9AAE060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05712"/>
        <c:axId val="180406104"/>
      </c:scatterChart>
      <c:valAx>
        <c:axId val="18040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406104"/>
        <c:crosses val="autoZero"/>
        <c:crossBetween val="midCat"/>
      </c:valAx>
      <c:valAx>
        <c:axId val="180406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405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Gain Uncertainty +/-50 rpm/deg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'Gain Approx'!$E$1</c:f>
              <c:strCache>
                <c:ptCount val="1"/>
                <c:pt idx="0">
                  <c:v>GE</c:v>
                </c:pt>
              </c:strCache>
            </c:strRef>
          </c:tx>
          <c:spPr>
            <a:ln w="22225">
              <a:solidFill>
                <a:schemeClr val="accent1">
                  <a:lumMod val="7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'Gain Approx'!$A$2:$A$18</c:f>
              <c:numCache>
                <c:formatCode>General</c:formatCode>
                <c:ptCount val="17"/>
                <c:pt idx="0">
                  <c:v>10.076726574109877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35</c:v>
                </c:pt>
                <c:pt idx="5">
                  <c:v>54</c:v>
                </c:pt>
                <c:pt idx="6">
                  <c:v>64</c:v>
                </c:pt>
                <c:pt idx="7">
                  <c:v>89</c:v>
                </c:pt>
                <c:pt idx="8">
                  <c:v>101</c:v>
                </c:pt>
                <c:pt idx="9">
                  <c:v>114</c:v>
                </c:pt>
                <c:pt idx="10">
                  <c:v>125</c:v>
                </c:pt>
                <c:pt idx="11">
                  <c:v>130</c:v>
                </c:pt>
                <c:pt idx="12">
                  <c:v>140</c:v>
                </c:pt>
                <c:pt idx="13">
                  <c:v>145</c:v>
                </c:pt>
                <c:pt idx="14">
                  <c:v>155</c:v>
                </c:pt>
                <c:pt idx="15">
                  <c:v>166</c:v>
                </c:pt>
                <c:pt idx="16">
                  <c:v>180</c:v>
                </c:pt>
              </c:numCache>
            </c:numRef>
          </c:xVal>
          <c:yVal>
            <c:numRef>
              <c:f>'Gain Approx'!$E$2:$E$18</c:f>
              <c:numCache>
                <c:formatCode>0</c:formatCode>
                <c:ptCount val="17"/>
                <c:pt idx="0">
                  <c:v>1055.3851558145041</c:v>
                </c:pt>
                <c:pt idx="1">
                  <c:v>1055.3851558145041</c:v>
                </c:pt>
                <c:pt idx="2">
                  <c:v>817.37790506113743</c:v>
                </c:pt>
                <c:pt idx="3">
                  <c:v>707.55324605681142</c:v>
                </c:pt>
                <c:pt idx="4">
                  <c:v>487.27612041497048</c:v>
                </c:pt>
                <c:pt idx="5">
                  <c:v>298.09050531909259</c:v>
                </c:pt>
                <c:pt idx="6">
                  <c:v>221.90513195846796</c:v>
                </c:pt>
                <c:pt idx="7">
                  <c:v>172.27630693243233</c:v>
                </c:pt>
                <c:pt idx="8">
                  <c:v>137.66745378268448</c:v>
                </c:pt>
                <c:pt idx="9">
                  <c:v>121.6460664628321</c:v>
                </c:pt>
                <c:pt idx="10">
                  <c:v>109.37434440225942</c:v>
                </c:pt>
                <c:pt idx="11">
                  <c:v>102.45234689899954</c:v>
                </c:pt>
                <c:pt idx="12">
                  <c:v>96.792422429975701</c:v>
                </c:pt>
                <c:pt idx="13">
                  <c:v>91.665545611000567</c:v>
                </c:pt>
                <c:pt idx="14">
                  <c:v>87.105604232716729</c:v>
                </c:pt>
                <c:pt idx="15">
                  <c:v>81.408822876593064</c:v>
                </c:pt>
                <c:pt idx="16">
                  <c:v>75.538351839444658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077-4923-AFC8-0CD61EF44EEA}"/>
            </c:ext>
          </c:extLst>
        </c:ser>
        <c:ser>
          <c:idx val="2"/>
          <c:order val="1"/>
          <c:tx>
            <c:strRef>
              <c:f>'Gain Approx'!$H$1</c:f>
              <c:strCache>
                <c:ptCount val="1"/>
                <c:pt idx="0">
                  <c:v>G_A0</c:v>
                </c:pt>
              </c:strCache>
            </c:strRef>
          </c:tx>
          <c:xVal>
            <c:numRef>
              <c:f>'Gain Approx'!$F$2:$F$12</c:f>
              <c:numCache>
                <c:formatCode>0.00</c:formatCode>
                <c:ptCount val="11"/>
                <c:pt idx="0">
                  <c:v>6.0661220353948684</c:v>
                </c:pt>
                <c:pt idx="1">
                  <c:v>9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54</c:v>
                </c:pt>
                <c:pt idx="6">
                  <c:v>64</c:v>
                </c:pt>
                <c:pt idx="7">
                  <c:v>90</c:v>
                </c:pt>
                <c:pt idx="8">
                  <c:v>125</c:v>
                </c:pt>
                <c:pt idx="9">
                  <c:v>155</c:v>
                </c:pt>
                <c:pt idx="10">
                  <c:v>180</c:v>
                </c:pt>
              </c:numCache>
            </c:numRef>
          </c:xVal>
          <c:yVal>
            <c:numRef>
              <c:f>'Gain Approx'!$H$2:$H$12</c:f>
              <c:numCache>
                <c:formatCode>0</c:formatCode>
                <c:ptCount val="11"/>
                <c:pt idx="0">
                  <c:v>2888.5237809565906</c:v>
                </c:pt>
                <c:pt idx="1">
                  <c:v>2888.5237809565906</c:v>
                </c:pt>
                <c:pt idx="2">
                  <c:v>579.71898884803738</c:v>
                </c:pt>
                <c:pt idx="3">
                  <c:v>290.57253551442119</c:v>
                </c:pt>
                <c:pt idx="4">
                  <c:v>382.98803618325053</c:v>
                </c:pt>
                <c:pt idx="5">
                  <c:v>261.59864855477815</c:v>
                </c:pt>
                <c:pt idx="6">
                  <c:v>254.51670747932113</c:v>
                </c:pt>
                <c:pt idx="7">
                  <c:v>177.24211272598347</c:v>
                </c:pt>
                <c:pt idx="8">
                  <c:v>136.54207202594304</c:v>
                </c:pt>
                <c:pt idx="9">
                  <c:v>164.0334973668306</c:v>
                </c:pt>
                <c:pt idx="10">
                  <c:v>76.064286590602421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077-4923-AFC8-0CD61EF44EEA}"/>
            </c:ext>
          </c:extLst>
        </c:ser>
        <c:ser>
          <c:idx val="3"/>
          <c:order val="2"/>
          <c:tx>
            <c:strRef>
              <c:f>'Gain Approx'!$M$1</c:f>
              <c:strCache>
                <c:ptCount val="1"/>
                <c:pt idx="0">
                  <c:v>G_A1</c:v>
                </c:pt>
              </c:strCache>
            </c:strRef>
          </c:tx>
          <c:xVal>
            <c:numRef>
              <c:f>'Gain Approx'!$K$2:$K$14</c:f>
              <c:numCache>
                <c:formatCode>0.00</c:formatCode>
                <c:ptCount val="13"/>
                <c:pt idx="0">
                  <c:v>5.3803300418278059</c:v>
                </c:pt>
                <c:pt idx="1">
                  <c:v>8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27</c:v>
                </c:pt>
                <c:pt idx="6">
                  <c:v>42</c:v>
                </c:pt>
                <c:pt idx="7">
                  <c:v>67</c:v>
                </c:pt>
                <c:pt idx="8">
                  <c:v>79</c:v>
                </c:pt>
                <c:pt idx="9">
                  <c:v>84</c:v>
                </c:pt>
                <c:pt idx="10">
                  <c:v>121</c:v>
                </c:pt>
                <c:pt idx="11">
                  <c:v>175</c:v>
                </c:pt>
              </c:numCache>
            </c:numRef>
          </c:xVal>
          <c:yVal>
            <c:numRef>
              <c:f>'Gain Approx'!$M$2:$M$14</c:f>
              <c:numCache>
                <c:formatCode>0</c:formatCode>
                <c:ptCount val="13"/>
                <c:pt idx="0">
                  <c:v>2862.9560668905519</c:v>
                </c:pt>
                <c:pt idx="1">
                  <c:v>2862.9560668905519</c:v>
                </c:pt>
                <c:pt idx="2">
                  <c:v>832.58122743682293</c:v>
                </c:pt>
                <c:pt idx="3">
                  <c:v>282.9146098872763</c:v>
                </c:pt>
                <c:pt idx="4">
                  <c:v>527.29225661556484</c:v>
                </c:pt>
                <c:pt idx="5">
                  <c:v>432.51425945449137</c:v>
                </c:pt>
                <c:pt idx="6">
                  <c:v>314.09981847478025</c:v>
                </c:pt>
                <c:pt idx="7">
                  <c:v>239.56479063035499</c:v>
                </c:pt>
                <c:pt idx="8">
                  <c:v>171.100059314687</c:v>
                </c:pt>
                <c:pt idx="9">
                  <c:v>150.7764989696945</c:v>
                </c:pt>
                <c:pt idx="10">
                  <c:v>159.64279923670787</c:v>
                </c:pt>
                <c:pt idx="11">
                  <c:v>143.59279065161414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077-4923-AFC8-0CD61EF44EEA}"/>
            </c:ext>
          </c:extLst>
        </c:ser>
        <c:ser>
          <c:idx val="4"/>
          <c:order val="3"/>
          <c:tx>
            <c:strRef>
              <c:f>'Gain Approx'!$R$1</c:f>
              <c:strCache>
                <c:ptCount val="1"/>
                <c:pt idx="0">
                  <c:v>G_A2</c:v>
                </c:pt>
              </c:strCache>
            </c:strRef>
          </c:tx>
          <c:xVal>
            <c:numRef>
              <c:f>'Gain Approx'!$P$2:$P$13</c:f>
              <c:numCache>
                <c:formatCode>0.00</c:formatCode>
                <c:ptCount val="12"/>
                <c:pt idx="0">
                  <c:v>5.7969930558608072</c:v>
                </c:pt>
                <c:pt idx="1">
                  <c:v>9</c:v>
                </c:pt>
                <c:pt idx="2">
                  <c:v>12</c:v>
                </c:pt>
                <c:pt idx="3">
                  <c:v>24</c:v>
                </c:pt>
                <c:pt idx="4">
                  <c:v>28</c:v>
                </c:pt>
                <c:pt idx="5">
                  <c:v>32</c:v>
                </c:pt>
                <c:pt idx="6">
                  <c:v>50</c:v>
                </c:pt>
                <c:pt idx="7">
                  <c:v>78</c:v>
                </c:pt>
                <c:pt idx="8">
                  <c:v>115</c:v>
                </c:pt>
                <c:pt idx="9">
                  <c:v>140</c:v>
                </c:pt>
                <c:pt idx="10">
                  <c:v>155</c:v>
                </c:pt>
                <c:pt idx="11">
                  <c:v>180</c:v>
                </c:pt>
              </c:numCache>
            </c:numRef>
          </c:xVal>
          <c:yVal>
            <c:numRef>
              <c:f>'Gain Approx'!$R$2:$R$13</c:f>
              <c:numCache>
                <c:formatCode>0</c:formatCode>
                <c:ptCount val="12"/>
                <c:pt idx="0">
                  <c:v>2676.0568181447202</c:v>
                </c:pt>
                <c:pt idx="1">
                  <c:v>2676.0568181447202</c:v>
                </c:pt>
                <c:pt idx="2">
                  <c:v>454.11542100283805</c:v>
                </c:pt>
                <c:pt idx="3">
                  <c:v>516.27145196895242</c:v>
                </c:pt>
                <c:pt idx="4">
                  <c:v>303.00205109080798</c:v>
                </c:pt>
                <c:pt idx="5">
                  <c:v>381.72101646853571</c:v>
                </c:pt>
                <c:pt idx="6">
                  <c:v>295.86799215527145</c:v>
                </c:pt>
                <c:pt idx="7">
                  <c:v>212.75733506240886</c:v>
                </c:pt>
                <c:pt idx="8">
                  <c:v>139.00983454634056</c:v>
                </c:pt>
                <c:pt idx="9">
                  <c:v>136.62239089184061</c:v>
                </c:pt>
                <c:pt idx="10">
                  <c:v>216.55763591247427</c:v>
                </c:pt>
                <c:pt idx="11">
                  <c:v>99.456099456099622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077-4923-AFC8-0CD61EF44EEA}"/>
            </c:ext>
          </c:extLst>
        </c:ser>
        <c:ser>
          <c:idx val="5"/>
          <c:order val="4"/>
          <c:tx>
            <c:strRef>
              <c:f>'Gain Approx'!$W$1</c:f>
              <c:strCache>
                <c:ptCount val="1"/>
                <c:pt idx="0">
                  <c:v>G_A3</c:v>
                </c:pt>
              </c:strCache>
            </c:strRef>
          </c:tx>
          <c:xVal>
            <c:numRef>
              <c:f>'Gain Approx'!$U$2:$U$14</c:f>
              <c:numCache>
                <c:formatCode>0.00</c:formatCode>
                <c:ptCount val="13"/>
                <c:pt idx="0">
                  <c:v>6.6811957375597357</c:v>
                </c:pt>
                <c:pt idx="1">
                  <c:v>9</c:v>
                </c:pt>
                <c:pt idx="2">
                  <c:v>13</c:v>
                </c:pt>
                <c:pt idx="3">
                  <c:v>24</c:v>
                </c:pt>
                <c:pt idx="4">
                  <c:v>28</c:v>
                </c:pt>
                <c:pt idx="5">
                  <c:v>36</c:v>
                </c:pt>
                <c:pt idx="6">
                  <c:v>52</c:v>
                </c:pt>
                <c:pt idx="7">
                  <c:v>73</c:v>
                </c:pt>
                <c:pt idx="8">
                  <c:v>94</c:v>
                </c:pt>
                <c:pt idx="9">
                  <c:v>99</c:v>
                </c:pt>
                <c:pt idx="10">
                  <c:v>110</c:v>
                </c:pt>
                <c:pt idx="11">
                  <c:v>132</c:v>
                </c:pt>
                <c:pt idx="12">
                  <c:v>180</c:v>
                </c:pt>
              </c:numCache>
            </c:numRef>
          </c:xVal>
          <c:yVal>
            <c:numRef>
              <c:f>'Gain Approx'!$W$2:$W$14</c:f>
              <c:numCache>
                <c:formatCode>0</c:formatCode>
                <c:ptCount val="13"/>
                <c:pt idx="0">
                  <c:v>3525.2595716631822</c:v>
                </c:pt>
                <c:pt idx="1">
                  <c:v>3525.2595716631822</c:v>
                </c:pt>
                <c:pt idx="2">
                  <c:v>533.72285738363462</c:v>
                </c:pt>
                <c:pt idx="3">
                  <c:v>521.22749074069407</c:v>
                </c:pt>
                <c:pt idx="4">
                  <c:v>324.56492844116156</c:v>
                </c:pt>
                <c:pt idx="5">
                  <c:v>349.14846568646453</c:v>
                </c:pt>
                <c:pt idx="6">
                  <c:v>284.82061479824347</c:v>
                </c:pt>
                <c:pt idx="7">
                  <c:v>224.7812705329045</c:v>
                </c:pt>
                <c:pt idx="8">
                  <c:v>143.84132031190842</c:v>
                </c:pt>
                <c:pt idx="9">
                  <c:v>106.92010692010736</c:v>
                </c:pt>
                <c:pt idx="10">
                  <c:v>192.78966647387742</c:v>
                </c:pt>
                <c:pt idx="11">
                  <c:v>99.061883958908851</c:v>
                </c:pt>
                <c:pt idx="12">
                  <c:v>136.01124359613732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077-4923-AFC8-0CD61EF44EEA}"/>
            </c:ext>
          </c:extLst>
        </c:ser>
        <c:ser>
          <c:idx val="6"/>
          <c:order val="5"/>
          <c:tx>
            <c:strRef>
              <c:f>'Gain Approx'!$AB$1</c:f>
              <c:strCache>
                <c:ptCount val="1"/>
                <c:pt idx="0">
                  <c:v>G_A4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'Gain Approx'!$Z$2:$Z$14</c:f>
              <c:numCache>
                <c:formatCode>0.00</c:formatCode>
                <c:ptCount val="13"/>
                <c:pt idx="0">
                  <c:v>6.7090339239286205</c:v>
                </c:pt>
                <c:pt idx="1">
                  <c:v>10</c:v>
                </c:pt>
                <c:pt idx="2">
                  <c:v>14</c:v>
                </c:pt>
                <c:pt idx="3">
                  <c:v>26</c:v>
                </c:pt>
                <c:pt idx="4">
                  <c:v>34</c:v>
                </c:pt>
                <c:pt idx="5">
                  <c:v>51</c:v>
                </c:pt>
                <c:pt idx="6">
                  <c:v>76</c:v>
                </c:pt>
                <c:pt idx="7">
                  <c:v>91</c:v>
                </c:pt>
                <c:pt idx="8">
                  <c:v>106</c:v>
                </c:pt>
                <c:pt idx="9">
                  <c:v>132</c:v>
                </c:pt>
                <c:pt idx="10">
                  <c:v>180</c:v>
                </c:pt>
              </c:numCache>
            </c:numRef>
          </c:xVal>
          <c:yVal>
            <c:numRef>
              <c:f>'Gain Approx'!$AB$2:$AB$14</c:f>
              <c:numCache>
                <c:formatCode>0</c:formatCode>
                <c:ptCount val="13"/>
                <c:pt idx="0">
                  <c:v>2477.137024388659</c:v>
                </c:pt>
                <c:pt idx="1">
                  <c:v>2477.137024388659</c:v>
                </c:pt>
                <c:pt idx="2">
                  <c:v>719.30946291560099</c:v>
                </c:pt>
                <c:pt idx="3">
                  <c:v>465.92390418771402</c:v>
                </c:pt>
                <c:pt idx="4">
                  <c:v>357.50260819512869</c:v>
                </c:pt>
                <c:pt idx="5">
                  <c:v>271.52153303818812</c:v>
                </c:pt>
                <c:pt idx="6">
                  <c:v>195.56486816832535</c:v>
                </c:pt>
                <c:pt idx="7">
                  <c:v>184.03496664366224</c:v>
                </c:pt>
                <c:pt idx="8">
                  <c:v>105.82010582010601</c:v>
                </c:pt>
                <c:pt idx="9">
                  <c:v>133.71086990718882</c:v>
                </c:pt>
                <c:pt idx="10">
                  <c:v>145.53759347991581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6077-4923-AFC8-0CD61EF44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46464"/>
        <c:axId val="177646848"/>
      </c:scatterChart>
      <c:valAx>
        <c:axId val="177646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646848"/>
        <c:crosses val="autoZero"/>
        <c:crossBetween val="midCat"/>
      </c:valAx>
      <c:valAx>
        <c:axId val="177646848"/>
        <c:scaling>
          <c:orientation val="minMax"/>
          <c:max val="1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RPM/deg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76464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Ard1_Turn1x_ESC1_G1b_T1a!$K$38</c:f>
              <c:strCache>
                <c:ptCount val="1"/>
                <c:pt idx="0">
                  <c:v>Meas TauT1,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Ard1_Turn1x_ESC1_G1b_T1a!$I$40:$I$43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Ard1_Turn1x_ESC1_G1b_T1a!$K$40:$K$43</c:f>
              <c:numCache>
                <c:formatCode>0.000</c:formatCode>
                <c:ptCount val="4"/>
                <c:pt idx="0">
                  <c:v>0.03</c:v>
                </c:pt>
                <c:pt idx="1">
                  <c:v>9.7000000000000003E-2</c:v>
                </c:pt>
                <c:pt idx="2">
                  <c:v>0.28699999999999998</c:v>
                </c:pt>
                <c:pt idx="3">
                  <c:v>0.442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806-434E-BEDF-0B5D02F793B3}"/>
            </c:ext>
          </c:extLst>
        </c:ser>
        <c:ser>
          <c:idx val="1"/>
          <c:order val="1"/>
          <c:tx>
            <c:strRef>
              <c:f>Ard1_Turn1x_ESC1_G1b_T1a!$AU$1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Ard1_Turn1x_ESC1_G1b_T1a!$AN$6:$AN$13</c:f>
              <c:numCache>
                <c:formatCode>0.0</c:formatCode>
                <c:ptCount val="8"/>
                <c:pt idx="0">
                  <c:v>20.564575889707857</c:v>
                </c:pt>
                <c:pt idx="1">
                  <c:v>26.682462915315533</c:v>
                </c:pt>
                <c:pt idx="2">
                  <c:v>37.438243556907246</c:v>
                </c:pt>
                <c:pt idx="3">
                  <c:v>48.807244448264363</c:v>
                </c:pt>
                <c:pt idx="4">
                  <c:v>52.817972800519286</c:v>
                </c:pt>
                <c:pt idx="5">
                  <c:v>54.311911224106609</c:v>
                </c:pt>
                <c:pt idx="6">
                  <c:v>63.196670309464153</c:v>
                </c:pt>
                <c:pt idx="7">
                  <c:v>72.179331428091302</c:v>
                </c:pt>
              </c:numCache>
            </c:numRef>
          </c:xVal>
          <c:yVal>
            <c:numRef>
              <c:f>Ard1_Turn1x_ESC1_G1b_T1a!$AU$6:$AU$13</c:f>
              <c:numCache>
                <c:formatCode>0.000</c:formatCode>
                <c:ptCount val="8"/>
                <c:pt idx="0">
                  <c:v>0.36285601803166451</c:v>
                </c:pt>
                <c:pt idx="1">
                  <c:v>0.26057437640820308</c:v>
                </c:pt>
                <c:pt idx="2">
                  <c:v>0.16616450454753204</c:v>
                </c:pt>
                <c:pt idx="3">
                  <c:v>0.10928348423445342</c:v>
                </c:pt>
                <c:pt idx="4">
                  <c:v>9.7000000000000003E-2</c:v>
                </c:pt>
                <c:pt idx="5">
                  <c:v>9.3066064908015181E-2</c:v>
                </c:pt>
                <c:pt idx="6">
                  <c:v>6.9723652273090492E-2</c:v>
                </c:pt>
                <c:pt idx="7">
                  <c:v>4.7816076116652749E-2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806-434E-BEDF-0B5D02F79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04536"/>
        <c:axId val="180405320"/>
      </c:scatterChart>
      <c:valAx>
        <c:axId val="180404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405320"/>
        <c:crosses val="autoZero"/>
        <c:crossBetween val="midCat"/>
      </c:valAx>
      <c:valAx>
        <c:axId val="180405320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8040453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Ard1_Turn1x_ESC1_G1b_T1a!$K$38</c:f>
              <c:strCache>
                <c:ptCount val="1"/>
                <c:pt idx="0">
                  <c:v>Meas TauT1,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Ard1_Turn1x_ESC1_G1b_T1a!$I$40:$I$43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Ard1_Turn1x_ESC1_G1b_T1a!$K$40:$K$43</c:f>
              <c:numCache>
                <c:formatCode>0.000</c:formatCode>
                <c:ptCount val="4"/>
                <c:pt idx="0">
                  <c:v>0.03</c:v>
                </c:pt>
                <c:pt idx="1">
                  <c:v>9.7000000000000003E-2</c:v>
                </c:pt>
                <c:pt idx="2">
                  <c:v>0.28699999999999998</c:v>
                </c:pt>
                <c:pt idx="3">
                  <c:v>0.442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861-4704-ACA8-08D6E6B0C13C}"/>
            </c:ext>
          </c:extLst>
        </c:ser>
        <c:ser>
          <c:idx val="1"/>
          <c:order val="1"/>
          <c:tx>
            <c:strRef>
              <c:f>Ard1_Turn1x_ESC1_G1b_T1a!$AU$1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Ard1_Turn1x_ESC1_G1b_T1a!$AN$6:$AN$13</c:f>
              <c:numCache>
                <c:formatCode>0.0</c:formatCode>
                <c:ptCount val="8"/>
                <c:pt idx="0">
                  <c:v>20.564575889707857</c:v>
                </c:pt>
                <c:pt idx="1">
                  <c:v>26.682462915315533</c:v>
                </c:pt>
                <c:pt idx="2">
                  <c:v>37.438243556907246</c:v>
                </c:pt>
                <c:pt idx="3">
                  <c:v>48.807244448264363</c:v>
                </c:pt>
                <c:pt idx="4">
                  <c:v>52.817972800519286</c:v>
                </c:pt>
                <c:pt idx="5">
                  <c:v>54.311911224106609</c:v>
                </c:pt>
                <c:pt idx="6">
                  <c:v>63.196670309464153</c:v>
                </c:pt>
                <c:pt idx="7">
                  <c:v>72.179331428091302</c:v>
                </c:pt>
              </c:numCache>
            </c:numRef>
          </c:xVal>
          <c:yVal>
            <c:numRef>
              <c:f>Ard1_Turn1x_ESC1_G1b_T1a!$AU$6:$AU$13</c:f>
              <c:numCache>
                <c:formatCode>0.000</c:formatCode>
                <c:ptCount val="8"/>
                <c:pt idx="0">
                  <c:v>0.36285601803166451</c:v>
                </c:pt>
                <c:pt idx="1">
                  <c:v>0.26057437640820308</c:v>
                </c:pt>
                <c:pt idx="2">
                  <c:v>0.16616450454753204</c:v>
                </c:pt>
                <c:pt idx="3">
                  <c:v>0.10928348423445342</c:v>
                </c:pt>
                <c:pt idx="4">
                  <c:v>9.7000000000000003E-2</c:v>
                </c:pt>
                <c:pt idx="5">
                  <c:v>9.3066064908015181E-2</c:v>
                </c:pt>
                <c:pt idx="6">
                  <c:v>6.9723652273090492E-2</c:v>
                </c:pt>
                <c:pt idx="7">
                  <c:v>4.7816076116652749E-2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861-4704-ACA8-08D6E6B0C13C}"/>
            </c:ext>
          </c:extLst>
        </c:ser>
        <c:ser>
          <c:idx val="2"/>
          <c:order val="2"/>
          <c:tx>
            <c:strRef>
              <c:f>Ard1_Turn1x_ESC1_G1b_T1a!$AS$1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Ard1_Turn1x_ESC1_G1b_T1a!$AN$4:$AN$13</c:f>
              <c:numCache>
                <c:formatCode>0.0</c:formatCode>
                <c:ptCount val="10"/>
                <c:pt idx="0">
                  <c:v>6.941537245430192</c:v>
                </c:pt>
                <c:pt idx="1">
                  <c:v>15.420560994174144</c:v>
                </c:pt>
                <c:pt idx="2">
                  <c:v>20.564575889707857</c:v>
                </c:pt>
                <c:pt idx="3">
                  <c:v>26.682462915315533</c:v>
                </c:pt>
                <c:pt idx="4">
                  <c:v>37.438243556907246</c:v>
                </c:pt>
                <c:pt idx="5">
                  <c:v>48.807244448264363</c:v>
                </c:pt>
                <c:pt idx="6">
                  <c:v>52.817972800519286</c:v>
                </c:pt>
                <c:pt idx="7">
                  <c:v>54.311911224106609</c:v>
                </c:pt>
                <c:pt idx="8">
                  <c:v>63.196670309464153</c:v>
                </c:pt>
                <c:pt idx="9">
                  <c:v>72.179331428091302</c:v>
                </c:pt>
              </c:numCache>
            </c:numRef>
          </c:xVal>
          <c:yVal>
            <c:numRef>
              <c:f>Ard1_Turn1x_ESC1_G1b_T1a!$AS$4:$AS$13</c:f>
              <c:numCache>
                <c:formatCode>0.000</c:formatCode>
                <c:ptCount val="10"/>
                <c:pt idx="0">
                  <c:v>0.10127014572560596</c:v>
                </c:pt>
                <c:pt idx="1">
                  <c:v>8.4260181668669082E-2</c:v>
                </c:pt>
                <c:pt idx="2">
                  <c:v>7.6468016460562963E-2</c:v>
                </c:pt>
                <c:pt idx="3">
                  <c:v>6.889101172189506E-2</c:v>
                </c:pt>
                <c:pt idx="4">
                  <c:v>5.8670392451037258E-2</c:v>
                </c:pt>
                <c:pt idx="5">
                  <c:v>5.0717060860124577E-2</c:v>
                </c:pt>
                <c:pt idx="6">
                  <c:v>4.8402346224493374E-2</c:v>
                </c:pt>
                <c:pt idx="7">
                  <c:v>4.7593253632188338E-2</c:v>
                </c:pt>
                <c:pt idx="8">
                  <c:v>4.3289680833392991E-2</c:v>
                </c:pt>
                <c:pt idx="9">
                  <c:v>3.9663617088753857E-2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861-4704-ACA8-08D6E6B0C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06496"/>
        <c:axId val="180404928"/>
      </c:scatterChart>
      <c:valAx>
        <c:axId val="180406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404928"/>
        <c:crosses val="autoZero"/>
        <c:crossBetween val="midCat"/>
      </c:valAx>
      <c:valAx>
        <c:axId val="180404928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8040649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Ard1_Turn1x_ESC1_G1b_T1a!$AV$1</c:f>
              <c:strCache>
                <c:ptCount val="1"/>
                <c:pt idx="0">
                  <c:v>v4, vdc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Ard1_Turn1x_ESC1_G1b_T1a!$Q$2:$Q$13</c:f>
              <c:numCache>
                <c:formatCode>0</c:formatCode>
                <c:ptCount val="12"/>
                <c:pt idx="0" formatCode="General">
                  <c:v>0</c:v>
                </c:pt>
                <c:pt idx="1">
                  <c:v>5.9999999999999995E-25</c:v>
                </c:pt>
                <c:pt idx="2">
                  <c:v>4545.454545454546</c:v>
                </c:pt>
                <c:pt idx="3">
                  <c:v>6000.0000000000009</c:v>
                </c:pt>
                <c:pt idx="4">
                  <c:v>8000.0000000000009</c:v>
                </c:pt>
                <c:pt idx="5">
                  <c:v>10752.688172043012</c:v>
                </c:pt>
                <c:pt idx="6">
                  <c:v>15957.44680851064</c:v>
                </c:pt>
                <c:pt idx="7">
                  <c:v>21352.313167259788</c:v>
                </c:pt>
                <c:pt idx="8">
                  <c:v>23437.500000000004</c:v>
                </c:pt>
                <c:pt idx="9">
                  <c:v>24193.548387096776</c:v>
                </c:pt>
                <c:pt idx="10">
                  <c:v>29411.764705882353</c:v>
                </c:pt>
                <c:pt idx="11">
                  <c:v>37037.037037037036</c:v>
                </c:pt>
              </c:numCache>
            </c:numRef>
          </c:xVal>
          <c:yVal>
            <c:numRef>
              <c:f>Ard1_Turn1x_ESC1_G1b_T1a!$AV$2:$AV$13</c:f>
              <c:numCache>
                <c:formatCode>General</c:formatCode>
                <c:ptCount val="12"/>
                <c:pt idx="0">
                  <c:v>3.2000000000000002E-3</c:v>
                </c:pt>
                <c:pt idx="1">
                  <c:v>4.5999999999999999E-3</c:v>
                </c:pt>
                <c:pt idx="2">
                  <c:v>0.23799999999999999</c:v>
                </c:pt>
                <c:pt idx="3">
                  <c:v>0.434</c:v>
                </c:pt>
                <c:pt idx="4">
                  <c:v>0.58599999999999997</c:v>
                </c:pt>
                <c:pt idx="5">
                  <c:v>0.79300000000000004</c:v>
                </c:pt>
                <c:pt idx="6">
                  <c:v>1.175</c:v>
                </c:pt>
                <c:pt idx="7">
                  <c:v>1.6240000000000001</c:v>
                </c:pt>
                <c:pt idx="8">
                  <c:v>1.786</c:v>
                </c:pt>
                <c:pt idx="9">
                  <c:v>1.8420000000000001</c:v>
                </c:pt>
                <c:pt idx="10">
                  <c:v>2.19</c:v>
                </c:pt>
                <c:pt idx="11">
                  <c:v>2.66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FD-4028-BE5B-2EE07E277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08456"/>
        <c:axId val="180402184"/>
      </c:scatterChart>
      <c:valAx>
        <c:axId val="180408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02184"/>
        <c:crosses val="autoZero"/>
        <c:crossBetween val="midCat"/>
      </c:valAx>
      <c:valAx>
        <c:axId val="18040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08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Ard2_Turn2_ESC2_G2b_T2a!$Q$1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Ard2_Turn2_ESC2_G2b_T2a!$P$4:$P$13</c:f>
              <c:numCache>
                <c:formatCode>0</c:formatCode>
                <c:ptCount val="10"/>
                <c:pt idx="0">
                  <c:v>9933.7748344370866</c:v>
                </c:pt>
                <c:pt idx="1">
                  <c:v>16129.032258064515</c:v>
                </c:pt>
                <c:pt idx="2">
                  <c:v>17341.040462427747</c:v>
                </c:pt>
                <c:pt idx="3">
                  <c:v>18867.92452830189</c:v>
                </c:pt>
                <c:pt idx="4">
                  <c:v>24193.548387096776</c:v>
                </c:pt>
                <c:pt idx="5">
                  <c:v>30150.753768844224</c:v>
                </c:pt>
                <c:pt idx="6">
                  <c:v>35294.117647058825</c:v>
                </c:pt>
                <c:pt idx="7">
                  <c:v>38709.677419354841</c:v>
                </c:pt>
                <c:pt idx="8">
                  <c:v>41958.041958041955</c:v>
                </c:pt>
                <c:pt idx="9">
                  <c:v>44444.444444444445</c:v>
                </c:pt>
              </c:numCache>
            </c:numRef>
          </c:xVal>
          <c:yVal>
            <c:numRef>
              <c:f>Ard2_Turn2_ESC2_G2b_T2a!$Q$4:$Q$13</c:f>
              <c:numCache>
                <c:formatCode>0</c:formatCode>
                <c:ptCount val="10"/>
                <c:pt idx="0">
                  <c:v>3125</c:v>
                </c:pt>
                <c:pt idx="1">
                  <c:v>9316.7701863354032</c:v>
                </c:pt>
                <c:pt idx="2">
                  <c:v>10752.688172043012</c:v>
                </c:pt>
                <c:pt idx="3">
                  <c:v>12145.748987854251</c:v>
                </c:pt>
                <c:pt idx="4">
                  <c:v>17543.859649122809</c:v>
                </c:pt>
                <c:pt idx="5">
                  <c:v>22641.509433962266</c:v>
                </c:pt>
                <c:pt idx="6">
                  <c:v>27586.206896551725</c:v>
                </c:pt>
                <c:pt idx="7">
                  <c:v>30690.537084398977</c:v>
                </c:pt>
                <c:pt idx="8">
                  <c:v>33333.333333333336</c:v>
                </c:pt>
                <c:pt idx="9">
                  <c:v>35294.117647058825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869-4BED-8725-4EC759345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01400"/>
        <c:axId val="180402576"/>
      </c:scatterChart>
      <c:valAx>
        <c:axId val="180401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0402576"/>
        <c:crosses val="autoZero"/>
        <c:crossBetween val="midCat"/>
      </c:valAx>
      <c:valAx>
        <c:axId val="18040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0401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Ard2_Turn2_ESC2_G2b_T2a!$L$4:$L$13</c:f>
              <c:numCache>
                <c:formatCode>General</c:formatCode>
                <c:ptCount val="10"/>
                <c:pt idx="0">
                  <c:v>12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50</c:v>
                </c:pt>
                <c:pt idx="5">
                  <c:v>78</c:v>
                </c:pt>
                <c:pt idx="6">
                  <c:v>115</c:v>
                </c:pt>
                <c:pt idx="7">
                  <c:v>140</c:v>
                </c:pt>
                <c:pt idx="8">
                  <c:v>155</c:v>
                </c:pt>
                <c:pt idx="9">
                  <c:v>180</c:v>
                </c:pt>
              </c:numCache>
            </c:numRef>
          </c:xVal>
          <c:yVal>
            <c:numRef>
              <c:f>Ard2_Turn2_ESC2_G2b_T2a!$R$4:$R$13</c:f>
              <c:numCache>
                <c:formatCode>0</c:formatCode>
                <c:ptCount val="10"/>
                <c:pt idx="0">
                  <c:v>21.557671081677704</c:v>
                </c:pt>
                <c:pt idx="1">
                  <c:v>35.002240143369171</c:v>
                </c:pt>
                <c:pt idx="2">
                  <c:v>37.632466281310215</c:v>
                </c:pt>
                <c:pt idx="3">
                  <c:v>40.946016771488473</c:v>
                </c:pt>
                <c:pt idx="4">
                  <c:v>52.503360215053767</c:v>
                </c:pt>
                <c:pt idx="5">
                  <c:v>65.431323283082079</c:v>
                </c:pt>
                <c:pt idx="6">
                  <c:v>76.593137254901961</c:v>
                </c:pt>
                <c:pt idx="7">
                  <c:v>84.005376344086031</c:v>
                </c:pt>
                <c:pt idx="8">
                  <c:v>91.054778554778551</c:v>
                </c:pt>
                <c:pt idx="9">
                  <c:v>96.450617283950621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D9-4324-B90D-E6BFAF818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02968"/>
        <c:axId val="180403752"/>
      </c:scatterChart>
      <c:scatterChart>
        <c:scatterStyle val="lineMarker"/>
        <c:varyColors val="0"/>
        <c:ser>
          <c:idx val="1"/>
          <c:order val="1"/>
          <c:tx>
            <c:strRef>
              <c:f>Ard2_Turn2_ESC2_G2b_T2a!$U$1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Ard2_Turn2_ESC2_G2b_T2a!$L$3:$L$13</c:f>
              <c:numCache>
                <c:formatCode>General</c:formatCode>
                <c:ptCount val="11"/>
                <c:pt idx="0">
                  <c:v>9</c:v>
                </c:pt>
                <c:pt idx="1">
                  <c:v>12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50</c:v>
                </c:pt>
                <c:pt idx="6">
                  <c:v>78</c:v>
                </c:pt>
                <c:pt idx="7">
                  <c:v>115</c:v>
                </c:pt>
                <c:pt idx="8">
                  <c:v>140</c:v>
                </c:pt>
                <c:pt idx="9">
                  <c:v>155</c:v>
                </c:pt>
                <c:pt idx="10">
                  <c:v>180</c:v>
                </c:pt>
              </c:numCache>
            </c:numRef>
          </c:xVal>
          <c:yVal>
            <c:numRef>
              <c:f>Ard2_Turn2_ESC2_G2b_T2a!$U$3:$U$13</c:f>
              <c:numCache>
                <c:formatCode>0.00</c:formatCode>
                <c:ptCount val="11"/>
                <c:pt idx="0">
                  <c:v>4.758</c:v>
                </c:pt>
                <c:pt idx="1">
                  <c:v>5.3635999999999999</c:v>
                </c:pt>
                <c:pt idx="2">
                  <c:v>13.752099999999999</c:v>
                </c:pt>
                <c:pt idx="3">
                  <c:v>16.172800000000002</c:v>
                </c:pt>
                <c:pt idx="4">
                  <c:v>19.541119999999999</c:v>
                </c:pt>
                <c:pt idx="5">
                  <c:v>35.724499999999999</c:v>
                </c:pt>
                <c:pt idx="6">
                  <c:v>61.88559999999999</c:v>
                </c:pt>
                <c:pt idx="7">
                  <c:v>94.325999999999993</c:v>
                </c:pt>
                <c:pt idx="8">
                  <c:v>120.2604</c:v>
                </c:pt>
                <c:pt idx="9">
                  <c:v>143.82480000000001</c:v>
                </c:pt>
                <c:pt idx="10">
                  <c:v>167.55419999999998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6D9-4324-B90D-E6BFAF818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52816"/>
        <c:axId val="180404144"/>
      </c:scatterChart>
      <c:valAx>
        <c:axId val="180402968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0403752"/>
        <c:crossesAt val="-40"/>
        <c:crossBetween val="midCat"/>
        <c:majorUnit val="20"/>
      </c:valAx>
      <c:valAx>
        <c:axId val="18040375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0402968"/>
        <c:crosses val="autoZero"/>
        <c:crossBetween val="midCat"/>
      </c:valAx>
      <c:valAx>
        <c:axId val="180404144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952816"/>
        <c:crosses val="max"/>
        <c:crossBetween val="midCat"/>
        <c:majorUnit val="40"/>
      </c:valAx>
      <c:valAx>
        <c:axId val="19395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040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Ard2_Turn2_ESC2_G2b_T2a!$R$3:$R$13</c:f>
              <c:numCache>
                <c:formatCode>0</c:formatCode>
                <c:ptCount val="11"/>
                <c:pt idx="0">
                  <c:v>18.601190476190478</c:v>
                </c:pt>
                <c:pt idx="1">
                  <c:v>21.557671081677704</c:v>
                </c:pt>
                <c:pt idx="2">
                  <c:v>35.002240143369171</c:v>
                </c:pt>
                <c:pt idx="3">
                  <c:v>37.632466281310215</c:v>
                </c:pt>
                <c:pt idx="4">
                  <c:v>40.946016771488473</c:v>
                </c:pt>
                <c:pt idx="5">
                  <c:v>52.503360215053767</c:v>
                </c:pt>
                <c:pt idx="6">
                  <c:v>65.431323283082079</c:v>
                </c:pt>
                <c:pt idx="7">
                  <c:v>76.593137254901961</c:v>
                </c:pt>
                <c:pt idx="8">
                  <c:v>84.005376344086031</c:v>
                </c:pt>
                <c:pt idx="9">
                  <c:v>91.054778554778551</c:v>
                </c:pt>
                <c:pt idx="10">
                  <c:v>96.450617283950621</c:v>
                </c:pt>
              </c:numCache>
            </c:numRef>
          </c:xVal>
          <c:yVal>
            <c:numRef>
              <c:f>Ard2_Turn2_ESC2_G2b_T2a!$W$3:$W$13</c:f>
              <c:numCache>
                <c:formatCode>0.0000</c:formatCode>
                <c:ptCount val="11"/>
                <c:pt idx="0">
                  <c:v>5.5448309451600003E-3</c:v>
                </c:pt>
                <c:pt idx="1">
                  <c:v>6.3569538683600005E-3</c:v>
                </c:pt>
                <c:pt idx="2">
                  <c:v>1.7606116915360001E-2</c:v>
                </c:pt>
                <c:pt idx="3">
                  <c:v>2.0852328870760006E-2</c:v>
                </c:pt>
                <c:pt idx="4">
                  <c:v>2.53693200938E-2</c:v>
                </c:pt>
                <c:pt idx="5">
                  <c:v>4.707158870816E-2</c:v>
                </c:pt>
                <c:pt idx="6">
                  <c:v>8.2154199352359986E-2</c:v>
                </c:pt>
                <c:pt idx="7">
                  <c:v>0.12565748944116001</c:v>
                </c:pt>
                <c:pt idx="8">
                  <c:v>0.16043609039796</c:v>
                </c:pt>
                <c:pt idx="9">
                  <c:v>0.19203646921476003</c:v>
                </c:pt>
                <c:pt idx="10">
                  <c:v>0.22385811666156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F7-4A59-B74F-CBEBCE854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55952"/>
        <c:axId val="193952424"/>
      </c:scatterChart>
      <c:valAx>
        <c:axId val="19395595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3952424"/>
        <c:crosses val="autoZero"/>
        <c:crossBetween val="midCat"/>
      </c:valAx>
      <c:valAx>
        <c:axId val="193952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193955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Ard2_Turn2_ESC2_G2b_T2a!$L$3:$L$13</c:f>
              <c:numCache>
                <c:formatCode>General</c:formatCode>
                <c:ptCount val="11"/>
                <c:pt idx="0">
                  <c:v>9</c:v>
                </c:pt>
                <c:pt idx="1">
                  <c:v>12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50</c:v>
                </c:pt>
                <c:pt idx="6">
                  <c:v>78</c:v>
                </c:pt>
                <c:pt idx="7">
                  <c:v>115</c:v>
                </c:pt>
                <c:pt idx="8">
                  <c:v>140</c:v>
                </c:pt>
                <c:pt idx="9">
                  <c:v>155</c:v>
                </c:pt>
                <c:pt idx="10">
                  <c:v>180</c:v>
                </c:pt>
              </c:numCache>
            </c:numRef>
          </c:xVal>
          <c:yVal>
            <c:numRef>
              <c:f>Ard2_Turn2_ESC2_G2b_T2a!$P$3:$P$13</c:f>
              <c:numCache>
                <c:formatCode>0</c:formatCode>
                <c:ptCount val="11"/>
                <c:pt idx="0">
                  <c:v>8571.4285714285725</c:v>
                </c:pt>
                <c:pt idx="1">
                  <c:v>9933.7748344370866</c:v>
                </c:pt>
                <c:pt idx="2">
                  <c:v>16129.032258064515</c:v>
                </c:pt>
                <c:pt idx="3">
                  <c:v>17341.040462427747</c:v>
                </c:pt>
                <c:pt idx="4">
                  <c:v>18867.92452830189</c:v>
                </c:pt>
                <c:pt idx="5">
                  <c:v>24193.548387096776</c:v>
                </c:pt>
                <c:pt idx="6">
                  <c:v>30150.753768844224</c:v>
                </c:pt>
                <c:pt idx="7">
                  <c:v>35294.117647058825</c:v>
                </c:pt>
                <c:pt idx="8">
                  <c:v>38709.677419354841</c:v>
                </c:pt>
                <c:pt idx="9">
                  <c:v>41958.041958041955</c:v>
                </c:pt>
                <c:pt idx="10">
                  <c:v>44444.444444444445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019-4E4F-B39C-4AD173DA7DA7}"/>
            </c:ext>
          </c:extLst>
        </c:ser>
        <c:ser>
          <c:idx val="1"/>
          <c:order val="1"/>
          <c:tx>
            <c:strRef>
              <c:f>Ard2_Turn2_ESC2_G2b_T2a!$AJ$1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Ard2_Turn2_ESC2_G2b_T2a!$D$3:$D$13</c:f>
              <c:numCache>
                <c:formatCode>General</c:formatCode>
                <c:ptCount val="11"/>
                <c:pt idx="0">
                  <c:v>9</c:v>
                </c:pt>
                <c:pt idx="1">
                  <c:v>12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50</c:v>
                </c:pt>
                <c:pt idx="6">
                  <c:v>78</c:v>
                </c:pt>
                <c:pt idx="7">
                  <c:v>115</c:v>
                </c:pt>
                <c:pt idx="8">
                  <c:v>140</c:v>
                </c:pt>
                <c:pt idx="9">
                  <c:v>155</c:v>
                </c:pt>
                <c:pt idx="10">
                  <c:v>180</c:v>
                </c:pt>
              </c:numCache>
            </c:numRef>
          </c:xVal>
          <c:yVal>
            <c:numRef>
              <c:f>Ard2_Turn2_ESC2_G2b_T2a!$AJ$3:$AJ$13</c:f>
              <c:numCache>
                <c:formatCode>0.00</c:formatCode>
                <c:ptCount val="11"/>
                <c:pt idx="0">
                  <c:v>5341.5559957732476</c:v>
                </c:pt>
                <c:pt idx="1">
                  <c:v>8834.8987683306477</c:v>
                </c:pt>
                <c:pt idx="2">
                  <c:v>17251.831644582377</c:v>
                </c:pt>
                <c:pt idx="3">
                  <c:v>19123.693727158348</c:v>
                </c:pt>
                <c:pt idx="4">
                  <c:v>20745.174417139777</c:v>
                </c:pt>
                <c:pt idx="5">
                  <c:v>26164.468748432828</c:v>
                </c:pt>
                <c:pt idx="6">
                  <c:v>31564.318612288345</c:v>
                </c:pt>
                <c:pt idx="7">
                  <c:v>36278.540299728964</c:v>
                </c:pt>
                <c:pt idx="8">
                  <c:v>38667.206645308324</c:v>
                </c:pt>
                <c:pt idx="9">
                  <c:v>39903.160754331417</c:v>
                </c:pt>
                <c:pt idx="10">
                  <c:v>41718.934666426678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019-4E4F-B39C-4AD173DA7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51640"/>
        <c:axId val="193950856"/>
      </c:scatterChart>
      <c:valAx>
        <c:axId val="193951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950856"/>
        <c:crosses val="autoZero"/>
        <c:crossBetween val="midCat"/>
      </c:valAx>
      <c:valAx>
        <c:axId val="1939508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951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Ard2_Turn2_ESC2_G2b_T2a!$P$3:$P$13</c:f>
              <c:numCache>
                <c:formatCode>0</c:formatCode>
                <c:ptCount val="11"/>
                <c:pt idx="0">
                  <c:v>8571.4285714285725</c:v>
                </c:pt>
                <c:pt idx="1">
                  <c:v>9933.7748344370866</c:v>
                </c:pt>
                <c:pt idx="2">
                  <c:v>16129.032258064515</c:v>
                </c:pt>
                <c:pt idx="3">
                  <c:v>17341.040462427747</c:v>
                </c:pt>
                <c:pt idx="4">
                  <c:v>18867.92452830189</c:v>
                </c:pt>
                <c:pt idx="5">
                  <c:v>24193.548387096776</c:v>
                </c:pt>
                <c:pt idx="6">
                  <c:v>30150.753768844224</c:v>
                </c:pt>
                <c:pt idx="7">
                  <c:v>35294.117647058825</c:v>
                </c:pt>
                <c:pt idx="8">
                  <c:v>38709.677419354841</c:v>
                </c:pt>
                <c:pt idx="9">
                  <c:v>41958.041958041955</c:v>
                </c:pt>
                <c:pt idx="10">
                  <c:v>44444.444444444445</c:v>
                </c:pt>
              </c:numCache>
            </c:numRef>
          </c:xVal>
          <c:yVal>
            <c:numRef>
              <c:f>Ard2_Turn2_ESC2_G2b_T2a!$Y$3:$Y$13</c:f>
              <c:numCache>
                <c:formatCode>0.00000</c:formatCode>
                <c:ptCount val="11"/>
                <c:pt idx="0">
                  <c:v>0</c:v>
                </c:pt>
                <c:pt idx="1">
                  <c:v>-3.6572761657280555E-5</c:v>
                </c:pt>
                <c:pt idx="2">
                  <c:v>2.3354714666494816E-3</c:v>
                </c:pt>
                <c:pt idx="3">
                  <c:v>2.9179447864213148E-3</c:v>
                </c:pt>
                <c:pt idx="4">
                  <c:v>3.6641997162320875E-3</c:v>
                </c:pt>
                <c:pt idx="5">
                  <c:v>6.8209232532062229E-3</c:v>
                </c:pt>
                <c:pt idx="6">
                  <c:v>1.0913046776322351E-2</c:v>
                </c:pt>
                <c:pt idx="7">
                  <c:v>1.5301169397643177E-2</c:v>
                </c:pt>
                <c:pt idx="8">
                  <c:v>1.8369931210429513E-2</c:v>
                </c:pt>
                <c:pt idx="9">
                  <c:v>2.0640214201065051E-2</c:v>
                </c:pt>
                <c:pt idx="10">
                  <c:v>2.3055810898098841E-2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AA5-4A54-AFF1-993DAF9D7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54384"/>
        <c:axId val="193953208"/>
      </c:scatterChart>
      <c:valAx>
        <c:axId val="193954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3953208"/>
        <c:crosses val="autoZero"/>
        <c:crossBetween val="midCat"/>
      </c:valAx>
      <c:valAx>
        <c:axId val="193953208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1939543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Ard2_Turn2_ESC2_G2b_T2a!$E$5:$E$13</c:f>
              <c:numCache>
                <c:formatCode>General</c:formatCode>
                <c:ptCount val="9"/>
                <c:pt idx="0">
                  <c:v>0.72499999999999998</c:v>
                </c:pt>
                <c:pt idx="1">
                  <c:v>0.81899999999999995</c:v>
                </c:pt>
                <c:pt idx="2">
                  <c:v>0.94799999999999995</c:v>
                </c:pt>
                <c:pt idx="3">
                  <c:v>1.343</c:v>
                </c:pt>
                <c:pt idx="4">
                  <c:v>1.74</c:v>
                </c:pt>
                <c:pt idx="5">
                  <c:v>2.08</c:v>
                </c:pt>
                <c:pt idx="6">
                  <c:v>2.2999999999999998</c:v>
                </c:pt>
                <c:pt idx="7">
                  <c:v>2.71</c:v>
                </c:pt>
                <c:pt idx="8">
                  <c:v>3.57</c:v>
                </c:pt>
              </c:numCache>
            </c:numRef>
          </c:xVal>
          <c:yVal>
            <c:numRef>
              <c:f>Ard2_Turn2_ESC2_G2b_T2a!$Q$5:$Q$13</c:f>
              <c:numCache>
                <c:formatCode>0</c:formatCode>
                <c:ptCount val="9"/>
                <c:pt idx="0">
                  <c:v>9316.7701863354032</c:v>
                </c:pt>
                <c:pt idx="1">
                  <c:v>10752.688172043012</c:v>
                </c:pt>
                <c:pt idx="2">
                  <c:v>12145.748987854251</c:v>
                </c:pt>
                <c:pt idx="3">
                  <c:v>17543.859649122809</c:v>
                </c:pt>
                <c:pt idx="4">
                  <c:v>22641.509433962266</c:v>
                </c:pt>
                <c:pt idx="5">
                  <c:v>27586.206896551725</c:v>
                </c:pt>
                <c:pt idx="6">
                  <c:v>30690.537084398977</c:v>
                </c:pt>
                <c:pt idx="7">
                  <c:v>33333.333333333336</c:v>
                </c:pt>
                <c:pt idx="8">
                  <c:v>35294.117647058825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6C2-4867-BD21-4D3FC20E6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52032"/>
        <c:axId val="193953600"/>
      </c:scatterChart>
      <c:valAx>
        <c:axId val="19395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953600"/>
        <c:crosses val="autoZero"/>
        <c:crossBetween val="midCat"/>
      </c:valAx>
      <c:valAx>
        <c:axId val="19395360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939520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Ard2_Turn2_ESC2_G2b_T2a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Ard2_Turn2_ESC2_G2b_T2a!$K$38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Ard2_Turn2_ESC2_G2b_T2a!$I$40:$I$43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20</c:v>
                </c:pt>
              </c:numCache>
            </c:numRef>
          </c:xVal>
          <c:yVal>
            <c:numRef>
              <c:f>Ard2_Turn2_ESC2_G2b_T2a!$K$40:$K$43</c:f>
              <c:numCache>
                <c:formatCode>0.000</c:formatCode>
                <c:ptCount val="4"/>
                <c:pt idx="0">
                  <c:v>0.04</c:v>
                </c:pt>
                <c:pt idx="1">
                  <c:v>8.8999999999999996E-2</c:v>
                </c:pt>
                <c:pt idx="2">
                  <c:v>0.28100000000000003</c:v>
                </c:pt>
                <c:pt idx="3">
                  <c:v>0.38600000000000001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77-49F3-8A40-921F546145AC}"/>
            </c:ext>
          </c:extLst>
        </c:ser>
        <c:ser>
          <c:idx val="1"/>
          <c:order val="1"/>
          <c:tx>
            <c:strRef>
              <c:f>Ard2_Turn2_ESC2_G2b_T2a!$AU$1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Ard2_Turn2_ESC2_G2b_T2a!$AN$6:$AN$13</c:f>
              <c:numCache>
                <c:formatCode>0.0</c:formatCode>
                <c:ptCount val="8"/>
                <c:pt idx="0">
                  <c:v>26.594292280271613</c:v>
                </c:pt>
                <c:pt idx="1">
                  <c:v>29.871030033381423</c:v>
                </c:pt>
                <c:pt idx="2">
                  <c:v>40.822505706375907</c:v>
                </c:pt>
                <c:pt idx="3">
                  <c:v>51.734687405081729</c:v>
                </c:pt>
                <c:pt idx="4">
                  <c:v>61.261330722642697</c:v>
                </c:pt>
                <c:pt idx="5">
                  <c:v>66.088420704350938</c:v>
                </c:pt>
                <c:pt idx="6">
                  <c:v>68.586074555654932</c:v>
                </c:pt>
                <c:pt idx="7">
                  <c:v>72.255445992290788</c:v>
                </c:pt>
              </c:numCache>
            </c:numRef>
          </c:xVal>
          <c:yVal>
            <c:numRef>
              <c:f>Ard2_Turn2_ESC2_G2b_T2a!$AU$6:$AU$13</c:f>
              <c:numCache>
                <c:formatCode>0.000</c:formatCode>
                <c:ptCount val="8"/>
                <c:pt idx="0">
                  <c:v>0.28731514975327521</c:v>
                </c:pt>
                <c:pt idx="1">
                  <c:v>0.23309415276834272</c:v>
                </c:pt>
                <c:pt idx="2">
                  <c:v>0.13572463909186985</c:v>
                </c:pt>
                <c:pt idx="3">
                  <c:v>8.8999999999999996E-2</c:v>
                </c:pt>
                <c:pt idx="4">
                  <c:v>6.7106187862222805E-2</c:v>
                </c:pt>
                <c:pt idx="5">
                  <c:v>5.7172787858875355E-2</c:v>
                </c:pt>
                <c:pt idx="6">
                  <c:v>4.9846190804236197E-2</c:v>
                </c:pt>
                <c:pt idx="7">
                  <c:v>4.2608173379647493E-2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777-49F3-8A40-921F54614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55168"/>
        <c:axId val="193956344"/>
      </c:scatterChart>
      <c:valAx>
        <c:axId val="193955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956344"/>
        <c:crosses val="autoZero"/>
        <c:crossBetween val="midCat"/>
      </c:valAx>
      <c:valAx>
        <c:axId val="193956344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3955168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Constant Comparison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Ard1_Turn1x_ESC1_G1b_T1a!$K$38</c:f>
              <c:strCache>
                <c:ptCount val="1"/>
                <c:pt idx="0">
                  <c:v>Meas TauT1, 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Ard1_Turn1x_ESC1_G1b_T1a!$I$39:$I$44</c:f>
              <c:numCache>
                <c:formatCode>General</c:formatCode>
                <c:ptCount val="6"/>
                <c:pt idx="0" formatCode="0.0">
                  <c:v>68.268656716417908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16</c:v>
                </c:pt>
                <c:pt idx="5" formatCode="0.0">
                  <c:v>12.63225806451613</c:v>
                </c:pt>
              </c:numCache>
            </c:numRef>
          </c:xVal>
          <c:yVal>
            <c:numRef>
              <c:f>Ard1_Turn1x_ESC1_G1b_T1a!$K$39:$K$44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0.03</c:v>
                </c:pt>
                <c:pt idx="2">
                  <c:v>9.7000000000000003E-2</c:v>
                </c:pt>
                <c:pt idx="3">
                  <c:v>0.28699999999999998</c:v>
                </c:pt>
                <c:pt idx="4">
                  <c:v>0.442</c:v>
                </c:pt>
                <c:pt idx="5" formatCode="General">
                  <c:v>0.5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C4-4D6C-ABF9-953DABCF21DD}"/>
            </c:ext>
          </c:extLst>
        </c:ser>
        <c:ser>
          <c:idx val="1"/>
          <c:order val="1"/>
          <c:tx>
            <c:strRef>
              <c:f>Ard1_Turn1x_ESC1_G1b_T1a!$K$38</c:f>
              <c:strCache>
                <c:ptCount val="1"/>
                <c:pt idx="0">
                  <c:v>Meas TauT1, 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Ard1_Turn1x_ESC1_G1b_T1a!$J$39:$J$44</c:f>
              <c:numCache>
                <c:formatCode>0.0</c:formatCode>
                <c:ptCount val="6"/>
                <c:pt idx="0">
                  <c:v>82.745323089669455</c:v>
                </c:pt>
                <c:pt idx="1">
                  <c:v>76.333110127697495</c:v>
                </c:pt>
                <c:pt idx="2">
                  <c:v>62.012501179293423</c:v>
                </c:pt>
                <c:pt idx="3">
                  <c:v>38.485786478343883</c:v>
                </c:pt>
                <c:pt idx="4">
                  <c:v>29.279680725798411</c:v>
                </c:pt>
                <c:pt idx="5">
                  <c:v>25.834815347426559</c:v>
                </c:pt>
              </c:numCache>
            </c:numRef>
          </c:xVal>
          <c:yVal>
            <c:numRef>
              <c:f>Ard1_Turn1x_ESC1_G1b_T1a!$K$39:$K$44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0.03</c:v>
                </c:pt>
                <c:pt idx="2">
                  <c:v>9.7000000000000003E-2</c:v>
                </c:pt>
                <c:pt idx="3">
                  <c:v>0.28699999999999998</c:v>
                </c:pt>
                <c:pt idx="4">
                  <c:v>0.442</c:v>
                </c:pt>
                <c:pt idx="5" formatCode="General">
                  <c:v>0.5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4C4-4D6C-ABF9-953DABCF21DD}"/>
            </c:ext>
          </c:extLst>
        </c:ser>
        <c:ser>
          <c:idx val="2"/>
          <c:order val="2"/>
          <c:tx>
            <c:strRef>
              <c:f>Ard2_Turn2_ESC2_G2b_T2a!$K$38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Ard2_Turn2_ESC2_G2b_T2a!$I$39:$I$44</c:f>
              <c:numCache>
                <c:formatCode>General</c:formatCode>
                <c:ptCount val="6"/>
                <c:pt idx="0" formatCode="0.0">
                  <c:v>73.428571428571431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 formatCode="0.0">
                  <c:v>14.571428571428571</c:v>
                </c:pt>
              </c:numCache>
            </c:numRef>
          </c:xVal>
          <c:yVal>
            <c:numRef>
              <c:f>Ard2_Turn2_ESC2_G2b_T2a!$K$39:$K$44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0.04</c:v>
                </c:pt>
                <c:pt idx="2">
                  <c:v>8.8999999999999996E-2</c:v>
                </c:pt>
                <c:pt idx="3">
                  <c:v>0.28100000000000003</c:v>
                </c:pt>
                <c:pt idx="4">
                  <c:v>0.38600000000000001</c:v>
                </c:pt>
                <c:pt idx="5" formatCode="General">
                  <c:v>0.5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4C4-4D6C-ABF9-953DABCF21DD}"/>
            </c:ext>
          </c:extLst>
        </c:ser>
        <c:ser>
          <c:idx val="3"/>
          <c:order val="3"/>
          <c:tx>
            <c:strRef>
              <c:f>Ard2_Turn2_ESC2_G2b_T2a!$K$38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Ard2_Turn2_ESC2_G2b_T2a!$J$39:$J$44</c:f>
              <c:numCache>
                <c:formatCode>0.0</c:formatCode>
                <c:ptCount val="6"/>
                <c:pt idx="0">
                  <c:v>91.763321955226317</c:v>
                </c:pt>
                <c:pt idx="1">
                  <c:v>79.502892729656168</c:v>
                </c:pt>
                <c:pt idx="2">
                  <c:v>64.483866928332702</c:v>
                </c:pt>
                <c:pt idx="3">
                  <c:v>39.809753111872752</c:v>
                </c:pt>
                <c:pt idx="4">
                  <c:v>34.445815325685807</c:v>
                </c:pt>
                <c:pt idx="5">
                  <c:v>28.622111443539978</c:v>
                </c:pt>
              </c:numCache>
            </c:numRef>
          </c:xVal>
          <c:yVal>
            <c:numRef>
              <c:f>Ard2_Turn2_ESC2_G2b_T2a!$K$39:$K$44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0.04</c:v>
                </c:pt>
                <c:pt idx="2">
                  <c:v>8.8999999999999996E-2</c:v>
                </c:pt>
                <c:pt idx="3">
                  <c:v>0.28100000000000003</c:v>
                </c:pt>
                <c:pt idx="4">
                  <c:v>0.38600000000000001</c:v>
                </c:pt>
                <c:pt idx="5" formatCode="General">
                  <c:v>0.5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4C4-4D6C-ABF9-953DABCF21DD}"/>
            </c:ext>
          </c:extLst>
        </c:ser>
        <c:ser>
          <c:idx val="4"/>
          <c:order val="4"/>
          <c:tx>
            <c:strRef>
              <c:f>Ard3_Turn3_ESC3_G3b_T3a!$K$39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Ard3_Turn3_ESC3_G3b_T3a!$I$40:$I$45</c:f>
              <c:numCache>
                <c:formatCode>General</c:formatCode>
                <c:ptCount val="6"/>
                <c:pt idx="0" formatCode="0.0">
                  <c:v>76.913043478260875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16</c:v>
                </c:pt>
                <c:pt idx="5" formatCode="0.0">
                  <c:v>12.944444444444445</c:v>
                </c:pt>
              </c:numCache>
            </c:numRef>
          </c:xVal>
          <c:yVal>
            <c:numRef>
              <c:f>Ard3_Turn3_ESC3_G3b_T3a!$K$40:$K$45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4.9000000000000002E-2</c:v>
                </c:pt>
                <c:pt idx="2">
                  <c:v>9.5000000000000001E-2</c:v>
                </c:pt>
                <c:pt idx="3">
                  <c:v>0.28299999999999997</c:v>
                </c:pt>
                <c:pt idx="4">
                  <c:v>0.44500000000000001</c:v>
                </c:pt>
                <c:pt idx="5" formatCode="General">
                  <c:v>0.5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4C4-4D6C-ABF9-953DABCF21DD}"/>
            </c:ext>
          </c:extLst>
        </c:ser>
        <c:ser>
          <c:idx val="5"/>
          <c:order val="5"/>
          <c:tx>
            <c:strRef>
              <c:f>Ard3_Turn3_ESC3_G3b_T3a!$K$39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Ard3_Turn3_ESC3_G3b_T3a!$J$40:$J$45</c:f>
              <c:numCache>
                <c:formatCode>0.0</c:formatCode>
                <c:ptCount val="6"/>
                <c:pt idx="0">
                  <c:v>94.180507611575763</c:v>
                </c:pt>
                <c:pt idx="1">
                  <c:v>78.613865839269394</c:v>
                </c:pt>
                <c:pt idx="2">
                  <c:v>64.000283767308289</c:v>
                </c:pt>
                <c:pt idx="3">
                  <c:v>39.992256077657927</c:v>
                </c:pt>
                <c:pt idx="4">
                  <c:v>30.597810459968649</c:v>
                </c:pt>
                <c:pt idx="5">
                  <c:v>27.408338182358097</c:v>
                </c:pt>
              </c:numCache>
            </c:numRef>
          </c:xVal>
          <c:yVal>
            <c:numRef>
              <c:f>Ard3_Turn3_ESC3_G3b_T3a!$K$40:$K$45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4.9000000000000002E-2</c:v>
                </c:pt>
                <c:pt idx="2">
                  <c:v>9.5000000000000001E-2</c:v>
                </c:pt>
                <c:pt idx="3">
                  <c:v>0.28299999999999997</c:v>
                </c:pt>
                <c:pt idx="4">
                  <c:v>0.44500000000000001</c:v>
                </c:pt>
                <c:pt idx="5" formatCode="General">
                  <c:v>0.5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B4C4-4D6C-ABF9-953DABCF21DD}"/>
            </c:ext>
          </c:extLst>
        </c:ser>
        <c:ser>
          <c:idx val="6"/>
          <c:order val="6"/>
          <c:tx>
            <c:strRef>
              <c:f>Ard4_Turn4_ESC4_G4b_T4a!$K$37</c:f>
              <c:strCache>
                <c:ptCount val="1"/>
                <c:pt idx="0">
                  <c:v>Meas TauT4, s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Ard4_Turn4_ESC4_G4b_T4a!$I$38:$I$43</c:f>
              <c:numCache>
                <c:formatCode>General</c:formatCode>
                <c:ptCount val="6"/>
                <c:pt idx="0" formatCode="0.0">
                  <c:v>72.945454545454538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16</c:v>
                </c:pt>
                <c:pt idx="5" formatCode="0.0">
                  <c:v>12.081632653061224</c:v>
                </c:pt>
              </c:numCache>
            </c:numRef>
          </c:xVal>
          <c:yVal>
            <c:numRef>
              <c:f>Ard4_Turn4_ESC4_G4b_T4a!$K$38:$K$43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4.2999999999999997E-2</c:v>
                </c:pt>
                <c:pt idx="2">
                  <c:v>9.8000000000000004E-2</c:v>
                </c:pt>
                <c:pt idx="3">
                  <c:v>0.28899999999999998</c:v>
                </c:pt>
                <c:pt idx="4">
                  <c:v>0.436</c:v>
                </c:pt>
                <c:pt idx="5" formatCode="General">
                  <c:v>0.5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B4C4-4D6C-ABF9-953DABCF21DD}"/>
            </c:ext>
          </c:extLst>
        </c:ser>
        <c:ser>
          <c:idx val="7"/>
          <c:order val="7"/>
          <c:tx>
            <c:strRef>
              <c:f>Ard4_Turn4_ESC4_G4b_T4a!$K$37</c:f>
              <c:strCache>
                <c:ptCount val="1"/>
                <c:pt idx="0">
                  <c:v>Meas TauT4, s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Ard4_Turn4_ESC4_G4b_T4a!$J$38:$J$43</c:f>
              <c:numCache>
                <c:formatCode>0.0</c:formatCode>
                <c:ptCount val="6"/>
                <c:pt idx="0">
                  <c:v>88.911215408699249</c:v>
                </c:pt>
                <c:pt idx="1">
                  <c:v>77.725299021912619</c:v>
                </c:pt>
                <c:pt idx="2">
                  <c:v>63.41773155044131</c:v>
                </c:pt>
                <c:pt idx="3">
                  <c:v>39.912442133024179</c:v>
                </c:pt>
                <c:pt idx="4">
                  <c:v>30.714720187078346</c:v>
                </c:pt>
                <c:pt idx="5">
                  <c:v>26.710269816054311</c:v>
                </c:pt>
              </c:numCache>
            </c:numRef>
          </c:xVal>
          <c:yVal>
            <c:numRef>
              <c:f>Ard4_Turn4_ESC4_G4b_T4a!$K$38:$K$43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4.2999999999999997E-2</c:v>
                </c:pt>
                <c:pt idx="2">
                  <c:v>9.8000000000000004E-2</c:v>
                </c:pt>
                <c:pt idx="3">
                  <c:v>0.28899999999999998</c:v>
                </c:pt>
                <c:pt idx="4">
                  <c:v>0.436</c:v>
                </c:pt>
                <c:pt idx="5" formatCode="General">
                  <c:v>0.5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B4C4-4D6C-ABF9-953DABCF21DD}"/>
            </c:ext>
          </c:extLst>
        </c:ser>
        <c:ser>
          <c:idx val="8"/>
          <c:order val="8"/>
          <c:tx>
            <c:strRef>
              <c:f>Ard0_Turn0_ESC0_G0b_T0a!$K$38</c:f>
              <c:strCache>
                <c:ptCount val="1"/>
                <c:pt idx="0">
                  <c:v>Meas TauT0, s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Ard0_Turn0_ESC0_G0b_T0a!$I$39:$I$44</c:f>
              <c:numCache>
                <c:formatCode>General</c:formatCode>
                <c:ptCount val="6"/>
                <c:pt idx="0" formatCode="0.0">
                  <c:v>83.875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16</c:v>
                </c:pt>
                <c:pt idx="5" formatCode="0.0">
                  <c:v>-26.622641509433969</c:v>
                </c:pt>
              </c:numCache>
            </c:numRef>
          </c:xVal>
          <c:yVal>
            <c:numRef>
              <c:f>Ard0_Turn0_ESC0_G0b_T0a!$K$39:$K$44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0.05</c:v>
                </c:pt>
                <c:pt idx="2">
                  <c:v>8.2000000000000003E-2</c:v>
                </c:pt>
                <c:pt idx="3">
                  <c:v>0.19600000000000001</c:v>
                </c:pt>
                <c:pt idx="4">
                  <c:v>0.249</c:v>
                </c:pt>
                <c:pt idx="5" formatCode="General">
                  <c:v>0.5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B4C4-4D6C-ABF9-953DABCF21DD}"/>
            </c:ext>
          </c:extLst>
        </c:ser>
        <c:ser>
          <c:idx val="9"/>
          <c:order val="9"/>
          <c:tx>
            <c:strRef>
              <c:f>Ard0_Turn0_ESC0_G0b_T0a!$K$38</c:f>
              <c:strCache>
                <c:ptCount val="1"/>
                <c:pt idx="0">
                  <c:v>Meas TauT0, s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Ard0_Turn0_ESC0_G0b_T0a!$J$39:$J$44</c:f>
              <c:numCache>
                <c:formatCode>0.0</c:formatCode>
                <c:ptCount val="6"/>
                <c:pt idx="0">
                  <c:v>106.95421431943859</c:v>
                </c:pt>
                <c:pt idx="1">
                  <c:v>83.87668416619394</c:v>
                </c:pt>
                <c:pt idx="2">
                  <c:v>69.107064868117362</c:v>
                </c:pt>
                <c:pt idx="3">
                  <c:v>44.842690306991543</c:v>
                </c:pt>
                <c:pt idx="4">
                  <c:v>35.347935043942314</c:v>
                </c:pt>
                <c:pt idx="5">
                  <c:v>-9.6177927112531076</c:v>
                </c:pt>
              </c:numCache>
            </c:numRef>
          </c:xVal>
          <c:yVal>
            <c:numRef>
              <c:f>Ard0_Turn0_ESC0_G0b_T0a!$K$39:$K$44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0.05</c:v>
                </c:pt>
                <c:pt idx="2">
                  <c:v>8.2000000000000003E-2</c:v>
                </c:pt>
                <c:pt idx="3">
                  <c:v>0.19600000000000001</c:v>
                </c:pt>
                <c:pt idx="4">
                  <c:v>0.249</c:v>
                </c:pt>
                <c:pt idx="5" formatCode="General">
                  <c:v>0.5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B4C4-4D6C-ABF9-953DABCF2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32608"/>
        <c:axId val="178932992"/>
      </c:scatterChart>
      <c:valAx>
        <c:axId val="17893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32992"/>
        <c:crosses val="autoZero"/>
        <c:crossBetween val="midCat"/>
      </c:valAx>
      <c:valAx>
        <c:axId val="17893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3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Ard2_Turn2_ESC2_G2b_T2a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Ard2_Turn2_ESC2_G2b_T2a!$K$38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Ard2_Turn2_ESC2_G2b_T2a!$I$40:$I$43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20</c:v>
                </c:pt>
              </c:numCache>
            </c:numRef>
          </c:xVal>
          <c:yVal>
            <c:numRef>
              <c:f>Ard2_Turn2_ESC2_G2b_T2a!$K$40:$K$43</c:f>
              <c:numCache>
                <c:formatCode>0.000</c:formatCode>
                <c:ptCount val="4"/>
                <c:pt idx="0">
                  <c:v>0.04</c:v>
                </c:pt>
                <c:pt idx="1">
                  <c:v>8.8999999999999996E-2</c:v>
                </c:pt>
                <c:pt idx="2">
                  <c:v>0.28100000000000003</c:v>
                </c:pt>
                <c:pt idx="3">
                  <c:v>0.38600000000000001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A3F-439B-B0E0-7469F3360F67}"/>
            </c:ext>
          </c:extLst>
        </c:ser>
        <c:ser>
          <c:idx val="1"/>
          <c:order val="1"/>
          <c:tx>
            <c:strRef>
              <c:f>Ard2_Turn2_ESC2_G2b_T2a!$AU$1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Ard2_Turn2_ESC2_G2b_T2a!$AN$6:$AN$13</c:f>
              <c:numCache>
                <c:formatCode>0.0</c:formatCode>
                <c:ptCount val="8"/>
                <c:pt idx="0">
                  <c:v>26.594292280271613</c:v>
                </c:pt>
                <c:pt idx="1">
                  <c:v>29.871030033381423</c:v>
                </c:pt>
                <c:pt idx="2">
                  <c:v>40.822505706375907</c:v>
                </c:pt>
                <c:pt idx="3">
                  <c:v>51.734687405081729</c:v>
                </c:pt>
                <c:pt idx="4">
                  <c:v>61.261330722642697</c:v>
                </c:pt>
                <c:pt idx="5">
                  <c:v>66.088420704350938</c:v>
                </c:pt>
                <c:pt idx="6">
                  <c:v>68.586074555654932</c:v>
                </c:pt>
                <c:pt idx="7">
                  <c:v>72.255445992290788</c:v>
                </c:pt>
              </c:numCache>
            </c:numRef>
          </c:xVal>
          <c:yVal>
            <c:numRef>
              <c:f>Ard2_Turn2_ESC2_G2b_T2a!$AU$6:$AU$13</c:f>
              <c:numCache>
                <c:formatCode>0.000</c:formatCode>
                <c:ptCount val="8"/>
                <c:pt idx="0">
                  <c:v>0.28731514975327521</c:v>
                </c:pt>
                <c:pt idx="1">
                  <c:v>0.23309415276834272</c:v>
                </c:pt>
                <c:pt idx="2">
                  <c:v>0.13572463909186985</c:v>
                </c:pt>
                <c:pt idx="3">
                  <c:v>8.8999999999999996E-2</c:v>
                </c:pt>
                <c:pt idx="4">
                  <c:v>6.7106187862222805E-2</c:v>
                </c:pt>
                <c:pt idx="5">
                  <c:v>5.7172787858875355E-2</c:v>
                </c:pt>
                <c:pt idx="6">
                  <c:v>4.9846190804236197E-2</c:v>
                </c:pt>
                <c:pt idx="7">
                  <c:v>4.2608173379647493E-2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A3F-439B-B0E0-7469F3360F67}"/>
            </c:ext>
          </c:extLst>
        </c:ser>
        <c:ser>
          <c:idx val="2"/>
          <c:order val="2"/>
          <c:tx>
            <c:strRef>
              <c:f>Ard2_Turn2_ESC2_G2b_T2a!$AS$1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Ard2_Turn2_ESC2_G2b_T2a!$AN$4:$AN$13</c:f>
              <c:numCache>
                <c:formatCode>0.0</c:formatCode>
                <c:ptCount val="10"/>
                <c:pt idx="0">
                  <c:v>5.8023808601098592</c:v>
                </c:pt>
                <c:pt idx="1">
                  <c:v>22.811576153900912</c:v>
                </c:pt>
                <c:pt idx="2">
                  <c:v>26.594292280271613</c:v>
                </c:pt>
                <c:pt idx="3">
                  <c:v>29.871030033381423</c:v>
                </c:pt>
                <c:pt idx="4">
                  <c:v>40.822505706375907</c:v>
                </c:pt>
                <c:pt idx="5">
                  <c:v>51.734687405081729</c:v>
                </c:pt>
                <c:pt idx="6">
                  <c:v>61.261330722642697</c:v>
                </c:pt>
                <c:pt idx="7">
                  <c:v>66.088420704350938</c:v>
                </c:pt>
                <c:pt idx="8">
                  <c:v>68.586074555654932</c:v>
                </c:pt>
                <c:pt idx="9">
                  <c:v>72.255445992290788</c:v>
                </c:pt>
              </c:numCache>
            </c:numRef>
          </c:xVal>
          <c:yVal>
            <c:numRef>
              <c:f>Ard2_Turn2_ESC2_G2b_T2a!$AS$4:$AS$13</c:f>
              <c:numCache>
                <c:formatCode>0.000</c:formatCode>
                <c:ptCount val="10"/>
                <c:pt idx="0">
                  <c:v>0.11734417364586795</c:v>
                </c:pt>
                <c:pt idx="1">
                  <c:v>7.7606437322607261E-2</c:v>
                </c:pt>
                <c:pt idx="2">
                  <c:v>7.2171118636699963E-2</c:v>
                </c:pt>
                <c:pt idx="3">
                  <c:v>6.8043031512504196E-2</c:v>
                </c:pt>
                <c:pt idx="4">
                  <c:v>5.7122926292453143E-2</c:v>
                </c:pt>
                <c:pt idx="5">
                  <c:v>4.9247621438349994E-2</c:v>
                </c:pt>
                <c:pt idx="6">
                  <c:v>4.39569282253129E-2</c:v>
                </c:pt>
                <c:pt idx="7">
                  <c:v>4.1687687281119393E-2</c:v>
                </c:pt>
                <c:pt idx="8">
                  <c:v>4.060311260982491E-2</c:v>
                </c:pt>
                <c:pt idx="9">
                  <c:v>3.9108322320475633E-2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A3F-439B-B0E0-7469F336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49680"/>
        <c:axId val="193950072"/>
      </c:scatterChart>
      <c:valAx>
        <c:axId val="193949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950072"/>
        <c:crosses val="autoZero"/>
        <c:crossBetween val="midCat"/>
      </c:valAx>
      <c:valAx>
        <c:axId val="193950072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3949680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Ard2_Turn2_ESC2_G2b_T2a!$S$1</c:f>
              <c:strCache>
                <c:ptCount val="1"/>
                <c:pt idx="0">
                  <c:v>Nt,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Ard2_Turn2_ESC2_G2b_T2a!$D$2:$D$13</c:f>
              <c:numCache>
                <c:formatCode>General</c:formatCode>
                <c:ptCount val="12"/>
                <c:pt idx="0" formatCode="0.00">
                  <c:v>5.7969930558608072</c:v>
                </c:pt>
                <c:pt idx="1">
                  <c:v>9</c:v>
                </c:pt>
                <c:pt idx="2">
                  <c:v>12</c:v>
                </c:pt>
                <c:pt idx="3">
                  <c:v>24</c:v>
                </c:pt>
                <c:pt idx="4">
                  <c:v>28</c:v>
                </c:pt>
                <c:pt idx="5">
                  <c:v>32</c:v>
                </c:pt>
                <c:pt idx="6">
                  <c:v>50</c:v>
                </c:pt>
                <c:pt idx="7">
                  <c:v>78</c:v>
                </c:pt>
                <c:pt idx="8">
                  <c:v>115</c:v>
                </c:pt>
                <c:pt idx="9">
                  <c:v>140</c:v>
                </c:pt>
                <c:pt idx="10">
                  <c:v>155</c:v>
                </c:pt>
                <c:pt idx="11">
                  <c:v>180</c:v>
                </c:pt>
              </c:numCache>
            </c:numRef>
          </c:xVal>
          <c:yVal>
            <c:numRef>
              <c:f>Ard2_Turn2_ESC2_G2b_T2a!$S$2:$S$13</c:f>
              <c:numCache>
                <c:formatCode>0</c:formatCode>
                <c:ptCount val="12"/>
                <c:pt idx="0">
                  <c:v>0</c:v>
                </c:pt>
                <c:pt idx="1">
                  <c:v>1.3020833333333332E-27</c:v>
                </c:pt>
                <c:pt idx="2">
                  <c:v>6.7816840277777777</c:v>
                </c:pt>
                <c:pt idx="3">
                  <c:v>20.218685300207039</c:v>
                </c:pt>
                <c:pt idx="4">
                  <c:v>23.33482676224612</c:v>
                </c:pt>
                <c:pt idx="5">
                  <c:v>26.35796221322537</c:v>
                </c:pt>
                <c:pt idx="6">
                  <c:v>38.072612085769983</c:v>
                </c:pt>
                <c:pt idx="7">
                  <c:v>49.135220125786169</c:v>
                </c:pt>
                <c:pt idx="8">
                  <c:v>59.865900383141764</c:v>
                </c:pt>
                <c:pt idx="9">
                  <c:v>66.60272804774084</c:v>
                </c:pt>
                <c:pt idx="10">
                  <c:v>72.337962962962962</c:v>
                </c:pt>
                <c:pt idx="11">
                  <c:v>76.593137254901961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60-4F2D-8ADD-6305162BE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90248"/>
        <c:axId val="194688288"/>
      </c:scatterChart>
      <c:valAx>
        <c:axId val="194690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88288"/>
        <c:crosses val="autoZero"/>
        <c:crossBetween val="midCat"/>
        <c:majorUnit val="20"/>
      </c:valAx>
      <c:valAx>
        <c:axId val="19468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90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Ard3_Turn3_ESC3_G3b_T3a!$Q$1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Ard3_Turn3_ESC3_G3b_T3a!$P$4:$P$14</c:f>
              <c:numCache>
                <c:formatCode>0</c:formatCode>
                <c:ptCount val="11"/>
                <c:pt idx="0">
                  <c:v>10309.278350515466</c:v>
                </c:pt>
                <c:pt idx="1">
                  <c:v>16042.780748663101</c:v>
                </c:pt>
                <c:pt idx="2">
                  <c:v>17341.040462427747</c:v>
                </c:pt>
                <c:pt idx="3">
                  <c:v>20134.228187919463</c:v>
                </c:pt>
                <c:pt idx="4">
                  <c:v>24691.358024691359</c:v>
                </c:pt>
                <c:pt idx="5">
                  <c:v>29411.764705882353</c:v>
                </c:pt>
                <c:pt idx="6">
                  <c:v>32432.43243243243</c:v>
                </c:pt>
                <c:pt idx="7">
                  <c:v>32967.032967032967</c:v>
                </c:pt>
                <c:pt idx="8">
                  <c:v>35087.719298245618</c:v>
                </c:pt>
                <c:pt idx="9">
                  <c:v>37267.080745341613</c:v>
                </c:pt>
                <c:pt idx="10">
                  <c:v>43795.620437956204</c:v>
                </c:pt>
              </c:numCache>
            </c:numRef>
          </c:xVal>
          <c:yVal>
            <c:numRef>
              <c:f>Ard3_Turn3_ESC3_G3b_T3a!$Q$4:$Q$14</c:f>
              <c:numCache>
                <c:formatCode>0</c:formatCode>
                <c:ptCount val="11"/>
                <c:pt idx="0">
                  <c:v>3468.2080924855495</c:v>
                </c:pt>
                <c:pt idx="1">
                  <c:v>8955.2238805970155</c:v>
                </c:pt>
                <c:pt idx="2">
                  <c:v>10638.297872340427</c:v>
                </c:pt>
                <c:pt idx="3">
                  <c:v>13513.513513513515</c:v>
                </c:pt>
                <c:pt idx="4">
                  <c:v>17857.142857142859</c:v>
                </c:pt>
                <c:pt idx="5">
                  <c:v>21897.810218978102</c:v>
                </c:pt>
                <c:pt idx="6">
                  <c:v>25210.08403361345</c:v>
                </c:pt>
                <c:pt idx="7">
                  <c:v>25586.353944562899</c:v>
                </c:pt>
                <c:pt idx="8">
                  <c:v>27027.02702702703</c:v>
                </c:pt>
                <c:pt idx="9">
                  <c:v>29556.650246305417</c:v>
                </c:pt>
                <c:pt idx="10">
                  <c:v>35714.285714285717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6FF-48DD-81DB-87ADF81D3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89856"/>
        <c:axId val="194691816"/>
      </c:scatterChart>
      <c:valAx>
        <c:axId val="19468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4691816"/>
        <c:crosses val="autoZero"/>
        <c:crossBetween val="midCat"/>
      </c:valAx>
      <c:valAx>
        <c:axId val="19469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468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Ard3_Turn3_ESC3_G3b_T3a!$L$4:$L$14</c:f>
              <c:numCache>
                <c:formatCode>General</c:formatCode>
                <c:ptCount val="11"/>
                <c:pt idx="0">
                  <c:v>13</c:v>
                </c:pt>
                <c:pt idx="1">
                  <c:v>24</c:v>
                </c:pt>
                <c:pt idx="2">
                  <c:v>28</c:v>
                </c:pt>
                <c:pt idx="3">
                  <c:v>36</c:v>
                </c:pt>
                <c:pt idx="4">
                  <c:v>52</c:v>
                </c:pt>
                <c:pt idx="5">
                  <c:v>73</c:v>
                </c:pt>
                <c:pt idx="6">
                  <c:v>94</c:v>
                </c:pt>
                <c:pt idx="7">
                  <c:v>99</c:v>
                </c:pt>
                <c:pt idx="8">
                  <c:v>110</c:v>
                </c:pt>
                <c:pt idx="9">
                  <c:v>132</c:v>
                </c:pt>
                <c:pt idx="10">
                  <c:v>180</c:v>
                </c:pt>
              </c:numCache>
            </c:numRef>
          </c:xVal>
          <c:yVal>
            <c:numRef>
              <c:f>Ard3_Turn3_ESC3_G3b_T3a!$R$4:$R$14</c:f>
              <c:numCache>
                <c:formatCode>0</c:formatCode>
                <c:ptCount val="11"/>
                <c:pt idx="0">
                  <c:v>22.372565864833909</c:v>
                </c:pt>
                <c:pt idx="1">
                  <c:v>34.815062388591798</c:v>
                </c:pt>
                <c:pt idx="2">
                  <c:v>37.632466281310215</c:v>
                </c:pt>
                <c:pt idx="3">
                  <c:v>43.694071588366889</c:v>
                </c:pt>
                <c:pt idx="4">
                  <c:v>53.583676268861453</c:v>
                </c:pt>
                <c:pt idx="5">
                  <c:v>63.827614379084963</c:v>
                </c:pt>
                <c:pt idx="6">
                  <c:v>70.382882882882882</c:v>
                </c:pt>
                <c:pt idx="7">
                  <c:v>71.543040293040292</c:v>
                </c:pt>
                <c:pt idx="8">
                  <c:v>76.145224171539965</c:v>
                </c:pt>
                <c:pt idx="9">
                  <c:v>80.874741200828154</c:v>
                </c:pt>
                <c:pt idx="10">
                  <c:v>95.042579075425792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6B5-47A8-974E-EA491C9DE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86720"/>
        <c:axId val="194691424"/>
      </c:scatterChart>
      <c:scatterChart>
        <c:scatterStyle val="lineMarker"/>
        <c:varyColors val="0"/>
        <c:ser>
          <c:idx val="1"/>
          <c:order val="1"/>
          <c:tx>
            <c:strRef>
              <c:f>Ard3_Turn3_ESC3_G3b_T3a!$U$1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Ard3_Turn3_ESC3_G3b_T3a!$L$3:$L$14</c:f>
              <c:numCache>
                <c:formatCode>General</c:formatCode>
                <c:ptCount val="12"/>
                <c:pt idx="0">
                  <c:v>9</c:v>
                </c:pt>
                <c:pt idx="1">
                  <c:v>13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180</c:v>
                </c:pt>
              </c:numCache>
            </c:numRef>
          </c:xVal>
          <c:yVal>
            <c:numRef>
              <c:f>Ard3_Turn3_ESC3_G3b_T3a!$U$3:$U$14</c:f>
              <c:numCache>
                <c:formatCode>0.00</c:formatCode>
                <c:ptCount val="12"/>
                <c:pt idx="0">
                  <c:v>3.8944000000000001</c:v>
                </c:pt>
                <c:pt idx="1">
                  <c:v>5.5251799999999998</c:v>
                </c:pt>
                <c:pt idx="2">
                  <c:v>13.232600000000001</c:v>
                </c:pt>
                <c:pt idx="3">
                  <c:v>15.660600000000001</c:v>
                </c:pt>
                <c:pt idx="4">
                  <c:v>22.815239999999999</c:v>
                </c:pt>
                <c:pt idx="5">
                  <c:v>37.0242</c:v>
                </c:pt>
                <c:pt idx="6">
                  <c:v>56.066400000000002</c:v>
                </c:pt>
                <c:pt idx="7">
                  <c:v>75.390299999999996</c:v>
                </c:pt>
                <c:pt idx="8">
                  <c:v>79.068500000000014</c:v>
                </c:pt>
                <c:pt idx="9">
                  <c:v>89.467500000000001</c:v>
                </c:pt>
                <c:pt idx="10">
                  <c:v>109.5787</c:v>
                </c:pt>
                <c:pt idx="11">
                  <c:v>168.27619999999999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6B5-47A8-974E-EA491C9DE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92208"/>
        <c:axId val="194690640"/>
      </c:scatterChart>
      <c:valAx>
        <c:axId val="194686720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4691424"/>
        <c:crossesAt val="-40"/>
        <c:crossBetween val="midCat"/>
        <c:majorUnit val="20"/>
      </c:valAx>
      <c:valAx>
        <c:axId val="1946914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4686720"/>
        <c:crosses val="autoZero"/>
        <c:crossBetween val="midCat"/>
      </c:valAx>
      <c:valAx>
        <c:axId val="194690640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4692208"/>
        <c:crosses val="max"/>
        <c:crossBetween val="midCat"/>
        <c:majorUnit val="40"/>
      </c:valAx>
      <c:valAx>
        <c:axId val="194692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690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Ard3_Turn3_ESC3_G3b_T3a!$R$3:$R$14</c:f>
              <c:numCache>
                <c:formatCode>0</c:formatCode>
                <c:ptCount val="12"/>
                <c:pt idx="0">
                  <c:v>17.739554950045413</c:v>
                </c:pt>
                <c:pt idx="1">
                  <c:v>22.372565864833909</c:v>
                </c:pt>
                <c:pt idx="2">
                  <c:v>34.815062388591798</c:v>
                </c:pt>
                <c:pt idx="3">
                  <c:v>37.632466281310215</c:v>
                </c:pt>
                <c:pt idx="4">
                  <c:v>43.694071588366889</c:v>
                </c:pt>
                <c:pt idx="5">
                  <c:v>53.583676268861453</c:v>
                </c:pt>
                <c:pt idx="6">
                  <c:v>63.827614379084963</c:v>
                </c:pt>
                <c:pt idx="7">
                  <c:v>70.382882882882882</c:v>
                </c:pt>
                <c:pt idx="8">
                  <c:v>71.543040293040292</c:v>
                </c:pt>
                <c:pt idx="9">
                  <c:v>76.145224171539965</c:v>
                </c:pt>
                <c:pt idx="10">
                  <c:v>80.874741200828154</c:v>
                </c:pt>
                <c:pt idx="11">
                  <c:v>95.042579075425792</c:v>
                </c:pt>
              </c:numCache>
            </c:numRef>
          </c:xVal>
          <c:yVal>
            <c:numRef>
              <c:f>Ard3_Turn3_ESC3_G3b_T3a!$W$3:$W$14</c:f>
              <c:numCache>
                <c:formatCode>0.0000</c:formatCode>
                <c:ptCount val="12"/>
                <c:pt idx="0">
                  <c:v>2.9011938152400008E-3</c:v>
                </c:pt>
                <c:pt idx="1">
                  <c:v>5.0881056724000001E-3</c:v>
                </c:pt>
                <c:pt idx="2">
                  <c:v>1.5423925455640005E-2</c:v>
                </c:pt>
                <c:pt idx="3">
                  <c:v>1.8679926871640003E-2</c:v>
                </c:pt>
                <c:pt idx="4">
                  <c:v>2.8274456513720004E-2</c:v>
                </c:pt>
                <c:pt idx="5">
                  <c:v>4.7328984470840003E-2</c:v>
                </c:pt>
                <c:pt idx="6">
                  <c:v>7.2864993599240008E-2</c:v>
                </c:pt>
                <c:pt idx="7">
                  <c:v>9.8778768625039995E-2</c:v>
                </c:pt>
                <c:pt idx="8">
                  <c:v>0.10371131574544003</c:v>
                </c:pt>
                <c:pt idx="9">
                  <c:v>0.11765660352344001</c:v>
                </c:pt>
                <c:pt idx="10">
                  <c:v>0.14462616516984</c:v>
                </c:pt>
                <c:pt idx="11">
                  <c:v>0.22334080401484002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751-4D34-ADD4-FB5080005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85544"/>
        <c:axId val="194687112"/>
      </c:scatterChart>
      <c:valAx>
        <c:axId val="194685544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4687112"/>
        <c:crosses val="autoZero"/>
        <c:crossBetween val="midCat"/>
      </c:valAx>
      <c:valAx>
        <c:axId val="194687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194685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Ard3_Turn3_ESC3_G3b_T3a!$L$3:$L$14</c:f>
              <c:numCache>
                <c:formatCode>General</c:formatCode>
                <c:ptCount val="12"/>
                <c:pt idx="0">
                  <c:v>9</c:v>
                </c:pt>
                <c:pt idx="1">
                  <c:v>13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180</c:v>
                </c:pt>
              </c:numCache>
            </c:numRef>
          </c:xVal>
          <c:yVal>
            <c:numRef>
              <c:f>Ard3_Turn3_ESC3_G3b_T3a!$P$3:$P$14</c:f>
              <c:numCache>
                <c:formatCode>0</c:formatCode>
                <c:ptCount val="12"/>
                <c:pt idx="0">
                  <c:v>8174.3869209809272</c:v>
                </c:pt>
                <c:pt idx="1">
                  <c:v>10309.278350515466</c:v>
                </c:pt>
                <c:pt idx="2">
                  <c:v>16042.780748663101</c:v>
                </c:pt>
                <c:pt idx="3">
                  <c:v>17341.040462427747</c:v>
                </c:pt>
                <c:pt idx="4">
                  <c:v>20134.228187919463</c:v>
                </c:pt>
                <c:pt idx="5">
                  <c:v>24691.358024691359</c:v>
                </c:pt>
                <c:pt idx="6">
                  <c:v>29411.764705882353</c:v>
                </c:pt>
                <c:pt idx="7">
                  <c:v>32432.43243243243</c:v>
                </c:pt>
                <c:pt idx="8">
                  <c:v>32967.032967032967</c:v>
                </c:pt>
                <c:pt idx="9">
                  <c:v>35087.719298245618</c:v>
                </c:pt>
                <c:pt idx="10">
                  <c:v>37267.080745341613</c:v>
                </c:pt>
                <c:pt idx="11">
                  <c:v>43795.620437956204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AD-4BAC-B9EB-EEBC8CC1E433}"/>
            </c:ext>
          </c:extLst>
        </c:ser>
        <c:ser>
          <c:idx val="1"/>
          <c:order val="1"/>
          <c:tx>
            <c:strRef>
              <c:f>Ard3_Turn3_ESC3_G3b_T3a!$AJ$1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Ard3_Turn3_ESC3_G3b_T3a!$D$3:$D$14</c:f>
              <c:numCache>
                <c:formatCode>General</c:formatCode>
                <c:ptCount val="12"/>
                <c:pt idx="0">
                  <c:v>9</c:v>
                </c:pt>
                <c:pt idx="1">
                  <c:v>13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180</c:v>
                </c:pt>
              </c:numCache>
            </c:numRef>
          </c:xVal>
          <c:yVal>
            <c:numRef>
              <c:f>Ard3_Turn3_ESC3_G3b_T3a!$AJ$3:$AJ$14</c:f>
              <c:numCache>
                <c:formatCode>0.00</c:formatCode>
                <c:ptCount val="12"/>
                <c:pt idx="0">
                  <c:v>3729.6385021300412</c:v>
                </c:pt>
                <c:pt idx="1">
                  <c:v>8333.0404142488842</c:v>
                </c:pt>
                <c:pt idx="2">
                  <c:v>16008.254202811288</c:v>
                </c:pt>
                <c:pt idx="3">
                  <c:v>17938.005942765791</c:v>
                </c:pt>
                <c:pt idx="4">
                  <c:v>21084.112439306809</c:v>
                </c:pt>
                <c:pt idx="5">
                  <c:v>25687.514351425656</c:v>
                </c:pt>
                <c:pt idx="6">
                  <c:v>29934.022583352191</c:v>
                </c:pt>
                <c:pt idx="7">
                  <c:v>33099.1687896367</c:v>
                </c:pt>
                <c:pt idx="8">
                  <c:v>33747.946433673147</c:v>
                </c:pt>
                <c:pt idx="9">
                  <c:v>35066.913295454338</c:v>
                </c:pt>
                <c:pt idx="10">
                  <c:v>37349.325165766008</c:v>
                </c:pt>
                <c:pt idx="11">
                  <c:v>41232.032742667434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AD-4BAC-B9EB-EEBC8CC1E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91032"/>
        <c:axId val="194688680"/>
      </c:scatterChart>
      <c:valAx>
        <c:axId val="194691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4688680"/>
        <c:crosses val="autoZero"/>
        <c:crossBetween val="midCat"/>
      </c:valAx>
      <c:valAx>
        <c:axId val="1946886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4691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Ard3_Turn3_ESC3_G3b_T3a!$P$3:$P$14</c:f>
              <c:numCache>
                <c:formatCode>0</c:formatCode>
                <c:ptCount val="12"/>
                <c:pt idx="0">
                  <c:v>8174.3869209809272</c:v>
                </c:pt>
                <c:pt idx="1">
                  <c:v>10309.278350515466</c:v>
                </c:pt>
                <c:pt idx="2">
                  <c:v>16042.780748663101</c:v>
                </c:pt>
                <c:pt idx="3">
                  <c:v>17341.040462427747</c:v>
                </c:pt>
                <c:pt idx="4">
                  <c:v>20134.228187919463</c:v>
                </c:pt>
                <c:pt idx="5">
                  <c:v>24691.358024691359</c:v>
                </c:pt>
                <c:pt idx="6">
                  <c:v>29411.764705882353</c:v>
                </c:pt>
                <c:pt idx="7">
                  <c:v>32432.43243243243</c:v>
                </c:pt>
                <c:pt idx="8">
                  <c:v>32967.032967032967</c:v>
                </c:pt>
                <c:pt idx="9">
                  <c:v>35087.719298245618</c:v>
                </c:pt>
                <c:pt idx="10">
                  <c:v>37267.080745341613</c:v>
                </c:pt>
                <c:pt idx="11">
                  <c:v>43795.620437956204</c:v>
                </c:pt>
              </c:numCache>
            </c:numRef>
          </c:xVal>
          <c:yVal>
            <c:numRef>
              <c:f>Ard3_Turn3_ESC3_G3b_T3a!$Y$3:$Y$14</c:f>
              <c:numCache>
                <c:formatCode>0.00000</c:formatCode>
                <c:ptCount val="12"/>
                <c:pt idx="0">
                  <c:v>0</c:v>
                </c:pt>
                <c:pt idx="1">
                  <c:v>7.2810335291212586E-4</c:v>
                </c:pt>
                <c:pt idx="2">
                  <c:v>3.185400901473642E-3</c:v>
                </c:pt>
                <c:pt idx="3">
                  <c:v>3.7935007253635201E-3</c:v>
                </c:pt>
                <c:pt idx="4">
                  <c:v>5.5113715787081675E-3</c:v>
                </c:pt>
                <c:pt idx="5">
                  <c:v>8.2031574175964721E-3</c:v>
                </c:pt>
                <c:pt idx="6">
                  <c:v>1.1147354623771069E-2</c:v>
                </c:pt>
                <c:pt idx="7">
                  <c:v>1.4131902975318876E-2</c:v>
                </c:pt>
                <c:pt idx="8">
                  <c:v>1.4658317299025194E-2</c:v>
                </c:pt>
                <c:pt idx="9">
                  <c:v>1.5747074175337526E-2</c:v>
                </c:pt>
                <c:pt idx="10">
                  <c:v>1.8517971069240639E-2</c:v>
                </c:pt>
                <c:pt idx="11">
                  <c:v>2.4919176558070941E-2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331-46E3-9BA6-B2BB49A4F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89072"/>
        <c:axId val="194685936"/>
      </c:scatterChart>
      <c:valAx>
        <c:axId val="194689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4685936"/>
        <c:crosses val="autoZero"/>
        <c:crossBetween val="midCat"/>
      </c:valAx>
      <c:valAx>
        <c:axId val="194685936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1946890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Ard3_Turn3_ESC3_G3b_T3a!$E$4:$E$14</c:f>
              <c:numCache>
                <c:formatCode>General</c:formatCode>
                <c:ptCount val="11"/>
                <c:pt idx="0">
                  <c:v>0.26</c:v>
                </c:pt>
                <c:pt idx="1">
                  <c:v>0.7</c:v>
                </c:pt>
                <c:pt idx="2">
                  <c:v>0.78</c:v>
                </c:pt>
                <c:pt idx="3">
                  <c:v>1.012</c:v>
                </c:pt>
                <c:pt idx="4">
                  <c:v>1.34</c:v>
                </c:pt>
                <c:pt idx="5">
                  <c:v>1.65</c:v>
                </c:pt>
                <c:pt idx="6">
                  <c:v>1.89</c:v>
                </c:pt>
                <c:pt idx="7">
                  <c:v>1.93</c:v>
                </c:pt>
                <c:pt idx="8">
                  <c:v>2.02</c:v>
                </c:pt>
                <c:pt idx="9">
                  <c:v>2.2200000000000002</c:v>
                </c:pt>
                <c:pt idx="10">
                  <c:v>2.65</c:v>
                </c:pt>
              </c:numCache>
            </c:numRef>
          </c:xVal>
          <c:yVal>
            <c:numRef>
              <c:f>Ard3_Turn3_ESC3_G3b_T3a!$Q$4:$Q$14</c:f>
              <c:numCache>
                <c:formatCode>0</c:formatCode>
                <c:ptCount val="11"/>
                <c:pt idx="0">
                  <c:v>3468.2080924855495</c:v>
                </c:pt>
                <c:pt idx="1">
                  <c:v>8955.2238805970155</c:v>
                </c:pt>
                <c:pt idx="2">
                  <c:v>10638.297872340427</c:v>
                </c:pt>
                <c:pt idx="3">
                  <c:v>13513.513513513515</c:v>
                </c:pt>
                <c:pt idx="4">
                  <c:v>17857.142857142859</c:v>
                </c:pt>
                <c:pt idx="5">
                  <c:v>21897.810218978102</c:v>
                </c:pt>
                <c:pt idx="6">
                  <c:v>25210.08403361345</c:v>
                </c:pt>
                <c:pt idx="7">
                  <c:v>25586.353944562899</c:v>
                </c:pt>
                <c:pt idx="8">
                  <c:v>27027.02702702703</c:v>
                </c:pt>
                <c:pt idx="9">
                  <c:v>29556.650246305417</c:v>
                </c:pt>
                <c:pt idx="10">
                  <c:v>35714.285714285717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C90-4FD1-AD7D-F23E377A5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51808"/>
        <c:axId val="195352984"/>
      </c:scatterChart>
      <c:valAx>
        <c:axId val="195351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352984"/>
        <c:crosses val="autoZero"/>
        <c:crossBetween val="midCat"/>
      </c:valAx>
      <c:valAx>
        <c:axId val="19535298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95351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Ard3_Turn3_ESC3_G3b_T3a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Ard3_Turn3_ESC3_G3b_T3a!$K$39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Ard3_Turn3_ESC3_G3b_T3a!$I$41:$I$44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Ard3_Turn3_ESC3_G3b_T3a!$K$41:$K$44</c:f>
              <c:numCache>
                <c:formatCode>0.000</c:formatCode>
                <c:ptCount val="4"/>
                <c:pt idx="0">
                  <c:v>4.9000000000000002E-2</c:v>
                </c:pt>
                <c:pt idx="1">
                  <c:v>9.5000000000000001E-2</c:v>
                </c:pt>
                <c:pt idx="2">
                  <c:v>0.28299999999999997</c:v>
                </c:pt>
                <c:pt idx="3">
                  <c:v>0.44500000000000001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92A-45CB-9BB9-0B4141673A5C}"/>
            </c:ext>
          </c:extLst>
        </c:ser>
        <c:ser>
          <c:idx val="1"/>
          <c:order val="1"/>
          <c:tx>
            <c:strRef>
              <c:f>Ard3_Turn3_ESC3_G3b_T3a!$AU$1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Ard3_Turn3_ESC3_G3b_T3a!$AN$6:$AN$14</c:f>
              <c:numCache>
                <c:formatCode>0.0</c:formatCode>
                <c:ptCount val="9"/>
                <c:pt idx="0">
                  <c:v>23.995233467684077</c:v>
                </c:pt>
                <c:pt idx="1">
                  <c:v>30.531028460751699</c:v>
                </c:pt>
                <c:pt idx="2">
                  <c:v>40.094242929614481</c:v>
                </c:pt>
                <c:pt idx="3">
                  <c:v>48.916038145625222</c:v>
                </c:pt>
                <c:pt idx="4">
                  <c:v>55.491386675659186</c:v>
                </c:pt>
                <c:pt idx="5">
                  <c:v>56.839172480802645</c:v>
                </c:pt>
                <c:pt idx="6">
                  <c:v>59.579224993560686</c:v>
                </c:pt>
                <c:pt idx="7">
                  <c:v>64.320760631499837</c:v>
                </c:pt>
                <c:pt idx="8">
                  <c:v>72.386787884092286</c:v>
                </c:pt>
              </c:numCache>
            </c:numRef>
          </c:xVal>
          <c:yVal>
            <c:numRef>
              <c:f>Ard3_Turn3_ESC3_G3b_T3a!$AU$6:$AU$14</c:f>
              <c:numCache>
                <c:formatCode>0.000</c:formatCode>
                <c:ptCount val="9"/>
                <c:pt idx="0">
                  <c:v>0.31981699284075554</c:v>
                </c:pt>
                <c:pt idx="1">
                  <c:v>0.2340382031492218</c:v>
                </c:pt>
                <c:pt idx="2">
                  <c:v>0.15829535268112299</c:v>
                </c:pt>
                <c:pt idx="3">
                  <c:v>0.1156848231047435</c:v>
                </c:pt>
                <c:pt idx="4">
                  <c:v>9.7689722813079499E-2</c:v>
                </c:pt>
                <c:pt idx="5">
                  <c:v>9.5000000000000029E-2</c:v>
                </c:pt>
                <c:pt idx="6">
                  <c:v>8.5476862914493204E-2</c:v>
                </c:pt>
                <c:pt idx="7">
                  <c:v>7.7269169905670995E-2</c:v>
                </c:pt>
                <c:pt idx="8">
                  <c:v>5.4546657372724745E-2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92A-45CB-9BB9-0B4141673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49064"/>
        <c:axId val="195349456"/>
      </c:scatterChart>
      <c:valAx>
        <c:axId val="195349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349456"/>
        <c:crosses val="autoZero"/>
        <c:crossBetween val="midCat"/>
      </c:valAx>
      <c:valAx>
        <c:axId val="195349456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534906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Ard3_Turn3_ESC3_G3b_T3a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Ard3_Turn3_ESC3_G3b_T3a!$K$39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Ard3_Turn3_ESC3_G3b_T3a!$I$41:$I$44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Ard3_Turn3_ESC3_G3b_T3a!$K$41:$K$44</c:f>
              <c:numCache>
                <c:formatCode>0.000</c:formatCode>
                <c:ptCount val="4"/>
                <c:pt idx="0">
                  <c:v>4.9000000000000002E-2</c:v>
                </c:pt>
                <c:pt idx="1">
                  <c:v>9.5000000000000001E-2</c:v>
                </c:pt>
                <c:pt idx="2">
                  <c:v>0.28299999999999997</c:v>
                </c:pt>
                <c:pt idx="3">
                  <c:v>0.44500000000000001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925-4900-97B4-83CE7D02B70E}"/>
            </c:ext>
          </c:extLst>
        </c:ser>
        <c:ser>
          <c:idx val="1"/>
          <c:order val="1"/>
          <c:tx>
            <c:strRef>
              <c:f>Ard3_Turn3_ESC3_G3b_T3a!$AU$1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Ard3_Turn3_ESC3_G3b_T3a!$AN$6:$AN$14</c:f>
              <c:numCache>
                <c:formatCode>0.0</c:formatCode>
                <c:ptCount val="9"/>
                <c:pt idx="0">
                  <c:v>23.995233467684077</c:v>
                </c:pt>
                <c:pt idx="1">
                  <c:v>30.531028460751699</c:v>
                </c:pt>
                <c:pt idx="2">
                  <c:v>40.094242929614481</c:v>
                </c:pt>
                <c:pt idx="3">
                  <c:v>48.916038145625222</c:v>
                </c:pt>
                <c:pt idx="4">
                  <c:v>55.491386675659186</c:v>
                </c:pt>
                <c:pt idx="5">
                  <c:v>56.839172480802645</c:v>
                </c:pt>
                <c:pt idx="6">
                  <c:v>59.579224993560686</c:v>
                </c:pt>
                <c:pt idx="7">
                  <c:v>64.320760631499837</c:v>
                </c:pt>
                <c:pt idx="8">
                  <c:v>72.386787884092286</c:v>
                </c:pt>
              </c:numCache>
            </c:numRef>
          </c:xVal>
          <c:yVal>
            <c:numRef>
              <c:f>Ard3_Turn3_ESC3_G3b_T3a!$AU$6:$AU$14</c:f>
              <c:numCache>
                <c:formatCode>0.000</c:formatCode>
                <c:ptCount val="9"/>
                <c:pt idx="0">
                  <c:v>0.31981699284075554</c:v>
                </c:pt>
                <c:pt idx="1">
                  <c:v>0.2340382031492218</c:v>
                </c:pt>
                <c:pt idx="2">
                  <c:v>0.15829535268112299</c:v>
                </c:pt>
                <c:pt idx="3">
                  <c:v>0.1156848231047435</c:v>
                </c:pt>
                <c:pt idx="4">
                  <c:v>9.7689722813079499E-2</c:v>
                </c:pt>
                <c:pt idx="5">
                  <c:v>9.5000000000000029E-2</c:v>
                </c:pt>
                <c:pt idx="6">
                  <c:v>8.5476862914493204E-2</c:v>
                </c:pt>
                <c:pt idx="7">
                  <c:v>7.7269169905670995E-2</c:v>
                </c:pt>
                <c:pt idx="8">
                  <c:v>5.4546657372724745E-2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925-4900-97B4-83CE7D02B70E}"/>
            </c:ext>
          </c:extLst>
        </c:ser>
        <c:ser>
          <c:idx val="2"/>
          <c:order val="2"/>
          <c:tx>
            <c:strRef>
              <c:f>Ard3_Turn3_ESC3_G3b_T3a!$AS$1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Ard3_Turn3_ESC3_G3b_T3a!$AN$4:$AN$14</c:f>
              <c:numCache>
                <c:formatCode>0.0</c:formatCode>
                <c:ptCount val="11"/>
                <c:pt idx="0">
                  <c:v>4.0416541216298523</c:v>
                </c:pt>
                <c:pt idx="1">
                  <c:v>19.986322207456581</c:v>
                </c:pt>
                <c:pt idx="2">
                  <c:v>23.995233467684077</c:v>
                </c:pt>
                <c:pt idx="3">
                  <c:v>30.531028460751699</c:v>
                </c:pt>
                <c:pt idx="4">
                  <c:v>40.094242929614481</c:v>
                </c:pt>
                <c:pt idx="5">
                  <c:v>48.916038145625222</c:v>
                </c:pt>
                <c:pt idx="6">
                  <c:v>55.491386675659186</c:v>
                </c:pt>
                <c:pt idx="7">
                  <c:v>56.839172480802645</c:v>
                </c:pt>
                <c:pt idx="8">
                  <c:v>59.579224993560686</c:v>
                </c:pt>
                <c:pt idx="9">
                  <c:v>64.320760631499837</c:v>
                </c:pt>
                <c:pt idx="10">
                  <c:v>72.386787884092286</c:v>
                </c:pt>
              </c:numCache>
            </c:numRef>
          </c:xVal>
          <c:yVal>
            <c:numRef>
              <c:f>Ard3_Turn3_ESC3_G3b_T3a!$AS$4:$AS$14</c:f>
              <c:numCache>
                <c:formatCode>0.000</c:formatCode>
                <c:ptCount val="11"/>
                <c:pt idx="0">
                  <c:v>0.11944631127448137</c:v>
                </c:pt>
                <c:pt idx="1">
                  <c:v>7.7925942126012504E-2</c:v>
                </c:pt>
                <c:pt idx="2">
                  <c:v>7.1662787675319667E-2</c:v>
                </c:pt>
                <c:pt idx="3">
                  <c:v>6.336043481788585E-2</c:v>
                </c:pt>
                <c:pt idx="4">
                  <c:v>5.4176588322708163E-2</c:v>
                </c:pt>
                <c:pt idx="5">
                  <c:v>4.7787046292215356E-2</c:v>
                </c:pt>
                <c:pt idx="6">
                  <c:v>4.3925701439619165E-2</c:v>
                </c:pt>
                <c:pt idx="7">
                  <c:v>4.321002775641114E-2</c:v>
                </c:pt>
                <c:pt idx="8">
                  <c:v>4.1824654769604085E-2</c:v>
                </c:pt>
                <c:pt idx="9">
                  <c:v>3.962616549201943E-2</c:v>
                </c:pt>
                <c:pt idx="10">
                  <c:v>3.6373648882343262E-2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925-4900-97B4-83CE7D02B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47888"/>
        <c:axId val="195349848"/>
      </c:scatterChart>
      <c:valAx>
        <c:axId val="195347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349848"/>
        <c:crosses val="autoZero"/>
        <c:crossBetween val="midCat"/>
      </c:valAx>
      <c:valAx>
        <c:axId val="195349848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5347888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Ard0_Turn0_ESC0_G0b_T0a!$Q$1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Ard0_Turn0_ESC0_G0b_T0a!$P$5:$P$13</c:f>
              <c:numCache>
                <c:formatCode>0</c:formatCode>
                <c:ptCount val="9"/>
                <c:pt idx="0">
                  <c:v>16304.347826086958</c:v>
                </c:pt>
                <c:pt idx="1">
                  <c:v>20134.228187919463</c:v>
                </c:pt>
                <c:pt idx="2">
                  <c:v>25104.602510460249</c:v>
                </c:pt>
                <c:pt idx="3">
                  <c:v>27649.76958525346</c:v>
                </c:pt>
                <c:pt idx="4">
                  <c:v>32258.06451612903</c:v>
                </c:pt>
                <c:pt idx="5">
                  <c:v>37037.037037037036</c:v>
                </c:pt>
                <c:pt idx="6">
                  <c:v>41958.041958041955</c:v>
                </c:pt>
                <c:pt idx="7">
                  <c:v>43478.260869565223</c:v>
                </c:pt>
                <c:pt idx="8">
                  <c:v>43859.649122807015</c:v>
                </c:pt>
              </c:numCache>
            </c:numRef>
          </c:xVal>
          <c:yVal>
            <c:numRef>
              <c:f>Ard0_Turn0_ESC0_G0b_T0a!$Q$5:$Q$13</c:f>
              <c:numCache>
                <c:formatCode>0</c:formatCode>
                <c:ptCount val="9"/>
                <c:pt idx="0">
                  <c:v>7058.8235294117649</c:v>
                </c:pt>
                <c:pt idx="1">
                  <c:v>11070.110701107011</c:v>
                </c:pt>
                <c:pt idx="2">
                  <c:v>16042.780748663101</c:v>
                </c:pt>
                <c:pt idx="3">
                  <c:v>18404.907975460123</c:v>
                </c:pt>
                <c:pt idx="4">
                  <c:v>22304.832713754648</c:v>
                </c:pt>
                <c:pt idx="5">
                  <c:v>27149.321266968327</c:v>
                </c:pt>
                <c:pt idx="6">
                  <c:v>31578.947368421057</c:v>
                </c:pt>
                <c:pt idx="7">
                  <c:v>33057.85123966942</c:v>
                </c:pt>
                <c:pt idx="8">
                  <c:v>33519.553072625698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41-4CFA-A365-A3A370513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39184"/>
        <c:axId val="178821768"/>
      </c:scatterChart>
      <c:valAx>
        <c:axId val="17873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8821768"/>
        <c:crosses val="autoZero"/>
        <c:crossBetween val="midCat"/>
      </c:valAx>
      <c:valAx>
        <c:axId val="17882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873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Ard4_Turn4_ESC4_G4b_T4a!$Q$1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Ard4_Turn4_ESC4_G4b_T4a!$P$5:$P$12</c:f>
              <c:numCache>
                <c:formatCode>0</c:formatCode>
                <c:ptCount val="8"/>
                <c:pt idx="0">
                  <c:v>16620.498614958451</c:v>
                </c:pt>
                <c:pt idx="1">
                  <c:v>19480.519480519481</c:v>
                </c:pt>
                <c:pt idx="2">
                  <c:v>24096.385542168679</c:v>
                </c:pt>
                <c:pt idx="3">
                  <c:v>28985.507246376812</c:v>
                </c:pt>
                <c:pt idx="4">
                  <c:v>31746.031746031746</c:v>
                </c:pt>
                <c:pt idx="5">
                  <c:v>33333.333333333336</c:v>
                </c:pt>
                <c:pt idx="6">
                  <c:v>36809.815950920245</c:v>
                </c:pt>
                <c:pt idx="7">
                  <c:v>43795.620437956204</c:v>
                </c:pt>
              </c:numCache>
            </c:numRef>
          </c:xVal>
          <c:yVal>
            <c:numRef>
              <c:f>Ard4_Turn4_ESC4_G4b_T4a!$Q$5:$Q$12</c:f>
              <c:numCache>
                <c:formatCode>0</c:formatCode>
                <c:ptCount val="8"/>
                <c:pt idx="0">
                  <c:v>9615.3846153846171</c:v>
                </c:pt>
                <c:pt idx="1">
                  <c:v>12552.301255230124</c:v>
                </c:pt>
                <c:pt idx="2">
                  <c:v>17142.857142857145</c:v>
                </c:pt>
                <c:pt idx="3">
                  <c:v>22058.823529411766</c:v>
                </c:pt>
                <c:pt idx="4">
                  <c:v>24193.548387096776</c:v>
                </c:pt>
                <c:pt idx="5">
                  <c:v>26666.666666666672</c:v>
                </c:pt>
                <c:pt idx="6">
                  <c:v>29850.746268656716</c:v>
                </c:pt>
                <c:pt idx="7">
                  <c:v>35928.143712574849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0D8-4883-9890-ED2A6CC2C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48672"/>
        <c:axId val="195350240"/>
      </c:scatterChart>
      <c:valAx>
        <c:axId val="19534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5350240"/>
        <c:crosses val="autoZero"/>
        <c:crossBetween val="midCat"/>
      </c:valAx>
      <c:valAx>
        <c:axId val="19535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534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Ard4_Turn4_ESC4_G4b_T4a!$L$4:$L$12</c:f>
              <c:numCache>
                <c:formatCode>General</c:formatCode>
                <c:ptCount val="9"/>
                <c:pt idx="0">
                  <c:v>14</c:v>
                </c:pt>
                <c:pt idx="1">
                  <c:v>26</c:v>
                </c:pt>
                <c:pt idx="2">
                  <c:v>34</c:v>
                </c:pt>
                <c:pt idx="3">
                  <c:v>51</c:v>
                </c:pt>
                <c:pt idx="4">
                  <c:v>76</c:v>
                </c:pt>
                <c:pt idx="5">
                  <c:v>91</c:v>
                </c:pt>
                <c:pt idx="6">
                  <c:v>106</c:v>
                </c:pt>
                <c:pt idx="7">
                  <c:v>132</c:v>
                </c:pt>
                <c:pt idx="8">
                  <c:v>180</c:v>
                </c:pt>
              </c:numCache>
            </c:numRef>
          </c:xVal>
          <c:yVal>
            <c:numRef>
              <c:f>Ard4_Turn4_ESC4_G4b_T4a!$R$4:$R$12</c:f>
              <c:numCache>
                <c:formatCode>0</c:formatCode>
                <c:ptCount val="9"/>
                <c:pt idx="0">
                  <c:v>23.935355392156865</c:v>
                </c:pt>
                <c:pt idx="1">
                  <c:v>36.068790397045248</c:v>
                </c:pt>
                <c:pt idx="2">
                  <c:v>42.275432900432897</c:v>
                </c:pt>
                <c:pt idx="3">
                  <c:v>52.292503346720224</c:v>
                </c:pt>
                <c:pt idx="4">
                  <c:v>62.902576489533011</c:v>
                </c:pt>
                <c:pt idx="5">
                  <c:v>68.893298059964721</c:v>
                </c:pt>
                <c:pt idx="6">
                  <c:v>72.337962962962962</c:v>
                </c:pt>
                <c:pt idx="7">
                  <c:v>79.882413087934552</c:v>
                </c:pt>
                <c:pt idx="8">
                  <c:v>95.042579075425792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E7-46AA-8D5D-D25D4E677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54160"/>
        <c:axId val="195351024"/>
      </c:scatterChart>
      <c:scatterChart>
        <c:scatterStyle val="lineMarker"/>
        <c:varyColors val="0"/>
        <c:ser>
          <c:idx val="1"/>
          <c:order val="1"/>
          <c:tx>
            <c:strRef>
              <c:f>Ard4_Turn4_ESC4_G4b_T4a!$U$1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Ard4_Turn4_ESC4_G4b_T4a!$L$3:$L$12</c:f>
              <c:numCache>
                <c:formatCode>General</c:formatCode>
                <c:ptCount val="10"/>
                <c:pt idx="0">
                  <c:v>10</c:v>
                </c:pt>
                <c:pt idx="1">
                  <c:v>14</c:v>
                </c:pt>
                <c:pt idx="2">
                  <c:v>26</c:v>
                </c:pt>
                <c:pt idx="3">
                  <c:v>34</c:v>
                </c:pt>
                <c:pt idx="4">
                  <c:v>51</c:v>
                </c:pt>
                <c:pt idx="5">
                  <c:v>76</c:v>
                </c:pt>
                <c:pt idx="6">
                  <c:v>91</c:v>
                </c:pt>
                <c:pt idx="7">
                  <c:v>106</c:v>
                </c:pt>
                <c:pt idx="8">
                  <c:v>132</c:v>
                </c:pt>
                <c:pt idx="9">
                  <c:v>180</c:v>
                </c:pt>
              </c:numCache>
            </c:numRef>
          </c:xVal>
          <c:yVal>
            <c:numRef>
              <c:f>Ard4_Turn4_ESC4_G4b_T4a!$U$3:$U$12</c:f>
              <c:numCache>
                <c:formatCode>0.00</c:formatCode>
                <c:ptCount val="10"/>
                <c:pt idx="0">
                  <c:v>4.3625400000000001</c:v>
                </c:pt>
                <c:pt idx="1">
                  <c:v>6.6843400000000006</c:v>
                </c:pt>
                <c:pt idx="2">
                  <c:v>14.7378</c:v>
                </c:pt>
                <c:pt idx="3">
                  <c:v>21.1584</c:v>
                </c:pt>
                <c:pt idx="4">
                  <c:v>35.186</c:v>
                </c:pt>
                <c:pt idx="5">
                  <c:v>57.695400000000006</c:v>
                </c:pt>
                <c:pt idx="6">
                  <c:v>71.400800000000004</c:v>
                </c:pt>
                <c:pt idx="7">
                  <c:v>85.226599999999991</c:v>
                </c:pt>
                <c:pt idx="8">
                  <c:v>108.00790000000001</c:v>
                </c:pt>
                <c:pt idx="9">
                  <c:v>166.86500000000001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2E7-46AA-8D5D-D25D4E677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47104"/>
        <c:axId val="195353376"/>
      </c:scatterChart>
      <c:valAx>
        <c:axId val="195354160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5351024"/>
        <c:crossesAt val="-40"/>
        <c:crossBetween val="midCat"/>
        <c:majorUnit val="20"/>
      </c:valAx>
      <c:valAx>
        <c:axId val="1953510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5354160"/>
        <c:crosses val="autoZero"/>
        <c:crossBetween val="midCat"/>
      </c:valAx>
      <c:valAx>
        <c:axId val="195353376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5347104"/>
        <c:crosses val="max"/>
        <c:crossBetween val="midCat"/>
        <c:majorUnit val="40"/>
      </c:valAx>
      <c:valAx>
        <c:axId val="195347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353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Ard4_Turn4_ESC4_G4b_T4a!$R$3:$R$12</c:f>
              <c:numCache>
                <c:formatCode>0</c:formatCode>
                <c:ptCount val="10"/>
                <c:pt idx="0">
                  <c:v>17.69134963768116</c:v>
                </c:pt>
                <c:pt idx="1">
                  <c:v>23.935355392156865</c:v>
                </c:pt>
                <c:pt idx="2">
                  <c:v>36.068790397045248</c:v>
                </c:pt>
                <c:pt idx="3">
                  <c:v>42.275432900432897</c:v>
                </c:pt>
                <c:pt idx="4">
                  <c:v>52.292503346720224</c:v>
                </c:pt>
                <c:pt idx="5">
                  <c:v>62.902576489533011</c:v>
                </c:pt>
                <c:pt idx="6">
                  <c:v>68.893298059964721</c:v>
                </c:pt>
                <c:pt idx="7">
                  <c:v>72.337962962962962</c:v>
                </c:pt>
                <c:pt idx="8">
                  <c:v>79.882413087934552</c:v>
                </c:pt>
                <c:pt idx="9">
                  <c:v>95.042579075425792</c:v>
                </c:pt>
              </c:numCache>
            </c:numRef>
          </c:xVal>
          <c:yVal>
            <c:numRef>
              <c:f>Ard4_Turn4_ESC4_G4b_T4a!$W$3:$W$12</c:f>
              <c:numCache>
                <c:formatCode>0.0000</c:formatCode>
                <c:ptCount val="10"/>
                <c:pt idx="0">
                  <c:v>4.603808987320001E-3</c:v>
                </c:pt>
                <c:pt idx="1">
                  <c:v>7.7173938669200014E-3</c:v>
                </c:pt>
                <c:pt idx="2">
                  <c:v>1.8517260903040001E-2</c:v>
                </c:pt>
                <c:pt idx="3">
                  <c:v>2.7127426756240001E-2</c:v>
                </c:pt>
                <c:pt idx="4">
                  <c:v>4.5938746963440004E-2</c:v>
                </c:pt>
                <c:pt idx="5">
                  <c:v>7.6124347570240017E-2</c:v>
                </c:pt>
                <c:pt idx="6">
                  <c:v>9.4503590489040015E-2</c:v>
                </c:pt>
                <c:pt idx="7">
                  <c:v>0.11304429245663999</c:v>
                </c:pt>
                <c:pt idx="8">
                  <c:v>0.14359451694524003</c:v>
                </c:pt>
                <c:pt idx="9">
                  <c:v>0.22252318290144002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B1F-40E7-B8F9-D4C3A8192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46712"/>
        <c:axId val="195347496"/>
      </c:scatterChart>
      <c:valAx>
        <c:axId val="19534671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5347496"/>
        <c:crosses val="autoZero"/>
        <c:crossBetween val="midCat"/>
      </c:valAx>
      <c:valAx>
        <c:axId val="195347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195346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Ard4_Turn4_ESC4_G4b_T4a!$L$3:$L$12</c:f>
              <c:numCache>
                <c:formatCode>General</c:formatCode>
                <c:ptCount val="10"/>
                <c:pt idx="0">
                  <c:v>10</c:v>
                </c:pt>
                <c:pt idx="1">
                  <c:v>14</c:v>
                </c:pt>
                <c:pt idx="2">
                  <c:v>26</c:v>
                </c:pt>
                <c:pt idx="3">
                  <c:v>34</c:v>
                </c:pt>
                <c:pt idx="4">
                  <c:v>51</c:v>
                </c:pt>
                <c:pt idx="5">
                  <c:v>76</c:v>
                </c:pt>
                <c:pt idx="6">
                  <c:v>91</c:v>
                </c:pt>
                <c:pt idx="7">
                  <c:v>106</c:v>
                </c:pt>
                <c:pt idx="8">
                  <c:v>132</c:v>
                </c:pt>
                <c:pt idx="9">
                  <c:v>180</c:v>
                </c:pt>
              </c:numCache>
            </c:numRef>
          </c:xVal>
          <c:yVal>
            <c:numRef>
              <c:f>Ard4_Turn4_ESC4_G4b_T4a!$P$3:$P$12</c:f>
              <c:numCache>
                <c:formatCode>0</c:formatCode>
                <c:ptCount val="10"/>
                <c:pt idx="0">
                  <c:v>8152.1739130434789</c:v>
                </c:pt>
                <c:pt idx="1">
                  <c:v>11029.411764705883</c:v>
                </c:pt>
                <c:pt idx="2">
                  <c:v>16620.498614958451</c:v>
                </c:pt>
                <c:pt idx="3">
                  <c:v>19480.519480519481</c:v>
                </c:pt>
                <c:pt idx="4">
                  <c:v>24096.385542168679</c:v>
                </c:pt>
                <c:pt idx="5">
                  <c:v>28985.507246376812</c:v>
                </c:pt>
                <c:pt idx="6">
                  <c:v>31746.031746031746</c:v>
                </c:pt>
                <c:pt idx="7">
                  <c:v>33333.333333333336</c:v>
                </c:pt>
                <c:pt idx="8">
                  <c:v>36809.815950920245</c:v>
                </c:pt>
                <c:pt idx="9">
                  <c:v>43795.620437956204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43-4C51-8B83-A66F4682876B}"/>
            </c:ext>
          </c:extLst>
        </c:ser>
        <c:ser>
          <c:idx val="1"/>
          <c:order val="1"/>
          <c:tx>
            <c:strRef>
              <c:f>Ard4_Turn4_ESC4_G4b_T4a!$AJ$1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Ard4_Turn4_ESC4_G4b_T4a!$D$3:$D$12</c:f>
              <c:numCache>
                <c:formatCode>General</c:formatCode>
                <c:ptCount val="10"/>
                <c:pt idx="0">
                  <c:v>10</c:v>
                </c:pt>
                <c:pt idx="1">
                  <c:v>14</c:v>
                </c:pt>
                <c:pt idx="2">
                  <c:v>26</c:v>
                </c:pt>
                <c:pt idx="3">
                  <c:v>34</c:v>
                </c:pt>
                <c:pt idx="4">
                  <c:v>51</c:v>
                </c:pt>
                <c:pt idx="5">
                  <c:v>76</c:v>
                </c:pt>
                <c:pt idx="6">
                  <c:v>91</c:v>
                </c:pt>
                <c:pt idx="7">
                  <c:v>106</c:v>
                </c:pt>
                <c:pt idx="8">
                  <c:v>132</c:v>
                </c:pt>
                <c:pt idx="9">
                  <c:v>180</c:v>
                </c:pt>
              </c:numCache>
            </c:numRef>
          </c:xVal>
          <c:yVal>
            <c:numRef>
              <c:f>Ard4_Turn4_ESC4_G4b_T4a!$AJ$3:$AJ$12</c:f>
              <c:numCache>
                <c:formatCode>0.00</c:formatCode>
                <c:ptCount val="10"/>
                <c:pt idx="0">
                  <c:v>4955.5552609427614</c:v>
                </c:pt>
                <c:pt idx="1">
                  <c:v>9133.1571145852577</c:v>
                </c:pt>
                <c:pt idx="2">
                  <c:v>16819.07905121908</c:v>
                </c:pt>
                <c:pt idx="3">
                  <c:v>20149.814861452069</c:v>
                </c:pt>
                <c:pt idx="4">
                  <c:v>25184.024531258845</c:v>
                </c:pt>
                <c:pt idx="5">
                  <c:v>30136.818245467628</c:v>
                </c:pt>
                <c:pt idx="6">
                  <c:v>32373.24468436357</c:v>
                </c:pt>
                <c:pt idx="7">
                  <c:v>34267.655867784233</c:v>
                </c:pt>
                <c:pt idx="8">
                  <c:v>36991.240339587683</c:v>
                </c:pt>
                <c:pt idx="9">
                  <c:v>40842.089421252422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43-4C51-8B83-A66F46828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04376"/>
        <c:axId val="196105160"/>
      </c:scatterChart>
      <c:valAx>
        <c:axId val="19610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6105160"/>
        <c:crosses val="autoZero"/>
        <c:crossBetween val="midCat"/>
      </c:valAx>
      <c:valAx>
        <c:axId val="1961051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6104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Ard4_Turn4_ESC4_G4b_T4a!$P$3:$P$12</c:f>
              <c:numCache>
                <c:formatCode>0</c:formatCode>
                <c:ptCount val="10"/>
                <c:pt idx="0">
                  <c:v>8152.1739130434789</c:v>
                </c:pt>
                <c:pt idx="1">
                  <c:v>11029.411764705883</c:v>
                </c:pt>
                <c:pt idx="2">
                  <c:v>16620.498614958451</c:v>
                </c:pt>
                <c:pt idx="3">
                  <c:v>19480.519480519481</c:v>
                </c:pt>
                <c:pt idx="4">
                  <c:v>24096.385542168679</c:v>
                </c:pt>
                <c:pt idx="5">
                  <c:v>28985.507246376812</c:v>
                </c:pt>
                <c:pt idx="6">
                  <c:v>31746.031746031746</c:v>
                </c:pt>
                <c:pt idx="7">
                  <c:v>33333.333333333336</c:v>
                </c:pt>
                <c:pt idx="8">
                  <c:v>36809.815950920245</c:v>
                </c:pt>
                <c:pt idx="9">
                  <c:v>43795.620437956204</c:v>
                </c:pt>
              </c:numCache>
            </c:numRef>
          </c:xVal>
          <c:yVal>
            <c:numRef>
              <c:f>Ard4_Turn4_ESC4_G4b_T4a!$Y$3:$Y$12</c:f>
              <c:numCache>
                <c:formatCode>0.00000</c:formatCode>
                <c:ptCount val="10"/>
                <c:pt idx="0">
                  <c:v>0</c:v>
                </c:pt>
                <c:pt idx="1">
                  <c:v>7.0889644576948565E-4</c:v>
                </c:pt>
                <c:pt idx="2">
                  <c:v>2.8853855758374561E-3</c:v>
                </c:pt>
                <c:pt idx="3">
                  <c:v>4.3476441376480175E-3</c:v>
                </c:pt>
                <c:pt idx="4">
                  <c:v>7.0467349550184851E-3</c:v>
                </c:pt>
                <c:pt idx="5">
                  <c:v>1.0827292578003099E-2</c:v>
                </c:pt>
                <c:pt idx="6">
                  <c:v>1.2668502547686832E-2</c:v>
                </c:pt>
                <c:pt idx="7">
                  <c:v>1.4845276263829227E-2</c:v>
                </c:pt>
                <c:pt idx="8">
                  <c:v>1.7521987492429912E-2</c:v>
                </c:pt>
                <c:pt idx="9">
                  <c:v>2.3719145986690317E-2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213-459B-8F93-8719FC26F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03200"/>
        <c:axId val="196107120"/>
      </c:scatterChart>
      <c:valAx>
        <c:axId val="196103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6107120"/>
        <c:crosses val="autoZero"/>
        <c:crossBetween val="midCat"/>
      </c:valAx>
      <c:valAx>
        <c:axId val="196107120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1961032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Ard4_Turn4_ESC4_G4b_T4a!$E$5:$E$12</c:f>
              <c:numCache>
                <c:formatCode>General</c:formatCode>
                <c:ptCount val="8"/>
                <c:pt idx="0">
                  <c:v>0.72</c:v>
                </c:pt>
                <c:pt idx="1">
                  <c:v>0.97</c:v>
                </c:pt>
                <c:pt idx="2">
                  <c:v>1.3149999999999999</c:v>
                </c:pt>
                <c:pt idx="3">
                  <c:v>1.68</c:v>
                </c:pt>
                <c:pt idx="4">
                  <c:v>1.86</c:v>
                </c:pt>
                <c:pt idx="5">
                  <c:v>2.02</c:v>
                </c:pt>
                <c:pt idx="6">
                  <c:v>2.2599999999999998</c:v>
                </c:pt>
                <c:pt idx="7">
                  <c:v>2.75</c:v>
                </c:pt>
              </c:numCache>
            </c:numRef>
          </c:xVal>
          <c:yVal>
            <c:numRef>
              <c:f>Ard4_Turn4_ESC4_G4b_T4a!$Q$5:$Q$12</c:f>
              <c:numCache>
                <c:formatCode>0</c:formatCode>
                <c:ptCount val="8"/>
                <c:pt idx="0">
                  <c:v>9615.3846153846171</c:v>
                </c:pt>
                <c:pt idx="1">
                  <c:v>12552.301255230124</c:v>
                </c:pt>
                <c:pt idx="2">
                  <c:v>17142.857142857145</c:v>
                </c:pt>
                <c:pt idx="3">
                  <c:v>22058.823529411766</c:v>
                </c:pt>
                <c:pt idx="4">
                  <c:v>24193.548387096776</c:v>
                </c:pt>
                <c:pt idx="5">
                  <c:v>26666.666666666672</c:v>
                </c:pt>
                <c:pt idx="6">
                  <c:v>29850.746268656716</c:v>
                </c:pt>
                <c:pt idx="7">
                  <c:v>35928.143712574849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9E0-442A-897D-C2BC6F84D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02808"/>
        <c:axId val="196100456"/>
      </c:scatterChart>
      <c:valAx>
        <c:axId val="196102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100456"/>
        <c:crosses val="autoZero"/>
        <c:crossBetween val="midCat"/>
      </c:valAx>
      <c:valAx>
        <c:axId val="19610045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96102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Ard4_Turn4_ESC4_G4b_T4a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Ard4_Turn4_ESC4_G4b_T4a!$K$37</c:f>
              <c:strCache>
                <c:ptCount val="1"/>
                <c:pt idx="0">
                  <c:v>Meas TauT4,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Ard4_Turn4_ESC4_G4b_T4a!$I$39:$I$42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Ard4_Turn4_ESC4_G4b_T4a!$K$39:$K$42</c:f>
              <c:numCache>
                <c:formatCode>0.000</c:formatCode>
                <c:ptCount val="4"/>
                <c:pt idx="0">
                  <c:v>4.2999999999999997E-2</c:v>
                </c:pt>
                <c:pt idx="1">
                  <c:v>9.8000000000000004E-2</c:v>
                </c:pt>
                <c:pt idx="2">
                  <c:v>0.28899999999999998</c:v>
                </c:pt>
                <c:pt idx="3">
                  <c:v>0.436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550-4CEE-BC4C-75B006F007B3}"/>
            </c:ext>
          </c:extLst>
        </c:ser>
        <c:ser>
          <c:idx val="1"/>
          <c:order val="1"/>
          <c:tx>
            <c:strRef>
              <c:f>Ard4_Turn4_ESC4_G4b_T4a!$AU$1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Ard4_Turn4_ESC4_G4b_T4a!$AN$6:$AN$12</c:f>
              <c:numCache>
                <c:formatCode>0.0</c:formatCode>
                <c:ptCount val="7"/>
                <c:pt idx="0">
                  <c:v>28.761634659659219</c:v>
                </c:pt>
                <c:pt idx="1">
                  <c:v>39.436300742106155</c:v>
                </c:pt>
                <c:pt idx="2">
                  <c:v>49.9383303638581</c:v>
                </c:pt>
                <c:pt idx="3">
                  <c:v>54.680505803302282</c:v>
                </c:pt>
                <c:pt idx="4">
                  <c:v>58.697463405833936</c:v>
                </c:pt>
                <c:pt idx="5">
                  <c:v>64.472621114939727</c:v>
                </c:pt>
                <c:pt idx="6">
                  <c:v>72.638059341958638</c:v>
                </c:pt>
              </c:numCache>
            </c:numRef>
          </c:xVal>
          <c:yVal>
            <c:numRef>
              <c:f>Ard4_Turn4_ESC4_G4b_T4a!$AU$6:$AU$12</c:f>
              <c:numCache>
                <c:formatCode>0.000</c:formatCode>
                <c:ptCount val="7"/>
                <c:pt idx="0">
                  <c:v>0.24082907334376075</c:v>
                </c:pt>
                <c:pt idx="1">
                  <c:v>0.14404578774310253</c:v>
                </c:pt>
                <c:pt idx="2">
                  <c:v>9.8000000000000004E-2</c:v>
                </c:pt>
                <c:pt idx="3">
                  <c:v>8.2138410084370811E-2</c:v>
                </c:pt>
                <c:pt idx="4">
                  <c:v>7.4920214485870801E-2</c:v>
                </c:pt>
                <c:pt idx="5">
                  <c:v>6.2443805631723442E-2</c:v>
                </c:pt>
                <c:pt idx="6">
                  <c:v>4.2120072096139397E-2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550-4CEE-BC4C-75B006F00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03984"/>
        <c:axId val="196106336"/>
      </c:scatterChart>
      <c:valAx>
        <c:axId val="19610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6106336"/>
        <c:crosses val="autoZero"/>
        <c:crossBetween val="midCat"/>
      </c:valAx>
      <c:valAx>
        <c:axId val="196106336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610398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Ard4_Turn4_ESC4_G4b_T4a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Ard4_Turn4_ESC4_G4b_T4a!$K$37</c:f>
              <c:strCache>
                <c:ptCount val="1"/>
                <c:pt idx="0">
                  <c:v>Meas TauT4,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Ard4_Turn4_ESC4_G4b_T4a!$I$39:$I$42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Ard4_Turn4_ESC4_G4b_T4a!$K$39:$K$42</c:f>
              <c:numCache>
                <c:formatCode>0.000</c:formatCode>
                <c:ptCount val="4"/>
                <c:pt idx="0">
                  <c:v>4.2999999999999997E-2</c:v>
                </c:pt>
                <c:pt idx="1">
                  <c:v>9.8000000000000004E-2</c:v>
                </c:pt>
                <c:pt idx="2">
                  <c:v>0.28899999999999998</c:v>
                </c:pt>
                <c:pt idx="3">
                  <c:v>0.436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79-4B54-95AC-15A0DAD5D3BF}"/>
            </c:ext>
          </c:extLst>
        </c:ser>
        <c:ser>
          <c:idx val="1"/>
          <c:order val="1"/>
          <c:tx>
            <c:strRef>
              <c:f>Ard4_Turn4_ESC4_G4b_T4a!$AU$1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Ard4_Turn4_ESC4_G4b_T4a!$AN$6:$AN$12</c:f>
              <c:numCache>
                <c:formatCode>0.0</c:formatCode>
                <c:ptCount val="7"/>
                <c:pt idx="0">
                  <c:v>28.761634659659219</c:v>
                </c:pt>
                <c:pt idx="1">
                  <c:v>39.436300742106155</c:v>
                </c:pt>
                <c:pt idx="2">
                  <c:v>49.9383303638581</c:v>
                </c:pt>
                <c:pt idx="3">
                  <c:v>54.680505803302282</c:v>
                </c:pt>
                <c:pt idx="4">
                  <c:v>58.697463405833936</c:v>
                </c:pt>
                <c:pt idx="5">
                  <c:v>64.472621114939727</c:v>
                </c:pt>
                <c:pt idx="6">
                  <c:v>72.638059341958638</c:v>
                </c:pt>
              </c:numCache>
            </c:numRef>
          </c:xVal>
          <c:yVal>
            <c:numRef>
              <c:f>Ard4_Turn4_ESC4_G4b_T4a!$AU$6:$AU$12</c:f>
              <c:numCache>
                <c:formatCode>0.000</c:formatCode>
                <c:ptCount val="7"/>
                <c:pt idx="0">
                  <c:v>0.24082907334376075</c:v>
                </c:pt>
                <c:pt idx="1">
                  <c:v>0.14404578774310253</c:v>
                </c:pt>
                <c:pt idx="2">
                  <c:v>9.8000000000000004E-2</c:v>
                </c:pt>
                <c:pt idx="3">
                  <c:v>8.2138410084370811E-2</c:v>
                </c:pt>
                <c:pt idx="4">
                  <c:v>7.4920214485870801E-2</c:v>
                </c:pt>
                <c:pt idx="5">
                  <c:v>6.2443805631723442E-2</c:v>
                </c:pt>
                <c:pt idx="6">
                  <c:v>4.2120072096139397E-2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79-4B54-95AC-15A0DAD5D3BF}"/>
            </c:ext>
          </c:extLst>
        </c:ser>
        <c:ser>
          <c:idx val="2"/>
          <c:order val="2"/>
          <c:tx>
            <c:strRef>
              <c:f>Ard4_Turn4_ESC4_G4b_T4a!$AS$1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Ard4_Turn4_ESC4_G4b_T4a!$AN$4:$AN$12</c:f>
              <c:numCache>
                <c:formatCode>0.0</c:formatCode>
                <c:ptCount val="9"/>
                <c:pt idx="0">
                  <c:v>5.4016336851826967</c:v>
                </c:pt>
                <c:pt idx="1">
                  <c:v>21.699057827325941</c:v>
                </c:pt>
                <c:pt idx="2">
                  <c:v>28.761634659659219</c:v>
                </c:pt>
                <c:pt idx="3">
                  <c:v>39.436300742106155</c:v>
                </c:pt>
                <c:pt idx="4">
                  <c:v>49.9383303638581</c:v>
                </c:pt>
                <c:pt idx="5">
                  <c:v>54.680505803302282</c:v>
                </c:pt>
                <c:pt idx="6">
                  <c:v>58.697463405833936</c:v>
                </c:pt>
                <c:pt idx="7">
                  <c:v>64.472621114939727</c:v>
                </c:pt>
                <c:pt idx="8">
                  <c:v>72.638059341958638</c:v>
                </c:pt>
              </c:numCache>
            </c:numRef>
          </c:xVal>
          <c:yVal>
            <c:numRef>
              <c:f>Ard4_Turn4_ESC4_G4b_T4a!$AS$4:$AS$12</c:f>
              <c:numCache>
                <c:formatCode>0.000</c:formatCode>
                <c:ptCount val="9"/>
                <c:pt idx="0">
                  <c:v>0.11345863469863143</c:v>
                </c:pt>
                <c:pt idx="1">
                  <c:v>7.6186569978131474E-2</c:v>
                </c:pt>
                <c:pt idx="2">
                  <c:v>6.6692218982307566E-2</c:v>
                </c:pt>
                <c:pt idx="3">
                  <c:v>5.6121444340006467E-2</c:v>
                </c:pt>
                <c:pt idx="4">
                  <c:v>4.855058685789107E-2</c:v>
                </c:pt>
                <c:pt idx="5">
                  <c:v>4.5762959536747666E-2</c:v>
                </c:pt>
                <c:pt idx="6">
                  <c:v>4.364045265914053E-2</c:v>
                </c:pt>
                <c:pt idx="7">
                  <c:v>4.0912377554880808E-2</c:v>
                </c:pt>
                <c:pt idx="8">
                  <c:v>3.7589957360202833E-2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79-4B54-95AC-15A0DAD5D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02416"/>
        <c:axId val="196102024"/>
      </c:scatterChart>
      <c:valAx>
        <c:axId val="196102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102024"/>
        <c:crosses val="autoZero"/>
        <c:crossBetween val="midCat"/>
      </c:valAx>
      <c:valAx>
        <c:axId val="196102024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610241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Ard_Turn_ESC_Gb_Ta!$Q$1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Ard_Turn_ESC_Gb_Ta!$P$5:$P$12</c:f>
              <c:numCache>
                <c:formatCode>0</c:formatCode>
                <c:ptCount val="8"/>
                <c:pt idx="0">
                  <c:v>17142.857142857145</c:v>
                </c:pt>
                <c:pt idx="1">
                  <c:v>19480.519480519481</c:v>
                </c:pt>
                <c:pt idx="2">
                  <c:v>24096.385542168679</c:v>
                </c:pt>
                <c:pt idx="3">
                  <c:v>30000.000000000004</c:v>
                </c:pt>
                <c:pt idx="4">
                  <c:v>32258.06451612903</c:v>
                </c:pt>
                <c:pt idx="5">
                  <c:v>33898.305084745763</c:v>
                </c:pt>
                <c:pt idx="6">
                  <c:v>37735.84905660378</c:v>
                </c:pt>
                <c:pt idx="7">
                  <c:v>43010.752688172048</c:v>
                </c:pt>
              </c:numCache>
            </c:numRef>
          </c:xVal>
          <c:yVal>
            <c:numRef>
              <c:f>Ard_Turn_ESC_Gb_Ta!$Q$5:$Q$12</c:f>
              <c:numCache>
                <c:formatCode>0</c:formatCode>
                <c:ptCount val="8"/>
                <c:pt idx="0">
                  <c:v>7407.4074074074078</c:v>
                </c:pt>
                <c:pt idx="1">
                  <c:v>10830.324909747293</c:v>
                </c:pt>
                <c:pt idx="2">
                  <c:v>15665.796344647519</c:v>
                </c:pt>
                <c:pt idx="3">
                  <c:v>20689.65517241379</c:v>
                </c:pt>
                <c:pt idx="4">
                  <c:v>22813.688212927755</c:v>
                </c:pt>
                <c:pt idx="5">
                  <c:v>24896.265560165975</c:v>
                </c:pt>
                <c:pt idx="6">
                  <c:v>28037.383177570096</c:v>
                </c:pt>
                <c:pt idx="7">
                  <c:v>33519.553072625698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0D8-4883-9890-ED2A6CC2C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724016"/>
        <c:axId val="220725584"/>
      </c:scatterChart>
      <c:valAx>
        <c:axId val="22072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0725584"/>
        <c:crosses val="autoZero"/>
        <c:crossBetween val="midCat"/>
      </c:valAx>
      <c:valAx>
        <c:axId val="22072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072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Ard_Turn_ESC_Gb_Ta!$R$1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Ard_Turn_ESC_Gb_Ta!$L$4:$L$12</c:f>
              <c:numCache>
                <c:formatCode>General</c:formatCode>
                <c:ptCount val="9"/>
                <c:pt idx="0">
                  <c:v>20</c:v>
                </c:pt>
                <c:pt idx="1">
                  <c:v>26</c:v>
                </c:pt>
                <c:pt idx="2">
                  <c:v>34</c:v>
                </c:pt>
                <c:pt idx="3">
                  <c:v>51</c:v>
                </c:pt>
                <c:pt idx="4">
                  <c:v>76</c:v>
                </c:pt>
                <c:pt idx="5">
                  <c:v>91</c:v>
                </c:pt>
                <c:pt idx="6">
                  <c:v>106</c:v>
                </c:pt>
                <c:pt idx="7">
                  <c:v>132</c:v>
                </c:pt>
                <c:pt idx="8">
                  <c:v>180</c:v>
                </c:pt>
              </c:numCache>
            </c:numRef>
          </c:xVal>
          <c:yVal>
            <c:numRef>
              <c:f>Ard_Turn_ESC_Gb_Ta!$R$4:$R$12</c:f>
              <c:numCache>
                <c:formatCode>0</c:formatCode>
                <c:ptCount val="9"/>
                <c:pt idx="0">
                  <c:v>31.150318979266348</c:v>
                </c:pt>
                <c:pt idx="1">
                  <c:v>37.202380952380956</c:v>
                </c:pt>
                <c:pt idx="2">
                  <c:v>42.275432900432897</c:v>
                </c:pt>
                <c:pt idx="3">
                  <c:v>52.292503346720224</c:v>
                </c:pt>
                <c:pt idx="4">
                  <c:v>65.104166666666671</c:v>
                </c:pt>
                <c:pt idx="5">
                  <c:v>70.004480286738342</c:v>
                </c:pt>
                <c:pt idx="6">
                  <c:v>73.56403013182674</c:v>
                </c:pt>
                <c:pt idx="7">
                  <c:v>81.892033542976947</c:v>
                </c:pt>
                <c:pt idx="8">
                  <c:v>93.33930704898448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E7-46AA-8D5D-D25D4E677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729504"/>
        <c:axId val="220727152"/>
      </c:scatterChart>
      <c:scatterChart>
        <c:scatterStyle val="lineMarker"/>
        <c:varyColors val="0"/>
        <c:ser>
          <c:idx val="1"/>
          <c:order val="1"/>
          <c:tx>
            <c:strRef>
              <c:f>Ard_Turn_ESC_Gb_Ta!$U$1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Ard_Turn_ESC_Gb_Ta!$L$3:$L$12</c:f>
              <c:numCache>
                <c:formatCode>General</c:formatCode>
                <c:ptCount val="10"/>
                <c:pt idx="0">
                  <c:v>9</c:v>
                </c:pt>
                <c:pt idx="1">
                  <c:v>20</c:v>
                </c:pt>
                <c:pt idx="2">
                  <c:v>26</c:v>
                </c:pt>
                <c:pt idx="3">
                  <c:v>34</c:v>
                </c:pt>
                <c:pt idx="4">
                  <c:v>51</c:v>
                </c:pt>
                <c:pt idx="5">
                  <c:v>76</c:v>
                </c:pt>
                <c:pt idx="6">
                  <c:v>91</c:v>
                </c:pt>
                <c:pt idx="7">
                  <c:v>106</c:v>
                </c:pt>
                <c:pt idx="8">
                  <c:v>132</c:v>
                </c:pt>
                <c:pt idx="9">
                  <c:v>180</c:v>
                </c:pt>
              </c:numCache>
            </c:numRef>
          </c:xVal>
          <c:yVal>
            <c:numRef>
              <c:f>Ard_Turn_ESC_Gb_Ta!$U$3:$U$12</c:f>
              <c:numCache>
                <c:formatCode>0.00</c:formatCode>
                <c:ptCount val="10"/>
                <c:pt idx="0">
                  <c:v>4.5065999999999997</c:v>
                </c:pt>
                <c:pt idx="1">
                  <c:v>10.466200000000001</c:v>
                </c:pt>
                <c:pt idx="2">
                  <c:v>15.673500000000001</c:v>
                </c:pt>
                <c:pt idx="3">
                  <c:v>21.470100000000002</c:v>
                </c:pt>
                <c:pt idx="4">
                  <c:v>35.5152</c:v>
                </c:pt>
                <c:pt idx="5">
                  <c:v>59.519999999999996</c:v>
                </c:pt>
                <c:pt idx="6">
                  <c:v>73.970500000000001</c:v>
                </c:pt>
                <c:pt idx="7">
                  <c:v>86.4666</c:v>
                </c:pt>
                <c:pt idx="8">
                  <c:v>112.80800000000001</c:v>
                </c:pt>
                <c:pt idx="9">
                  <c:v>176.64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2E7-46AA-8D5D-D25D4E677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727544"/>
        <c:axId val="220726368"/>
      </c:scatterChart>
      <c:valAx>
        <c:axId val="220729504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0727152"/>
        <c:crossesAt val="-40"/>
        <c:crossBetween val="midCat"/>
        <c:majorUnit val="20"/>
      </c:valAx>
      <c:valAx>
        <c:axId val="22072715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0729504"/>
        <c:crosses val="autoZero"/>
        <c:crossBetween val="midCat"/>
      </c:valAx>
      <c:valAx>
        <c:axId val="220726368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0727544"/>
        <c:crosses val="max"/>
        <c:crossBetween val="midCat"/>
        <c:majorUnit val="40"/>
      </c:valAx>
      <c:valAx>
        <c:axId val="220727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0726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Ard0_Turn0_ESC0_G0b_T0a!$L$4:$L$13</c:f>
              <c:numCache>
                <c:formatCode>General</c:formatCode>
                <c:ptCount val="10"/>
                <c:pt idx="0">
                  <c:v>20</c:v>
                </c:pt>
                <c:pt idx="1">
                  <c:v>25</c:v>
                </c:pt>
                <c:pt idx="2">
                  <c:v>35</c:v>
                </c:pt>
                <c:pt idx="3">
                  <c:v>54</c:v>
                </c:pt>
                <c:pt idx="4">
                  <c:v>64</c:v>
                </c:pt>
                <c:pt idx="5">
                  <c:v>90</c:v>
                </c:pt>
                <c:pt idx="6">
                  <c:v>125</c:v>
                </c:pt>
                <c:pt idx="7">
                  <c:v>155</c:v>
                </c:pt>
                <c:pt idx="8">
                  <c:v>165</c:v>
                </c:pt>
                <c:pt idx="9">
                  <c:v>180</c:v>
                </c:pt>
              </c:numCache>
            </c:numRef>
          </c:xVal>
          <c:yVal>
            <c:numRef>
              <c:f>Ard0_Turn0_ESC0_G0b_T0a!$R$4:$R$13</c:f>
              <c:numCache>
                <c:formatCode>0</c:formatCode>
                <c:ptCount val="10"/>
                <c:pt idx="0">
                  <c:v>32.229785478547853</c:v>
                </c:pt>
                <c:pt idx="1">
                  <c:v>35.38269927536232</c:v>
                </c:pt>
                <c:pt idx="2">
                  <c:v>43.694071588366889</c:v>
                </c:pt>
                <c:pt idx="3">
                  <c:v>54.480474198047411</c:v>
                </c:pt>
                <c:pt idx="4">
                  <c:v>60.003840245775734</c:v>
                </c:pt>
                <c:pt idx="5">
                  <c:v>70.004480286738342</c:v>
                </c:pt>
                <c:pt idx="6">
                  <c:v>80.375514403292172</c:v>
                </c:pt>
                <c:pt idx="7">
                  <c:v>91.054778554778551</c:v>
                </c:pt>
                <c:pt idx="8">
                  <c:v>94.353864734299535</c:v>
                </c:pt>
                <c:pt idx="9">
                  <c:v>95.181530214424939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1BA-451F-B93E-98DC602A0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22456"/>
        <c:axId val="177821672"/>
      </c:scatterChart>
      <c:scatterChart>
        <c:scatterStyle val="lineMarker"/>
        <c:varyColors val="0"/>
        <c:ser>
          <c:idx val="1"/>
          <c:order val="1"/>
          <c:tx>
            <c:strRef>
              <c:f>Ard0_Turn0_ESC0_G0b_T0a!$U$1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Ard0_Turn0_ESC0_G0b_T0a!$L$3:$L$13</c:f>
              <c:numCache>
                <c:formatCode>General</c:formatCode>
                <c:ptCount val="11"/>
                <c:pt idx="0">
                  <c:v>9</c:v>
                </c:pt>
                <c:pt idx="1">
                  <c:v>20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90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  <c:pt idx="10">
                  <c:v>180</c:v>
                </c:pt>
              </c:numCache>
            </c:numRef>
          </c:xVal>
          <c:yVal>
            <c:numRef>
              <c:f>Ard0_Turn0_ESC0_G0b_T0a!$U$3:$U$13</c:f>
              <c:numCache>
                <c:formatCode>0.00</c:formatCode>
                <c:ptCount val="11"/>
                <c:pt idx="0">
                  <c:v>4.0702500000000006</c:v>
                </c:pt>
                <c:pt idx="1">
                  <c:v>10.452540000000001</c:v>
                </c:pt>
                <c:pt idx="2">
                  <c:v>13.7182</c:v>
                </c:pt>
                <c:pt idx="3">
                  <c:v>22.258179999999999</c:v>
                </c:pt>
                <c:pt idx="4">
                  <c:v>38.350800000000007</c:v>
                </c:pt>
                <c:pt idx="5">
                  <c:v>47.638799999999996</c:v>
                </c:pt>
                <c:pt idx="6">
                  <c:v>70.983000000000004</c:v>
                </c:pt>
                <c:pt idx="7">
                  <c:v>101.7056</c:v>
                </c:pt>
                <c:pt idx="8">
                  <c:v>145.98320000000001</c:v>
                </c:pt>
                <c:pt idx="9">
                  <c:v>165.07679999999999</c:v>
                </c:pt>
                <c:pt idx="10">
                  <c:v>172.02759999999998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1BA-451F-B93E-98DC602A0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22064"/>
        <c:axId val="177819712"/>
      </c:scatterChart>
      <c:valAx>
        <c:axId val="177822456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7821672"/>
        <c:crossesAt val="-40"/>
        <c:crossBetween val="midCat"/>
        <c:majorUnit val="20"/>
      </c:valAx>
      <c:valAx>
        <c:axId val="17782167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7822456"/>
        <c:crosses val="autoZero"/>
        <c:crossBetween val="midCat"/>
      </c:valAx>
      <c:valAx>
        <c:axId val="177819712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7822064"/>
        <c:crosses val="max"/>
        <c:crossBetween val="midCat"/>
        <c:majorUnit val="40"/>
      </c:valAx>
      <c:valAx>
        <c:axId val="177822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81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Ard_Turn_ESC_Gb_Ta!$W$1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Ard_Turn_ESC_Gb_Ta!$R$3:$R$12</c:f>
              <c:numCache>
                <c:formatCode>0</c:formatCode>
                <c:ptCount val="10"/>
                <c:pt idx="0">
                  <c:v>16.866364421416236</c:v>
                </c:pt>
                <c:pt idx="1">
                  <c:v>31.150318979266348</c:v>
                </c:pt>
                <c:pt idx="2">
                  <c:v>37.202380952380956</c:v>
                </c:pt>
                <c:pt idx="3">
                  <c:v>42.275432900432897</c:v>
                </c:pt>
                <c:pt idx="4">
                  <c:v>52.292503346720224</c:v>
                </c:pt>
                <c:pt idx="5">
                  <c:v>65.104166666666671</c:v>
                </c:pt>
                <c:pt idx="6">
                  <c:v>70.004480286738342</c:v>
                </c:pt>
                <c:pt idx="7">
                  <c:v>73.56403013182674</c:v>
                </c:pt>
                <c:pt idx="8">
                  <c:v>81.892033542976947</c:v>
                </c:pt>
                <c:pt idx="9">
                  <c:v>93.33930704898448</c:v>
                </c:pt>
              </c:numCache>
            </c:numRef>
          </c:xVal>
          <c:yVal>
            <c:numRef>
              <c:f>Ard_Turn_ESC_Gb_Ta!$W$3:$W$12</c:f>
              <c:numCache>
                <c:formatCode>0.0000</c:formatCode>
                <c:ptCount val="10"/>
                <c:pt idx="0">
                  <c:v>4.3326409287000002E-3</c:v>
                </c:pt>
                <c:pt idx="1">
                  <c:v>1.2324595639900002E-2</c:v>
                </c:pt>
                <c:pt idx="2">
                  <c:v>1.93076995005E-2</c:v>
                </c:pt>
                <c:pt idx="3">
                  <c:v>2.7081067625700006E-2</c:v>
                </c:pt>
                <c:pt idx="4">
                  <c:v>4.5915855717900002E-2</c:v>
                </c:pt>
                <c:pt idx="5">
                  <c:v>7.8106820623499995E-2</c:v>
                </c:pt>
                <c:pt idx="6">
                  <c:v>9.7485259034500005E-2</c:v>
                </c:pt>
                <c:pt idx="7">
                  <c:v>0.11424280404870001</c:v>
                </c:pt>
                <c:pt idx="8">
                  <c:v>0.14956720095950002</c:v>
                </c:pt>
                <c:pt idx="9">
                  <c:v>0.23516731726350001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B1F-40E7-B8F9-D4C3A8192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727936"/>
        <c:axId val="220729896"/>
      </c:scatterChart>
      <c:valAx>
        <c:axId val="220727936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20729896"/>
        <c:crosses val="autoZero"/>
        <c:crossBetween val="midCat"/>
      </c:valAx>
      <c:valAx>
        <c:axId val="2207298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220727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Ard_Turn_ESC_Gb_Ta!$P$1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Ard_Turn_ESC_Gb_Ta!$L$3:$L$12</c:f>
              <c:numCache>
                <c:formatCode>General</c:formatCode>
                <c:ptCount val="10"/>
                <c:pt idx="0">
                  <c:v>9</c:v>
                </c:pt>
                <c:pt idx="1">
                  <c:v>20</c:v>
                </c:pt>
                <c:pt idx="2">
                  <c:v>26</c:v>
                </c:pt>
                <c:pt idx="3">
                  <c:v>34</c:v>
                </c:pt>
                <c:pt idx="4">
                  <c:v>51</c:v>
                </c:pt>
                <c:pt idx="5">
                  <c:v>76</c:v>
                </c:pt>
                <c:pt idx="6">
                  <c:v>91</c:v>
                </c:pt>
                <c:pt idx="7">
                  <c:v>106</c:v>
                </c:pt>
                <c:pt idx="8">
                  <c:v>132</c:v>
                </c:pt>
                <c:pt idx="9">
                  <c:v>180</c:v>
                </c:pt>
              </c:numCache>
            </c:numRef>
          </c:xVal>
          <c:yVal>
            <c:numRef>
              <c:f>Ard_Turn_ESC_Gb_Ta!$P$3:$P$12</c:f>
              <c:numCache>
                <c:formatCode>0</c:formatCode>
                <c:ptCount val="10"/>
                <c:pt idx="0">
                  <c:v>7772.020725388601</c:v>
                </c:pt>
                <c:pt idx="1">
                  <c:v>14354.066985645934</c:v>
                </c:pt>
                <c:pt idx="2">
                  <c:v>17142.857142857145</c:v>
                </c:pt>
                <c:pt idx="3">
                  <c:v>19480.519480519481</c:v>
                </c:pt>
                <c:pt idx="4">
                  <c:v>24096.385542168679</c:v>
                </c:pt>
                <c:pt idx="5">
                  <c:v>30000.000000000004</c:v>
                </c:pt>
                <c:pt idx="6">
                  <c:v>32258.06451612903</c:v>
                </c:pt>
                <c:pt idx="7">
                  <c:v>33898.305084745763</c:v>
                </c:pt>
                <c:pt idx="8">
                  <c:v>37735.84905660378</c:v>
                </c:pt>
                <c:pt idx="9">
                  <c:v>43010.752688172048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43-4C51-8B83-A66F4682876B}"/>
            </c:ext>
          </c:extLst>
        </c:ser>
        <c:ser>
          <c:idx val="1"/>
          <c:order val="1"/>
          <c:tx>
            <c:strRef>
              <c:f>Ard_Turn_ESC_Gb_Ta!$AJ$1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Ard_Turn_ESC_Gb_Ta!$D$3:$D$12</c:f>
              <c:numCache>
                <c:formatCode>General</c:formatCode>
                <c:ptCount val="10"/>
                <c:pt idx="0">
                  <c:v>9</c:v>
                </c:pt>
                <c:pt idx="1">
                  <c:v>20</c:v>
                </c:pt>
                <c:pt idx="2">
                  <c:v>26</c:v>
                </c:pt>
                <c:pt idx="3">
                  <c:v>34</c:v>
                </c:pt>
                <c:pt idx="4">
                  <c:v>51</c:v>
                </c:pt>
                <c:pt idx="5">
                  <c:v>76</c:v>
                </c:pt>
                <c:pt idx="6">
                  <c:v>91</c:v>
                </c:pt>
                <c:pt idx="7">
                  <c:v>106</c:v>
                </c:pt>
                <c:pt idx="8">
                  <c:v>132</c:v>
                </c:pt>
                <c:pt idx="9">
                  <c:v>180</c:v>
                </c:pt>
              </c:numCache>
            </c:numRef>
          </c:xVal>
          <c:yVal>
            <c:numRef>
              <c:f>Ard_Turn_ESC_Gb_Ta!$AJ$3:$AJ$12</c:f>
              <c:numCache>
                <c:formatCode>0.00</c:formatCode>
                <c:ptCount val="10"/>
                <c:pt idx="0">
                  <c:v>2981.8312148311707</c:v>
                </c:pt>
                <c:pt idx="1">
                  <c:v>13244.332048243799</c:v>
                </c:pt>
                <c:pt idx="2">
                  <c:v>16616.263834886224</c:v>
                </c:pt>
                <c:pt idx="3">
                  <c:v>20064.019440802986</c:v>
                </c:pt>
                <c:pt idx="4">
                  <c:v>25275.097592697159</c:v>
                </c:pt>
                <c:pt idx="5">
                  <c:v>30401.899376450201</c:v>
                </c:pt>
                <c:pt idx="6">
                  <c:v>32716.898893444188</c:v>
                </c:pt>
                <c:pt idx="7">
                  <c:v>34677.867024715182</c:v>
                </c:pt>
                <c:pt idx="8">
                  <c:v>37497.140052014016</c:v>
                </c:pt>
                <c:pt idx="9">
                  <c:v>41483.282233588077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43-4C51-8B83-A66F46828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732248"/>
        <c:axId val="220732640"/>
      </c:scatterChart>
      <c:valAx>
        <c:axId val="220732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0732640"/>
        <c:crosses val="autoZero"/>
        <c:crossBetween val="midCat"/>
      </c:valAx>
      <c:valAx>
        <c:axId val="2207326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0732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Ard_Turn_ESC_Gb_Ta!$Y$1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layout/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Ard_Turn_ESC_Gb_Ta!$P$3:$P$12</c:f>
              <c:numCache>
                <c:formatCode>0</c:formatCode>
                <c:ptCount val="10"/>
                <c:pt idx="0">
                  <c:v>7772.020725388601</c:v>
                </c:pt>
                <c:pt idx="1">
                  <c:v>14354.066985645934</c:v>
                </c:pt>
                <c:pt idx="2">
                  <c:v>17142.857142857145</c:v>
                </c:pt>
                <c:pt idx="3">
                  <c:v>19480.519480519481</c:v>
                </c:pt>
                <c:pt idx="4">
                  <c:v>24096.385542168679</c:v>
                </c:pt>
                <c:pt idx="5">
                  <c:v>30000.000000000004</c:v>
                </c:pt>
                <c:pt idx="6">
                  <c:v>32258.06451612903</c:v>
                </c:pt>
                <c:pt idx="7">
                  <c:v>33898.305084745763</c:v>
                </c:pt>
                <c:pt idx="8">
                  <c:v>37735.84905660378</c:v>
                </c:pt>
                <c:pt idx="9">
                  <c:v>43010.752688172048</c:v>
                </c:pt>
              </c:numCache>
            </c:numRef>
          </c:xVal>
          <c:yVal>
            <c:numRef>
              <c:f>Ard_Turn_ESC_Gb_Ta!$Y$3:$Y$12</c:f>
              <c:numCache>
                <c:formatCode>0.00000</c:formatCode>
                <c:ptCount val="10"/>
                <c:pt idx="0">
                  <c:v>0</c:v>
                </c:pt>
                <c:pt idx="1">
                  <c:v>1.5816242020167499E-3</c:v>
                </c:pt>
                <c:pt idx="2">
                  <c:v>2.9874216567006805E-3</c:v>
                </c:pt>
                <c:pt idx="3">
                  <c:v>4.3733141677998882E-3</c:v>
                </c:pt>
                <c:pt idx="4">
                  <c:v>7.0799142002928783E-3</c:v>
                </c:pt>
                <c:pt idx="5">
                  <c:v>1.0746086850218228E-2</c:v>
                </c:pt>
                <c:pt idx="6">
                  <c:v>1.2943956113655848E-2</c:v>
                </c:pt>
                <c:pt idx="7">
                  <c:v>1.4772280722212119E-2</c:v>
                </c:pt>
                <c:pt idx="8">
                  <c:v>1.7888650014872123E-2</c:v>
                </c:pt>
                <c:pt idx="9">
                  <c:v>2.5788232063459551E-2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213-459B-8F93-8719FC26F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731464"/>
        <c:axId val="220733032"/>
      </c:scatterChart>
      <c:valAx>
        <c:axId val="220731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20733032"/>
        <c:crosses val="autoZero"/>
        <c:crossBetween val="midCat"/>
      </c:valAx>
      <c:valAx>
        <c:axId val="220733032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2207314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Ard_Turn_ESC_Gb_Ta!$Q$1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Ard_Turn_ESC_Gb_Ta!$E$5:$E$12</c:f>
              <c:numCache>
                <c:formatCode>General</c:formatCode>
                <c:ptCount val="8"/>
                <c:pt idx="0">
                  <c:v>0.56999999999999995</c:v>
                </c:pt>
                <c:pt idx="1">
                  <c:v>0.77</c:v>
                </c:pt>
                <c:pt idx="2">
                  <c:v>1.1100000000000001</c:v>
                </c:pt>
                <c:pt idx="3">
                  <c:v>1.47</c:v>
                </c:pt>
                <c:pt idx="4">
                  <c:v>1.65</c:v>
                </c:pt>
                <c:pt idx="5">
                  <c:v>1.77</c:v>
                </c:pt>
                <c:pt idx="6">
                  <c:v>2</c:v>
                </c:pt>
                <c:pt idx="7">
                  <c:v>2.42</c:v>
                </c:pt>
              </c:numCache>
            </c:numRef>
          </c:xVal>
          <c:yVal>
            <c:numRef>
              <c:f>Ard_Turn_ESC_Gb_Ta!$Q$5:$Q$12</c:f>
              <c:numCache>
                <c:formatCode>0</c:formatCode>
                <c:ptCount val="8"/>
                <c:pt idx="0">
                  <c:v>7407.4074074074078</c:v>
                </c:pt>
                <c:pt idx="1">
                  <c:v>10830.324909747293</c:v>
                </c:pt>
                <c:pt idx="2">
                  <c:v>15665.796344647519</c:v>
                </c:pt>
                <c:pt idx="3">
                  <c:v>20689.65517241379</c:v>
                </c:pt>
                <c:pt idx="4">
                  <c:v>22813.688212927755</c:v>
                </c:pt>
                <c:pt idx="5">
                  <c:v>24896.265560165975</c:v>
                </c:pt>
                <c:pt idx="6">
                  <c:v>28037.383177570096</c:v>
                </c:pt>
                <c:pt idx="7">
                  <c:v>33519.553072625698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9E0-442A-897D-C2BC6F84D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734208"/>
        <c:axId val="220733424"/>
      </c:scatterChart>
      <c:valAx>
        <c:axId val="22073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0733424"/>
        <c:crosses val="autoZero"/>
        <c:crossBetween val="midCat"/>
      </c:valAx>
      <c:valAx>
        <c:axId val="22073342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20734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Ard4_Turn4_ESC4_G4b_T4a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Ard_Turn_ESC_Gb_Ta!$K$37</c:f>
              <c:strCache>
                <c:ptCount val="1"/>
                <c:pt idx="0">
                  <c:v>Meas TauT4,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Ard_Turn_ESC_Gb_Ta!$I$39:$I$42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35</c:v>
                </c:pt>
                <c:pt idx="3">
                  <c:v>25</c:v>
                </c:pt>
              </c:numCache>
            </c:numRef>
          </c:xVal>
          <c:yVal>
            <c:numRef>
              <c:f>Ard_Turn_ESC_Gb_Ta!$K$39:$K$42</c:f>
              <c:numCache>
                <c:formatCode>0.000</c:formatCode>
                <c:ptCount val="4"/>
                <c:pt idx="0">
                  <c:v>4.2999999999999997E-2</c:v>
                </c:pt>
                <c:pt idx="1">
                  <c:v>8.5000000000000006E-2</c:v>
                </c:pt>
                <c:pt idx="2">
                  <c:v>0.17799999999999999</c:v>
                </c:pt>
                <c:pt idx="3">
                  <c:v>0.22800000000000001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550-4CEE-BC4C-75B006F007B3}"/>
            </c:ext>
          </c:extLst>
        </c:ser>
        <c:ser>
          <c:idx val="1"/>
          <c:order val="1"/>
          <c:tx>
            <c:strRef>
              <c:f>Ard_Turn_ESC_Gb_Ta!$AU$1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Ard_Turn_ESC_Gb_Ta!$AN$6:$AN$12</c:f>
              <c:numCache>
                <c:formatCode>0.0</c:formatCode>
                <c:ptCount val="7"/>
                <c:pt idx="0">
                  <c:v>23.940349199014673</c:v>
                </c:pt>
                <c:pt idx="1">
                  <c:v>35.02851083535257</c:v>
                </c:pt>
                <c:pt idx="2">
                  <c:v>45.937348737746348</c:v>
                </c:pt>
                <c:pt idx="3">
                  <c:v>50.863217835131309</c:v>
                </c:pt>
                <c:pt idx="4">
                  <c:v>55.03577694275797</c:v>
                </c:pt>
                <c:pt idx="5">
                  <c:v>61.034642074399542</c:v>
                </c:pt>
                <c:pt idx="6">
                  <c:v>69.516378008191268</c:v>
                </c:pt>
              </c:numCache>
            </c:numRef>
          </c:xVal>
          <c:yVal>
            <c:numRef>
              <c:f>Ard_Turn_ESC_Gb_Ta!$AU$6:$AU$12</c:f>
              <c:numCache>
                <c:formatCode>0.000</c:formatCode>
                <c:ptCount val="7"/>
                <c:pt idx="0">
                  <c:v>0.24941509914444035</c:v>
                </c:pt>
                <c:pt idx="1">
                  <c:v>0.13874471667130858</c:v>
                </c:pt>
                <c:pt idx="2">
                  <c:v>8.5000000000000006E-2</c:v>
                </c:pt>
                <c:pt idx="3">
                  <c:v>7.3338008592997134E-2</c:v>
                </c:pt>
                <c:pt idx="4">
                  <c:v>6.6505456038685962E-2</c:v>
                </c:pt>
                <c:pt idx="5">
                  <c:v>5.4210741986733667E-2</c:v>
                </c:pt>
                <c:pt idx="6">
                  <c:v>3.7786064260313799E-2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550-4CEE-BC4C-75B006F00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15152"/>
        <c:axId val="221713976"/>
      </c:scatterChart>
      <c:valAx>
        <c:axId val="22171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1713976"/>
        <c:crosses val="autoZero"/>
        <c:crossBetween val="midCat"/>
      </c:valAx>
      <c:valAx>
        <c:axId val="221713976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21715152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Ard4_Turn4_ESC4_G4b_T4a - TauG Reasonable Check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Ard_Turn_ESC_Gb_Ta!$K$37</c:f>
              <c:strCache>
                <c:ptCount val="1"/>
                <c:pt idx="0">
                  <c:v>Meas TauT4,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Ard_Turn_ESC_Gb_Ta!$I$39:$I$42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35</c:v>
                </c:pt>
                <c:pt idx="3">
                  <c:v>25</c:v>
                </c:pt>
              </c:numCache>
            </c:numRef>
          </c:xVal>
          <c:yVal>
            <c:numRef>
              <c:f>Ard_Turn_ESC_Gb_Ta!$K$39:$K$42</c:f>
              <c:numCache>
                <c:formatCode>0.000</c:formatCode>
                <c:ptCount val="4"/>
                <c:pt idx="0">
                  <c:v>4.2999999999999997E-2</c:v>
                </c:pt>
                <c:pt idx="1">
                  <c:v>8.5000000000000006E-2</c:v>
                </c:pt>
                <c:pt idx="2">
                  <c:v>0.17799999999999999</c:v>
                </c:pt>
                <c:pt idx="3">
                  <c:v>0.22800000000000001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79-4B54-95AC-15A0DAD5D3BF}"/>
            </c:ext>
          </c:extLst>
        </c:ser>
        <c:ser>
          <c:idx val="1"/>
          <c:order val="1"/>
          <c:tx>
            <c:strRef>
              <c:f>Ard_Turn_ESC_Gb_Ta!$AU$1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Ard_Turn_ESC_Gb_Ta!$AN$6:$AN$12</c:f>
              <c:numCache>
                <c:formatCode>0.0</c:formatCode>
                <c:ptCount val="7"/>
                <c:pt idx="0">
                  <c:v>23.940349199014673</c:v>
                </c:pt>
                <c:pt idx="1">
                  <c:v>35.02851083535257</c:v>
                </c:pt>
                <c:pt idx="2">
                  <c:v>45.937348737746348</c:v>
                </c:pt>
                <c:pt idx="3">
                  <c:v>50.863217835131309</c:v>
                </c:pt>
                <c:pt idx="4">
                  <c:v>55.03577694275797</c:v>
                </c:pt>
                <c:pt idx="5">
                  <c:v>61.034642074399542</c:v>
                </c:pt>
                <c:pt idx="6">
                  <c:v>69.516378008191268</c:v>
                </c:pt>
              </c:numCache>
            </c:numRef>
          </c:xVal>
          <c:yVal>
            <c:numRef>
              <c:f>Ard_Turn_ESC_Gb_Ta!$AU$6:$AU$12</c:f>
              <c:numCache>
                <c:formatCode>0.000</c:formatCode>
                <c:ptCount val="7"/>
                <c:pt idx="0">
                  <c:v>0.24941509914444035</c:v>
                </c:pt>
                <c:pt idx="1">
                  <c:v>0.13874471667130858</c:v>
                </c:pt>
                <c:pt idx="2">
                  <c:v>8.5000000000000006E-2</c:v>
                </c:pt>
                <c:pt idx="3">
                  <c:v>7.3338008592997134E-2</c:v>
                </c:pt>
                <c:pt idx="4">
                  <c:v>6.6505456038685962E-2</c:v>
                </c:pt>
                <c:pt idx="5">
                  <c:v>5.4210741986733667E-2</c:v>
                </c:pt>
                <c:pt idx="6">
                  <c:v>3.7786064260313799E-2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79-4B54-95AC-15A0DAD5D3BF}"/>
            </c:ext>
          </c:extLst>
        </c:ser>
        <c:ser>
          <c:idx val="2"/>
          <c:order val="2"/>
          <c:tx>
            <c:strRef>
              <c:f>Ard_Turn_ESC_Gb_Ta!$AS$1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Ard_Turn_ESC_Gb_Ta!$AN$4:$AN$12</c:f>
              <c:numCache>
                <c:formatCode>0.0</c:formatCode>
                <c:ptCount val="9"/>
                <c:pt idx="0">
                  <c:v>9.4293797002160868</c:v>
                </c:pt>
                <c:pt idx="1">
                  <c:v>16.604195273343983</c:v>
                </c:pt>
                <c:pt idx="2">
                  <c:v>23.940349199014673</c:v>
                </c:pt>
                <c:pt idx="3">
                  <c:v>35.02851083535257</c:v>
                </c:pt>
                <c:pt idx="4">
                  <c:v>45.937348737746348</c:v>
                </c:pt>
                <c:pt idx="5">
                  <c:v>50.863217835131309</c:v>
                </c:pt>
                <c:pt idx="6">
                  <c:v>55.03577694275797</c:v>
                </c:pt>
                <c:pt idx="7">
                  <c:v>61.034642074399542</c:v>
                </c:pt>
                <c:pt idx="8">
                  <c:v>69.516378008191268</c:v>
                </c:pt>
              </c:numCache>
            </c:numRef>
          </c:xVal>
          <c:yVal>
            <c:numRef>
              <c:f>Ard_Turn_ESC_Gb_Ta!$AS$4:$AS$12</c:f>
              <c:numCache>
                <c:formatCode>0.000</c:formatCode>
                <c:ptCount val="9"/>
                <c:pt idx="0">
                  <c:v>0.12425332799821891</c:v>
                </c:pt>
                <c:pt idx="1">
                  <c:v>9.0506650066736249E-2</c:v>
                </c:pt>
                <c:pt idx="2">
                  <c:v>7.0835432567228518E-2</c:v>
                </c:pt>
                <c:pt idx="3">
                  <c:v>5.3319661919205556E-2</c:v>
                </c:pt>
                <c:pt idx="4">
                  <c:v>4.2886455617819064E-2</c:v>
                </c:pt>
                <c:pt idx="5">
                  <c:v>3.9404813979561595E-2</c:v>
                </c:pt>
                <c:pt idx="6">
                  <c:v>3.6869395995943639E-2</c:v>
                </c:pt>
                <c:pt idx="7">
                  <c:v>3.37475653977337E-2</c:v>
                </c:pt>
                <c:pt idx="8">
                  <c:v>3.0139347139318443E-2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79-4B54-95AC-15A0DAD5D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15544"/>
        <c:axId val="221722208"/>
      </c:scatterChart>
      <c:valAx>
        <c:axId val="221715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1722208"/>
        <c:crosses val="autoZero"/>
        <c:crossBetween val="midCat"/>
      </c:valAx>
      <c:valAx>
        <c:axId val="221722208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2171554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Ardx_Turnx_ESCx_Gxb_Txa!$Q$1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Ardx_Turnx_ESCx_Gxb_Txa!$P$4:$P$14</c:f>
              <c:numCache>
                <c:formatCode>0</c:formatCode>
                <c:ptCount val="11"/>
                <c:pt idx="0">
                  <c:v>12000.000000000002</c:v>
                </c:pt>
                <c:pt idx="1">
                  <c:v>14851.485148514852</c:v>
                </c:pt>
                <c:pt idx="2">
                  <c:v>16574.585635359115</c:v>
                </c:pt>
                <c:pt idx="3">
                  <c:v>20134.228187919463</c:v>
                </c:pt>
                <c:pt idx="4">
                  <c:v>24193.548387096776</c:v>
                </c:pt>
                <c:pt idx="5">
                  <c:v>28571.428571428572</c:v>
                </c:pt>
                <c:pt idx="6">
                  <c:v>33333.333333333336</c:v>
                </c:pt>
                <c:pt idx="7">
                  <c:v>34090.909090909088</c:v>
                </c:pt>
                <c:pt idx="8">
                  <c:v>36585.365853658535</c:v>
                </c:pt>
                <c:pt idx="9">
                  <c:v>41095.890410958906</c:v>
                </c:pt>
                <c:pt idx="10">
                  <c:v>44117.647058823532</c:v>
                </c:pt>
              </c:numCache>
            </c:numRef>
          </c:xVal>
          <c:yVal>
            <c:numRef>
              <c:f>Ardx_Turnx_ESCx_Gxb_Txa!$Q$4:$Q$14</c:f>
              <c:numCache>
                <c:formatCode>0</c:formatCode>
                <c:ptCount val="11"/>
                <c:pt idx="0">
                  <c:v>4379.5620437956213</c:v>
                </c:pt>
                <c:pt idx="1">
                  <c:v>7500.0000000000009</c:v>
                </c:pt>
                <c:pt idx="2">
                  <c:v>8823.5294117647063</c:v>
                </c:pt>
                <c:pt idx="3">
                  <c:v>12096.774193548388</c:v>
                </c:pt>
                <c:pt idx="4">
                  <c:v>17045.454545454544</c:v>
                </c:pt>
                <c:pt idx="5">
                  <c:v>21276.595744680853</c:v>
                </c:pt>
                <c:pt idx="6">
                  <c:v>25000</c:v>
                </c:pt>
                <c:pt idx="7">
                  <c:v>25862.068965517243</c:v>
                </c:pt>
                <c:pt idx="8">
                  <c:v>28301.886792452831</c:v>
                </c:pt>
                <c:pt idx="9">
                  <c:v>32608.695652173916</c:v>
                </c:pt>
                <c:pt idx="10">
                  <c:v>36363.636363636368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178-466F-8F92-3A248BFEE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06728"/>
        <c:axId val="196107512"/>
      </c:scatterChart>
      <c:valAx>
        <c:axId val="196106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6107512"/>
        <c:crosses val="autoZero"/>
        <c:crossBetween val="midCat"/>
      </c:valAx>
      <c:valAx>
        <c:axId val="19610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6106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Ardx_Turnx_ESCx_Gxb_Txa!$R$1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Ardx_Turnx_ESCx_Gxb_Txa!$L$4:$L$14</c:f>
              <c:numCache>
                <c:formatCode>General</c:formatCode>
                <c:ptCount val="11"/>
                <c:pt idx="0">
                  <c:v>18</c:v>
                </c:pt>
                <c:pt idx="1">
                  <c:v>24</c:v>
                </c:pt>
                <c:pt idx="2">
                  <c:v>28</c:v>
                </c:pt>
                <c:pt idx="3">
                  <c:v>36</c:v>
                </c:pt>
                <c:pt idx="4">
                  <c:v>52</c:v>
                </c:pt>
                <c:pt idx="5">
                  <c:v>73</c:v>
                </c:pt>
                <c:pt idx="6">
                  <c:v>94</c:v>
                </c:pt>
                <c:pt idx="7">
                  <c:v>99</c:v>
                </c:pt>
                <c:pt idx="8">
                  <c:v>110</c:v>
                </c:pt>
                <c:pt idx="9">
                  <c:v>132</c:v>
                </c:pt>
                <c:pt idx="10">
                  <c:v>175</c:v>
                </c:pt>
              </c:numCache>
            </c:numRef>
          </c:xVal>
          <c:yVal>
            <c:numRef>
              <c:f>Ardx_Turnx_ESCx_Gxb_Txa!$R$4:$R$14</c:f>
              <c:numCache>
                <c:formatCode>0</c:formatCode>
                <c:ptCount val="11"/>
                <c:pt idx="0">
                  <c:v>26.041666666666671</c:v>
                </c:pt>
                <c:pt idx="1">
                  <c:v>32.229785478547853</c:v>
                </c:pt>
                <c:pt idx="2">
                  <c:v>35.969152854511968</c:v>
                </c:pt>
                <c:pt idx="3">
                  <c:v>43.694071588366889</c:v>
                </c:pt>
                <c:pt idx="4">
                  <c:v>52.503360215053767</c:v>
                </c:pt>
                <c:pt idx="5">
                  <c:v>62.003968253968253</c:v>
                </c:pt>
                <c:pt idx="6">
                  <c:v>72.337962962962962</c:v>
                </c:pt>
                <c:pt idx="7">
                  <c:v>73.982007575757564</c:v>
                </c:pt>
                <c:pt idx="8">
                  <c:v>79.395325203252028</c:v>
                </c:pt>
                <c:pt idx="9">
                  <c:v>89.183789954337897</c:v>
                </c:pt>
                <c:pt idx="10">
                  <c:v>95.741421568627459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FD6-4C2E-837E-8C83E85E5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01240"/>
        <c:axId val="196101632"/>
      </c:scatterChart>
      <c:scatterChart>
        <c:scatterStyle val="lineMarker"/>
        <c:varyColors val="0"/>
        <c:ser>
          <c:idx val="1"/>
          <c:order val="1"/>
          <c:tx>
            <c:strRef>
              <c:f>Ardx_Turnx_ESCx_Gxb_Txa!$U$1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Ardx_Turnx_ESCx_Gxb_Txa!$L$3:$L$14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175</c:v>
                </c:pt>
              </c:numCache>
            </c:numRef>
          </c:xVal>
          <c:yVal>
            <c:numRef>
              <c:f>Ardx_Turnx_ESCx_Gxb_Txa!$U$3:$U$14</c:f>
              <c:numCache>
                <c:formatCode>0.00</c:formatCode>
                <c:ptCount val="12"/>
                <c:pt idx="0">
                  <c:v>5.7199</c:v>
                </c:pt>
                <c:pt idx="1">
                  <c:v>7.8432000000000004</c:v>
                </c:pt>
                <c:pt idx="2">
                  <c:v>12.575249999999999</c:v>
                </c:pt>
                <c:pt idx="3">
                  <c:v>14.9688</c:v>
                </c:pt>
                <c:pt idx="4">
                  <c:v>21.609959999999997</c:v>
                </c:pt>
                <c:pt idx="5">
                  <c:v>37.054899999999996</c:v>
                </c:pt>
                <c:pt idx="6">
                  <c:v>53.266500000000008</c:v>
                </c:pt>
                <c:pt idx="7">
                  <c:v>76.287999999999997</c:v>
                </c:pt>
                <c:pt idx="8">
                  <c:v>82.615199999999987</c:v>
                </c:pt>
                <c:pt idx="9">
                  <c:v>95.934000000000012</c:v>
                </c:pt>
                <c:pt idx="10">
                  <c:v>136.65599999999998</c:v>
                </c:pt>
                <c:pt idx="11">
                  <c:v>163.30500000000001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FD6-4C2E-837E-8C83E85E5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83016"/>
        <c:axId val="194286152"/>
      </c:scatterChart>
      <c:valAx>
        <c:axId val="196101240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6101632"/>
        <c:crossesAt val="-40"/>
        <c:crossBetween val="midCat"/>
        <c:majorUnit val="20"/>
      </c:valAx>
      <c:valAx>
        <c:axId val="19610163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6101240"/>
        <c:crosses val="autoZero"/>
        <c:crossBetween val="midCat"/>
      </c:valAx>
      <c:valAx>
        <c:axId val="194286152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4283016"/>
        <c:crosses val="max"/>
        <c:crossBetween val="midCat"/>
        <c:majorUnit val="40"/>
      </c:valAx>
      <c:valAx>
        <c:axId val="194283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286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Ardx_Turnx_ESCx_Gxb_Txa!$W$1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Ardx_Turnx_ESCx_Gxb_Txa!$R$3:$R$14</c:f>
              <c:numCache>
                <c:formatCode>0</c:formatCode>
                <c:ptCount val="12"/>
                <c:pt idx="0">
                  <c:v>20.218685300207039</c:v>
                </c:pt>
                <c:pt idx="1">
                  <c:v>26.041666666666671</c:v>
                </c:pt>
                <c:pt idx="2">
                  <c:v>32.229785478547853</c:v>
                </c:pt>
                <c:pt idx="3">
                  <c:v>35.969152854511968</c:v>
                </c:pt>
                <c:pt idx="4">
                  <c:v>43.694071588366889</c:v>
                </c:pt>
                <c:pt idx="5">
                  <c:v>52.503360215053767</c:v>
                </c:pt>
                <c:pt idx="6">
                  <c:v>62.003968253968253</c:v>
                </c:pt>
                <c:pt idx="7">
                  <c:v>72.337962962962962</c:v>
                </c:pt>
                <c:pt idx="8">
                  <c:v>73.982007575757564</c:v>
                </c:pt>
                <c:pt idx="9">
                  <c:v>79.395325203252028</c:v>
                </c:pt>
                <c:pt idx="10">
                  <c:v>89.183789954337897</c:v>
                </c:pt>
                <c:pt idx="11">
                  <c:v>95.741421568627459</c:v>
                </c:pt>
              </c:numCache>
            </c:numRef>
          </c:xVal>
          <c:yVal>
            <c:numRef>
              <c:f>Ardx_Turnx_ESCx_Gxb_Txa!$W$3:$W$14</c:f>
              <c:numCache>
                <c:formatCode>0.0000</c:formatCode>
                <c:ptCount val="12"/>
                <c:pt idx="0">
                  <c:v>5.349229476240001E-3</c:v>
                </c:pt>
                <c:pt idx="1">
                  <c:v>8.1966214888400009E-3</c:v>
                </c:pt>
                <c:pt idx="2">
                  <c:v>1.4542404643939999E-2</c:v>
                </c:pt>
                <c:pt idx="3">
                  <c:v>1.775220785204E-2</c:v>
                </c:pt>
                <c:pt idx="4">
                  <c:v>2.6658149517560001E-2</c:v>
                </c:pt>
                <c:pt idx="5">
                  <c:v>4.7370153846239993E-2</c:v>
                </c:pt>
                <c:pt idx="6">
                  <c:v>6.9110266101440013E-2</c:v>
                </c:pt>
                <c:pt idx="7">
                  <c:v>9.9982604074439999E-2</c:v>
                </c:pt>
                <c:pt idx="8">
                  <c:v>0.10846751847283999</c:v>
                </c:pt>
                <c:pt idx="9">
                  <c:v>0.12632832228644003</c:v>
                </c:pt>
                <c:pt idx="10">
                  <c:v>0.18093742017044001</c:v>
                </c:pt>
                <c:pt idx="11">
                  <c:v>0.21667431544844004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04C-4C54-BFF5-C62AF48EF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84976"/>
        <c:axId val="194280664"/>
      </c:scatterChart>
      <c:valAx>
        <c:axId val="194284976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4280664"/>
        <c:crosses val="autoZero"/>
        <c:crossBetween val="midCat"/>
      </c:valAx>
      <c:valAx>
        <c:axId val="1942806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194284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Ardx_Turnx_ESCx_Gxb_Txa!$P$1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Ardx_Turnx_ESCx_Gxb_Txa!$L$3:$L$14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175</c:v>
                </c:pt>
              </c:numCache>
            </c:numRef>
          </c:xVal>
          <c:yVal>
            <c:numRef>
              <c:f>Ardx_Turnx_ESCx_Gxb_Txa!$P$3:$P$14</c:f>
              <c:numCache>
                <c:formatCode>0</c:formatCode>
                <c:ptCount val="12"/>
                <c:pt idx="0">
                  <c:v>9316.7701863354032</c:v>
                </c:pt>
                <c:pt idx="1">
                  <c:v>12000.000000000002</c:v>
                </c:pt>
                <c:pt idx="2">
                  <c:v>14851.485148514852</c:v>
                </c:pt>
                <c:pt idx="3">
                  <c:v>16574.585635359115</c:v>
                </c:pt>
                <c:pt idx="4">
                  <c:v>20134.228187919463</c:v>
                </c:pt>
                <c:pt idx="5">
                  <c:v>24193.548387096776</c:v>
                </c:pt>
                <c:pt idx="6">
                  <c:v>28571.428571428572</c:v>
                </c:pt>
                <c:pt idx="7">
                  <c:v>33333.333333333336</c:v>
                </c:pt>
                <c:pt idx="8">
                  <c:v>34090.909090909088</c:v>
                </c:pt>
                <c:pt idx="9">
                  <c:v>36585.365853658535</c:v>
                </c:pt>
                <c:pt idx="10">
                  <c:v>41095.890410958906</c:v>
                </c:pt>
                <c:pt idx="11">
                  <c:v>44117.647058823532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C1-4F95-B81F-9B2F149C2DC9}"/>
            </c:ext>
          </c:extLst>
        </c:ser>
        <c:ser>
          <c:idx val="1"/>
          <c:order val="1"/>
          <c:tx>
            <c:strRef>
              <c:f>Ardx_Turnx_ESCx_Gxb_Txa!$AJ$1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Ardx_Turnx_ESCx_Gxb_Txa!$D$3:$D$14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175</c:v>
                </c:pt>
              </c:numCache>
            </c:numRef>
          </c:xVal>
          <c:yVal>
            <c:numRef>
              <c:f>Ardx_Turnx_ESCx_Gxb_Txa!$AJ$3:$AJ$14</c:f>
              <c:numCache>
                <c:formatCode>0.00</c:formatCode>
                <c:ptCount val="12"/>
                <c:pt idx="0">
                  <c:v>6785.5755148519966</c:v>
                </c:pt>
                <c:pt idx="1">
                  <c:v>10393.817131718955</c:v>
                </c:pt>
                <c:pt idx="2">
                  <c:v>14524.206434663385</c:v>
                </c:pt>
                <c:pt idx="3">
                  <c:v>16737.421577247005</c:v>
                </c:pt>
                <c:pt idx="4">
                  <c:v>20345.663194113957</c:v>
                </c:pt>
                <c:pt idx="5">
                  <c:v>25625.263988535306</c:v>
                </c:pt>
                <c:pt idx="6">
                  <c:v>30495.546588838792</c:v>
                </c:pt>
                <c:pt idx="7">
                  <c:v>34125.624679819084</c:v>
                </c:pt>
                <c:pt idx="8">
                  <c:v>34869.702001384307</c:v>
                </c:pt>
                <c:pt idx="9">
                  <c:v>36382.413388357301</c:v>
                </c:pt>
                <c:pt idx="10">
                  <c:v>39000.091304328736</c:v>
                </c:pt>
                <c:pt idx="11">
                  <c:v>43048.671388995259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CC1-4F95-B81F-9B2F149C2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81056"/>
        <c:axId val="194280272"/>
      </c:scatterChart>
      <c:valAx>
        <c:axId val="19428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4280272"/>
        <c:crosses val="autoZero"/>
        <c:crossBetween val="midCat"/>
      </c:valAx>
      <c:valAx>
        <c:axId val="1942802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428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Ard0_Turn0_ESC0_G0b_T0a!$V$1</c:f>
              <c:strCache>
                <c:ptCount val="1"/>
                <c:pt idx="0">
                  <c:v>Ng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Ard0_Turn0_ESC0_G0b_T0a!$R$3:$R$13</c:f>
              <c:numCache>
                <c:formatCode>0</c:formatCode>
                <c:ptCount val="11"/>
                <c:pt idx="0">
                  <c:v>18.391007532956685</c:v>
                </c:pt>
                <c:pt idx="1">
                  <c:v>32.229785478547853</c:v>
                </c:pt>
                <c:pt idx="2">
                  <c:v>35.38269927536232</c:v>
                </c:pt>
                <c:pt idx="3">
                  <c:v>43.694071588366889</c:v>
                </c:pt>
                <c:pt idx="4">
                  <c:v>54.480474198047411</c:v>
                </c:pt>
                <c:pt idx="5">
                  <c:v>60.003840245775734</c:v>
                </c:pt>
                <c:pt idx="6">
                  <c:v>70.004480286738342</c:v>
                </c:pt>
                <c:pt idx="7">
                  <c:v>80.375514403292172</c:v>
                </c:pt>
                <c:pt idx="8">
                  <c:v>91.054778554778551</c:v>
                </c:pt>
                <c:pt idx="9">
                  <c:v>94.353864734299535</c:v>
                </c:pt>
                <c:pt idx="10">
                  <c:v>95.181530214424939</c:v>
                </c:pt>
              </c:numCache>
            </c:numRef>
          </c:xVal>
          <c:yVal>
            <c:numRef>
              <c:f>Ard0_Turn0_ESC0_G0b_T0a!$V$3:$V$13</c:f>
              <c:numCache>
                <c:formatCode>0.00</c:formatCode>
                <c:ptCount val="11"/>
                <c:pt idx="0" formatCode="General">
                  <c:v>3.8376900000000007</c:v>
                </c:pt>
                <c:pt idx="1">
                  <c:v>10.219980000000001</c:v>
                </c:pt>
                <c:pt idx="2">
                  <c:v>13.48564</c:v>
                </c:pt>
                <c:pt idx="3">
                  <c:v>22.02562</c:v>
                </c:pt>
                <c:pt idx="4">
                  <c:v>38.118240000000007</c:v>
                </c:pt>
                <c:pt idx="5">
                  <c:v>47.406239999999997</c:v>
                </c:pt>
                <c:pt idx="6">
                  <c:v>70.750439999999998</c:v>
                </c:pt>
                <c:pt idx="7">
                  <c:v>101.47304</c:v>
                </c:pt>
                <c:pt idx="8">
                  <c:v>145.75064</c:v>
                </c:pt>
                <c:pt idx="9">
                  <c:v>164.84423999999999</c:v>
                </c:pt>
                <c:pt idx="10">
                  <c:v>171.79503999999997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E04-441D-BA6E-5BBD76C0C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82160"/>
        <c:axId val="178482944"/>
      </c:scatterChart>
      <c:valAx>
        <c:axId val="178482160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8482944"/>
        <c:crosses val="autoZero"/>
        <c:crossBetween val="midCat"/>
      </c:valAx>
      <c:valAx>
        <c:axId val="178482944"/>
        <c:scaling>
          <c:orientation val="minMax"/>
          <c:max val="2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482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Ardx_Turnx_ESCx_Gxb_Txa!$Y$1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Ardx_Turnx_ESCx_Gxb_Txa!$P$3:$P$14</c:f>
              <c:numCache>
                <c:formatCode>0</c:formatCode>
                <c:ptCount val="12"/>
                <c:pt idx="0">
                  <c:v>9316.7701863354032</c:v>
                </c:pt>
                <c:pt idx="1">
                  <c:v>12000.000000000002</c:v>
                </c:pt>
                <c:pt idx="2">
                  <c:v>14851.485148514852</c:v>
                </c:pt>
                <c:pt idx="3">
                  <c:v>16574.585635359115</c:v>
                </c:pt>
                <c:pt idx="4">
                  <c:v>20134.228187919463</c:v>
                </c:pt>
                <c:pt idx="5">
                  <c:v>24193.548387096776</c:v>
                </c:pt>
                <c:pt idx="6">
                  <c:v>28571.428571428572</c:v>
                </c:pt>
                <c:pt idx="7">
                  <c:v>33333.333333333336</c:v>
                </c:pt>
                <c:pt idx="8">
                  <c:v>34090.909090909088</c:v>
                </c:pt>
                <c:pt idx="9">
                  <c:v>36585.365853658535</c:v>
                </c:pt>
                <c:pt idx="10">
                  <c:v>41095.890410958906</c:v>
                </c:pt>
                <c:pt idx="11">
                  <c:v>44117.647058823532</c:v>
                </c:pt>
              </c:numCache>
            </c:numRef>
          </c:xVal>
          <c:yVal>
            <c:numRef>
              <c:f>Ardx_Turnx_ESCx_Gxb_Txa!$Y$3:$Y$14</c:f>
              <c:numCache>
                <c:formatCode>0.00000</c:formatCode>
                <c:ptCount val="12"/>
                <c:pt idx="0">
                  <c:v>0</c:v>
                </c:pt>
                <c:pt idx="1">
                  <c:v>5.7194889382683337E-4</c:v>
                </c:pt>
                <c:pt idx="2">
                  <c:v>2.1272593076693668E-3</c:v>
                </c:pt>
                <c:pt idx="3">
                  <c:v>2.6097148257590097E-3</c:v>
                </c:pt>
                <c:pt idx="4">
                  <c:v>3.9383214184337077E-3</c:v>
                </c:pt>
                <c:pt idx="5">
                  <c:v>7.2678002062298947E-3</c:v>
                </c:pt>
                <c:pt idx="6">
                  <c:v>9.6884100036445618E-3</c:v>
                </c:pt>
                <c:pt idx="7">
                  <c:v>1.2737819986846626E-2</c:v>
                </c:pt>
                <c:pt idx="8">
                  <c:v>1.3694922161445626E-2</c:v>
                </c:pt>
                <c:pt idx="9">
                  <c:v>1.5119581085266998E-2</c:v>
                </c:pt>
                <c:pt idx="10">
                  <c:v>2.0108121936766532E-2</c:v>
                </c:pt>
                <c:pt idx="11">
                  <c:v>2.2778626996209216E-2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2F-4987-98D4-1943A55E8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81840"/>
        <c:axId val="194282232"/>
      </c:scatterChart>
      <c:valAx>
        <c:axId val="194281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4282232"/>
        <c:crosses val="autoZero"/>
        <c:crossBetween val="midCat"/>
      </c:valAx>
      <c:valAx>
        <c:axId val="194282232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1942818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Ardx_Turnx_ESCx_Gxb_Txa!$Q$1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Ardx_Turnx_ESCx_Gxb_Txa!$E$2:$E$14</c:f>
              <c:numCache>
                <c:formatCode>General</c:formatCode>
                <c:ptCount val="13"/>
                <c:pt idx="0">
                  <c:v>3.3E-3</c:v>
                </c:pt>
                <c:pt idx="1">
                  <c:v>4.4000000000000003E-3</c:v>
                </c:pt>
                <c:pt idx="2">
                  <c:v>0.34300000000000003</c:v>
                </c:pt>
                <c:pt idx="3">
                  <c:v>0.58099999999999996</c:v>
                </c:pt>
                <c:pt idx="4">
                  <c:v>0.68400000000000005</c:v>
                </c:pt>
                <c:pt idx="5">
                  <c:v>0.95099999999999996</c:v>
                </c:pt>
                <c:pt idx="6">
                  <c:v>1.3580000000000001</c:v>
                </c:pt>
                <c:pt idx="7">
                  <c:v>1.639</c:v>
                </c:pt>
                <c:pt idx="8">
                  <c:v>1.93</c:v>
                </c:pt>
                <c:pt idx="9">
                  <c:v>1.96</c:v>
                </c:pt>
                <c:pt idx="10">
                  <c:v>2.17</c:v>
                </c:pt>
                <c:pt idx="11">
                  <c:v>2.62</c:v>
                </c:pt>
                <c:pt idx="12">
                  <c:v>3.68</c:v>
                </c:pt>
              </c:numCache>
            </c:numRef>
          </c:xVal>
          <c:yVal>
            <c:numRef>
              <c:f>Ardx_Turnx_ESCx_Gxb_Txa!$Q$2:$Q$14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5.9999999999999995E-25</c:v>
                </c:pt>
                <c:pt idx="2">
                  <c:v>4379.5620437956213</c:v>
                </c:pt>
                <c:pt idx="3">
                  <c:v>7500.0000000000009</c:v>
                </c:pt>
                <c:pt idx="4">
                  <c:v>8823.5294117647063</c:v>
                </c:pt>
                <c:pt idx="5">
                  <c:v>12096.774193548388</c:v>
                </c:pt>
                <c:pt idx="6">
                  <c:v>17045.454545454544</c:v>
                </c:pt>
                <c:pt idx="7">
                  <c:v>21276.595744680853</c:v>
                </c:pt>
                <c:pt idx="8">
                  <c:v>25000</c:v>
                </c:pt>
                <c:pt idx="9">
                  <c:v>25862.068965517243</c:v>
                </c:pt>
                <c:pt idx="10">
                  <c:v>28301.886792452831</c:v>
                </c:pt>
                <c:pt idx="11">
                  <c:v>32608.695652173916</c:v>
                </c:pt>
                <c:pt idx="12">
                  <c:v>36363.636363636368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CDE-4A89-B79E-2A120BD7E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82624"/>
        <c:axId val="194283800"/>
      </c:scatterChart>
      <c:valAx>
        <c:axId val="19428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283800"/>
        <c:crosses val="autoZero"/>
        <c:crossBetween val="midCat"/>
      </c:valAx>
      <c:valAx>
        <c:axId val="194283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282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ArdX_TurnX_ESCX_GXb_TXa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Ardx_Turnx_ESCx_Gxb_Txa!$K$39</c:f>
              <c:strCache>
                <c:ptCount val="1"/>
                <c:pt idx="0">
                  <c:v>Meas TauTx,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Ardx_Turnx_ESCx_Gxb_Txa!$I$41:$I$44</c:f>
              <c:numCache>
                <c:formatCode>General</c:formatCode>
                <c:ptCount val="4"/>
                <c:pt idx="0">
                  <c:v>62</c:v>
                </c:pt>
                <c:pt idx="1">
                  <c:v>47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Ardx_Turnx_ESCx_Gxb_Txa!$K$41:$K$44</c:f>
              <c:numCache>
                <c:formatCode>0.000</c:formatCode>
                <c:ptCount val="4"/>
                <c:pt idx="0">
                  <c:v>3.5000000000000003E-2</c:v>
                </c:pt>
                <c:pt idx="1">
                  <c:v>8.5000000000000006E-2</c:v>
                </c:pt>
                <c:pt idx="2">
                  <c:v>0.28999999999999998</c:v>
                </c:pt>
                <c:pt idx="3">
                  <c:v>0.44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D31-4B68-A8DA-E3E6F8ABD14A}"/>
            </c:ext>
          </c:extLst>
        </c:ser>
        <c:ser>
          <c:idx val="1"/>
          <c:order val="1"/>
          <c:tx>
            <c:strRef>
              <c:f>Ardx_Turnx_ESCx_Gxb_Txa!$AU$1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Ardx_Turnx_ESCx_Gxb_Txa!$AN$5:$AN$14</c:f>
              <c:numCache>
                <c:formatCode>0.0</c:formatCode>
                <c:ptCount val="10"/>
                <c:pt idx="0">
                  <c:v>15.154599530983003</c:v>
                </c:pt>
                <c:pt idx="1">
                  <c:v>19.847556893847635</c:v>
                </c:pt>
                <c:pt idx="2">
                  <c:v>27.498563674464116</c:v>
                </c:pt>
                <c:pt idx="3">
                  <c:v>38.693562725592052</c:v>
                </c:pt>
                <c:pt idx="4">
                  <c:v>49.020633125826407</c:v>
                </c:pt>
                <c:pt idx="5">
                  <c:v>56.717942518420131</c:v>
                </c:pt>
                <c:pt idx="6">
                  <c:v>58.29570288956225</c:v>
                </c:pt>
                <c:pt idx="7">
                  <c:v>61.503294372556027</c:v>
                </c:pt>
                <c:pt idx="8">
                  <c:v>67.053884829399593</c:v>
                </c:pt>
                <c:pt idx="9">
                  <c:v>75.638596433759602</c:v>
                </c:pt>
              </c:numCache>
            </c:numRef>
          </c:xVal>
          <c:yVal>
            <c:numRef>
              <c:f>Ardx_Turnx_ESCx_Gxb_Txa!$AU$5:$AU$14</c:f>
              <c:numCache>
                <c:formatCode>0.000</c:formatCode>
                <c:ptCount val="10"/>
                <c:pt idx="0">
                  <c:v>0.48492684083813109</c:v>
                </c:pt>
                <c:pt idx="1">
                  <c:v>0.33604533450080026</c:v>
                </c:pt>
                <c:pt idx="2">
                  <c:v>0.19939724781604101</c:v>
                </c:pt>
                <c:pt idx="3">
                  <c:v>0.13208671617779957</c:v>
                </c:pt>
                <c:pt idx="4">
                  <c:v>9.4535035180953214E-2</c:v>
                </c:pt>
                <c:pt idx="5">
                  <c:v>7.0814848720512219E-2</c:v>
                </c:pt>
                <c:pt idx="6">
                  <c:v>6.7982049109367726E-2</c:v>
                </c:pt>
                <c:pt idx="7">
                  <c:v>5.990401158157245E-2</c:v>
                </c:pt>
                <c:pt idx="8">
                  <c:v>4.8891656052354585E-2</c:v>
                </c:pt>
                <c:pt idx="9">
                  <c:v>4.0233677325012464E-2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D31-4B68-A8DA-E3E6F8ABD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79096"/>
        <c:axId val="194279880"/>
      </c:scatterChart>
      <c:valAx>
        <c:axId val="194279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279880"/>
        <c:crosses val="autoZero"/>
        <c:crossBetween val="midCat"/>
      </c:valAx>
      <c:valAx>
        <c:axId val="194279880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427909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ArdX_TurnX_ESCX_GXb_TXa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Ardx_Turnx_ESCx_Gxb_Txa!$K$39</c:f>
              <c:strCache>
                <c:ptCount val="1"/>
                <c:pt idx="0">
                  <c:v>Meas TauTx,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Ardx_Turnx_ESCx_Gxb_Txa!$I$41:$I$44</c:f>
              <c:numCache>
                <c:formatCode>General</c:formatCode>
                <c:ptCount val="4"/>
                <c:pt idx="0">
                  <c:v>62</c:v>
                </c:pt>
                <c:pt idx="1">
                  <c:v>47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Ardx_Turnx_ESCx_Gxb_Txa!$K$41:$K$44</c:f>
              <c:numCache>
                <c:formatCode>0.000</c:formatCode>
                <c:ptCount val="4"/>
                <c:pt idx="0">
                  <c:v>3.5000000000000003E-2</c:v>
                </c:pt>
                <c:pt idx="1">
                  <c:v>8.5000000000000006E-2</c:v>
                </c:pt>
                <c:pt idx="2">
                  <c:v>0.28999999999999998</c:v>
                </c:pt>
                <c:pt idx="3">
                  <c:v>0.44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61-45A2-904B-B79FA013CF00}"/>
            </c:ext>
          </c:extLst>
        </c:ser>
        <c:ser>
          <c:idx val="1"/>
          <c:order val="1"/>
          <c:tx>
            <c:strRef>
              <c:f>Ardx_Turnx_ESCx_Gxb_Txa!$AU$1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Ardx_Turnx_ESCx_Gxb_Txa!$AN$5:$AN$14</c:f>
              <c:numCache>
                <c:formatCode>0.0</c:formatCode>
                <c:ptCount val="10"/>
                <c:pt idx="0">
                  <c:v>15.154599530983003</c:v>
                </c:pt>
                <c:pt idx="1">
                  <c:v>19.847556893847635</c:v>
                </c:pt>
                <c:pt idx="2">
                  <c:v>27.498563674464116</c:v>
                </c:pt>
                <c:pt idx="3">
                  <c:v>38.693562725592052</c:v>
                </c:pt>
                <c:pt idx="4">
                  <c:v>49.020633125826407</c:v>
                </c:pt>
                <c:pt idx="5">
                  <c:v>56.717942518420131</c:v>
                </c:pt>
                <c:pt idx="6">
                  <c:v>58.29570288956225</c:v>
                </c:pt>
                <c:pt idx="7">
                  <c:v>61.503294372556027</c:v>
                </c:pt>
                <c:pt idx="8">
                  <c:v>67.053884829399593</c:v>
                </c:pt>
                <c:pt idx="9">
                  <c:v>75.638596433759602</c:v>
                </c:pt>
              </c:numCache>
            </c:numRef>
          </c:xVal>
          <c:yVal>
            <c:numRef>
              <c:f>Ardx_Turnx_ESCx_Gxb_Txa!$AU$5:$AU$14</c:f>
              <c:numCache>
                <c:formatCode>0.000</c:formatCode>
                <c:ptCount val="10"/>
                <c:pt idx="0">
                  <c:v>0.48492684083813109</c:v>
                </c:pt>
                <c:pt idx="1">
                  <c:v>0.33604533450080026</c:v>
                </c:pt>
                <c:pt idx="2">
                  <c:v>0.19939724781604101</c:v>
                </c:pt>
                <c:pt idx="3">
                  <c:v>0.13208671617779957</c:v>
                </c:pt>
                <c:pt idx="4">
                  <c:v>9.4535035180953214E-2</c:v>
                </c:pt>
                <c:pt idx="5">
                  <c:v>7.0814848720512219E-2</c:v>
                </c:pt>
                <c:pt idx="6">
                  <c:v>6.7982049109367726E-2</c:v>
                </c:pt>
                <c:pt idx="7">
                  <c:v>5.990401158157245E-2</c:v>
                </c:pt>
                <c:pt idx="8">
                  <c:v>4.8891656052354585E-2</c:v>
                </c:pt>
                <c:pt idx="9">
                  <c:v>4.0233677325012464E-2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61-45A2-904B-B79FA013CF00}"/>
            </c:ext>
          </c:extLst>
        </c:ser>
        <c:ser>
          <c:idx val="2"/>
          <c:order val="2"/>
          <c:tx>
            <c:strRef>
              <c:f>Ardx_Turnx_ESCx_Gxb_Txa!$AS$1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Ardx_Turnx_ESCx_Gxb_Txa!$AN$4:$AN$14</c:f>
              <c:numCache>
                <c:formatCode>0.0</c:formatCode>
                <c:ptCount val="11"/>
                <c:pt idx="0">
                  <c:v>6.3964175911456653</c:v>
                </c:pt>
                <c:pt idx="1">
                  <c:v>15.154599530983003</c:v>
                </c:pt>
                <c:pt idx="2">
                  <c:v>19.847556893847635</c:v>
                </c:pt>
                <c:pt idx="3">
                  <c:v>27.498563674464116</c:v>
                </c:pt>
                <c:pt idx="4">
                  <c:v>38.693562725592052</c:v>
                </c:pt>
                <c:pt idx="5">
                  <c:v>49.020633125826407</c:v>
                </c:pt>
                <c:pt idx="6">
                  <c:v>56.717942518420131</c:v>
                </c:pt>
                <c:pt idx="7">
                  <c:v>58.29570288956225</c:v>
                </c:pt>
                <c:pt idx="8">
                  <c:v>61.503294372556027</c:v>
                </c:pt>
                <c:pt idx="9">
                  <c:v>67.053884829399593</c:v>
                </c:pt>
                <c:pt idx="10">
                  <c:v>75.638596433759602</c:v>
                </c:pt>
              </c:numCache>
            </c:numRef>
          </c:xVal>
          <c:yVal>
            <c:numRef>
              <c:f>Ardx_Turnx_ESCx_Gxb_Txa!$AS$4:$AS$14</c:f>
              <c:numCache>
                <c:formatCode>0.000</c:formatCode>
                <c:ptCount val="11"/>
                <c:pt idx="0">
                  <c:v>0.11651905298660416</c:v>
                </c:pt>
                <c:pt idx="1">
                  <c:v>9.2240990422122499E-2</c:v>
                </c:pt>
                <c:pt idx="2">
                  <c:v>8.297682044203647E-2</c:v>
                </c:pt>
                <c:pt idx="3">
                  <c:v>7.1301860526731251E-2</c:v>
                </c:pt>
                <c:pt idx="4">
                  <c:v>5.9128721737825796E-2</c:v>
                </c:pt>
                <c:pt idx="5">
                  <c:v>5.1083541374411588E-2</c:v>
                </c:pt>
                <c:pt idx="6">
                  <c:v>4.6379952054669979E-2</c:v>
                </c:pt>
                <c:pt idx="7">
                  <c:v>4.5520818733494298E-2</c:v>
                </c:pt>
                <c:pt idx="8">
                  <c:v>4.3868766776210391E-2</c:v>
                </c:pt>
                <c:pt idx="9">
                  <c:v>4.127651717958869E-2</c:v>
                </c:pt>
                <c:pt idx="10">
                  <c:v>3.7820067674414551E-2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61-45A2-904B-B79FA013C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84192"/>
        <c:axId val="194284584"/>
      </c:scatterChart>
      <c:valAx>
        <c:axId val="194284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284584"/>
        <c:crosses val="autoZero"/>
        <c:crossBetween val="midCat"/>
      </c:valAx>
      <c:valAx>
        <c:axId val="194284584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4284192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CalPhotonTurnigy!$P$1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CalPhotonTurnigy!$O$5:$O$19</c:f>
              <c:numCache>
                <c:formatCode>0</c:formatCode>
                <c:ptCount val="15"/>
                <c:pt idx="0">
                  <c:v>9375</c:v>
                </c:pt>
                <c:pt idx="1">
                  <c:v>11811.023622047245</c:v>
                </c:pt>
                <c:pt idx="2">
                  <c:v>19354.83870967742</c:v>
                </c:pt>
                <c:pt idx="3">
                  <c:v>24793.388429752067</c:v>
                </c:pt>
                <c:pt idx="4">
                  <c:v>28037.383177570096</c:v>
                </c:pt>
                <c:pt idx="5">
                  <c:v>32085.561497326202</c:v>
                </c:pt>
                <c:pt idx="6">
                  <c:v>34090.909090909088</c:v>
                </c:pt>
                <c:pt idx="7">
                  <c:v>36809.815950920245</c:v>
                </c:pt>
                <c:pt idx="8">
                  <c:v>37500</c:v>
                </c:pt>
                <c:pt idx="9">
                  <c:v>38961.038961038961</c:v>
                </c:pt>
                <c:pt idx="10">
                  <c:v>41095.890410958906</c:v>
                </c:pt>
                <c:pt idx="11">
                  <c:v>42553.191489361707</c:v>
                </c:pt>
                <c:pt idx="12">
                  <c:v>44444.444444444445</c:v>
                </c:pt>
                <c:pt idx="13">
                  <c:v>45454.545454545456</c:v>
                </c:pt>
                <c:pt idx="14">
                  <c:v>46875.000000000007</c:v>
                </c:pt>
              </c:numCache>
            </c:numRef>
          </c:xVal>
          <c:yVal>
            <c:numRef>
              <c:f>CalPhotonTurnigy!$P$5:$P$19</c:f>
              <c:numCache>
                <c:formatCode>0</c:formatCode>
                <c:ptCount val="15"/>
                <c:pt idx="0">
                  <c:v>3680.9815950920251</c:v>
                </c:pt>
                <c:pt idx="1">
                  <c:v>7009.3457943925241</c:v>
                </c:pt>
                <c:pt idx="2">
                  <c:v>13888.888888888891</c:v>
                </c:pt>
                <c:pt idx="3">
                  <c:v>20134.228187919463</c:v>
                </c:pt>
                <c:pt idx="4">
                  <c:v>22556.390977443611</c:v>
                </c:pt>
                <c:pt idx="5">
                  <c:v>27522.935779816515</c:v>
                </c:pt>
                <c:pt idx="6">
                  <c:v>29702.970297029704</c:v>
                </c:pt>
                <c:pt idx="7">
                  <c:v>31250.000000000004</c:v>
                </c:pt>
                <c:pt idx="8">
                  <c:v>33333.333333333336</c:v>
                </c:pt>
                <c:pt idx="9">
                  <c:v>33898.305084745763</c:v>
                </c:pt>
                <c:pt idx="10">
                  <c:v>35294.117647058825</c:v>
                </c:pt>
                <c:pt idx="11">
                  <c:v>36585.365853658535</c:v>
                </c:pt>
                <c:pt idx="12">
                  <c:v>37974.6835443038</c:v>
                </c:pt>
                <c:pt idx="13">
                  <c:v>39473.68421052632</c:v>
                </c:pt>
                <c:pt idx="14">
                  <c:v>40540.540540540547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0B6-4A54-B148-45B3F9BFC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75752"/>
        <c:axId val="194976144"/>
      </c:scatterChart>
      <c:valAx>
        <c:axId val="194975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76144"/>
        <c:crosses val="autoZero"/>
        <c:crossBetween val="midCat"/>
      </c:valAx>
      <c:valAx>
        <c:axId val="19497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75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CalPhotonTurnigy!$Q$1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CalPhotonTurnigy!$K$5:$K$19</c:f>
              <c:numCache>
                <c:formatCode>General</c:formatCode>
                <c:ptCount val="15"/>
                <c:pt idx="0">
                  <c:v>17</c:v>
                </c:pt>
                <c:pt idx="1">
                  <c:v>20</c:v>
                </c:pt>
                <c:pt idx="2">
                  <c:v>35</c:v>
                </c:pt>
                <c:pt idx="3">
                  <c:v>54</c:v>
                </c:pt>
                <c:pt idx="4">
                  <c:v>64</c:v>
                </c:pt>
                <c:pt idx="5">
                  <c:v>89</c:v>
                </c:pt>
                <c:pt idx="6">
                  <c:v>101</c:v>
                </c:pt>
                <c:pt idx="7">
                  <c:v>114</c:v>
                </c:pt>
                <c:pt idx="8">
                  <c:v>125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  <c:pt idx="12">
                  <c:v>155</c:v>
                </c:pt>
                <c:pt idx="13">
                  <c:v>166</c:v>
                </c:pt>
                <c:pt idx="14">
                  <c:v>180</c:v>
                </c:pt>
              </c:numCache>
            </c:numRef>
          </c:xVal>
          <c:yVal>
            <c:numRef>
              <c:f>CalPhotonTurnigy!$Q$5:$Q$19</c:f>
              <c:numCache>
                <c:formatCode>0.0</c:formatCode>
                <c:ptCount val="15"/>
                <c:pt idx="0">
                  <c:v>20.345052083333336</c:v>
                </c:pt>
                <c:pt idx="1">
                  <c:v>25.631561679790028</c:v>
                </c:pt>
                <c:pt idx="2">
                  <c:v>42.002688172043015</c:v>
                </c:pt>
                <c:pt idx="3">
                  <c:v>53.805096418732788</c:v>
                </c:pt>
                <c:pt idx="4">
                  <c:v>60.845015576323988</c:v>
                </c:pt>
                <c:pt idx="5">
                  <c:v>69.630124777183596</c:v>
                </c:pt>
                <c:pt idx="6">
                  <c:v>73.982007575757564</c:v>
                </c:pt>
                <c:pt idx="7">
                  <c:v>79.882413087934552</c:v>
                </c:pt>
                <c:pt idx="8">
                  <c:v>81.380208333333343</c:v>
                </c:pt>
                <c:pt idx="9">
                  <c:v>84.550865800865807</c:v>
                </c:pt>
                <c:pt idx="10">
                  <c:v>89.183789954337897</c:v>
                </c:pt>
                <c:pt idx="11">
                  <c:v>92.346335697399539</c:v>
                </c:pt>
                <c:pt idx="12">
                  <c:v>96.450617283950621</c:v>
                </c:pt>
                <c:pt idx="13">
                  <c:v>98.642676767676775</c:v>
                </c:pt>
                <c:pt idx="14">
                  <c:v>101.72526041666667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005-4496-96D0-97326BECB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75360"/>
        <c:axId val="194976536"/>
      </c:scatterChart>
      <c:scatterChart>
        <c:scatterStyle val="lineMarker"/>
        <c:varyColors val="0"/>
        <c:ser>
          <c:idx val="1"/>
          <c:order val="1"/>
          <c:tx>
            <c:strRef>
              <c:f>CalPhotonTurnigy!$T$1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CalPhotonTurnigy!$K$4:$K$19</c:f>
              <c:numCache>
                <c:formatCode>General</c:formatCode>
                <c:ptCount val="16"/>
                <c:pt idx="0">
                  <c:v>15</c:v>
                </c:pt>
                <c:pt idx="1">
                  <c:v>17</c:v>
                </c:pt>
                <c:pt idx="2">
                  <c:v>20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101</c:v>
                </c:pt>
                <c:pt idx="8">
                  <c:v>114</c:v>
                </c:pt>
                <c:pt idx="9">
                  <c:v>125</c:v>
                </c:pt>
                <c:pt idx="10">
                  <c:v>130</c:v>
                </c:pt>
                <c:pt idx="11">
                  <c:v>140</c:v>
                </c:pt>
                <c:pt idx="12">
                  <c:v>145</c:v>
                </c:pt>
                <c:pt idx="13">
                  <c:v>155</c:v>
                </c:pt>
                <c:pt idx="14">
                  <c:v>166</c:v>
                </c:pt>
                <c:pt idx="15">
                  <c:v>180</c:v>
                </c:pt>
              </c:numCache>
            </c:numRef>
          </c:xVal>
          <c:yVal>
            <c:numRef>
              <c:f>CalPhotonTurnigy!$T$4:$T$19</c:f>
              <c:numCache>
                <c:formatCode>0.00</c:formatCode>
                <c:ptCount val="16"/>
                <c:pt idx="0" formatCode="General">
                  <c:v>5.22262</c:v>
                </c:pt>
                <c:pt idx="1">
                  <c:v>6.8685400000000003</c:v>
                </c:pt>
                <c:pt idx="2">
                  <c:v>9.5771999999999995</c:v>
                </c:pt>
                <c:pt idx="3">
                  <c:v>24.509299999999996</c:v>
                </c:pt>
                <c:pt idx="4">
                  <c:v>42.869</c:v>
                </c:pt>
                <c:pt idx="5">
                  <c:v>59.229099999999995</c:v>
                </c:pt>
                <c:pt idx="6">
                  <c:v>88.042400000000001</c:v>
                </c:pt>
                <c:pt idx="7">
                  <c:v>101.89320000000001</c:v>
                </c:pt>
                <c:pt idx="8">
                  <c:v>119.21</c:v>
                </c:pt>
                <c:pt idx="9">
                  <c:v>138.244</c:v>
                </c:pt>
                <c:pt idx="10">
                  <c:v>144.14399999999998</c:v>
                </c:pt>
                <c:pt idx="11">
                  <c:v>153.38249999999999</c:v>
                </c:pt>
                <c:pt idx="12">
                  <c:v>164.34989999999999</c:v>
                </c:pt>
                <c:pt idx="13">
                  <c:v>183.7603</c:v>
                </c:pt>
                <c:pt idx="14">
                  <c:v>206.06039999999999</c:v>
                </c:pt>
                <c:pt idx="15">
                  <c:v>219.49999999999997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005-4496-96D0-97326BECB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77320"/>
        <c:axId val="194976928"/>
      </c:scatterChart>
      <c:valAx>
        <c:axId val="194975360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76536"/>
        <c:crossesAt val="-40"/>
        <c:crossBetween val="midCat"/>
        <c:majorUnit val="20"/>
      </c:valAx>
      <c:valAx>
        <c:axId val="19497653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75360"/>
        <c:crosses val="autoZero"/>
        <c:crossBetween val="midCat"/>
      </c:valAx>
      <c:valAx>
        <c:axId val="194976928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77320"/>
        <c:crosses val="max"/>
        <c:crossBetween val="midCat"/>
        <c:majorUnit val="40"/>
      </c:valAx>
      <c:valAx>
        <c:axId val="194977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976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CalPhotonTurnigy!$V$1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CalPhotonTurnigy!$Q$4:$Q$19</c:f>
              <c:numCache>
                <c:formatCode>0.0</c:formatCode>
                <c:ptCount val="16"/>
                <c:pt idx="0">
                  <c:v>17.984576427255984</c:v>
                </c:pt>
                <c:pt idx="1">
                  <c:v>20.345052083333336</c:v>
                </c:pt>
                <c:pt idx="2">
                  <c:v>25.631561679790028</c:v>
                </c:pt>
                <c:pt idx="3">
                  <c:v>42.002688172043015</c:v>
                </c:pt>
                <c:pt idx="4">
                  <c:v>53.805096418732788</c:v>
                </c:pt>
                <c:pt idx="5">
                  <c:v>60.845015576323988</c:v>
                </c:pt>
                <c:pt idx="6">
                  <c:v>69.630124777183596</c:v>
                </c:pt>
                <c:pt idx="7">
                  <c:v>73.982007575757564</c:v>
                </c:pt>
                <c:pt idx="8">
                  <c:v>79.882413087934552</c:v>
                </c:pt>
                <c:pt idx="9">
                  <c:v>81.380208333333343</c:v>
                </c:pt>
                <c:pt idx="10">
                  <c:v>84.550865800865807</c:v>
                </c:pt>
                <c:pt idx="11">
                  <c:v>89.183789954337897</c:v>
                </c:pt>
                <c:pt idx="12">
                  <c:v>92.346335697399539</c:v>
                </c:pt>
                <c:pt idx="13">
                  <c:v>96.450617283950621</c:v>
                </c:pt>
                <c:pt idx="14">
                  <c:v>98.642676767676775</c:v>
                </c:pt>
                <c:pt idx="15">
                  <c:v>101.72526041666667</c:v>
                </c:pt>
              </c:numCache>
            </c:numRef>
          </c:xVal>
          <c:yVal>
            <c:numRef>
              <c:f>CalPhotonTurnigy!$V$4:$V$19</c:f>
              <c:numCache>
                <c:formatCode>General</c:formatCode>
                <c:ptCount val="16"/>
                <c:pt idx="0">
                  <c:v>1.0360467767599995E-3</c:v>
                </c:pt>
                <c:pt idx="1">
                  <c:v>3.2432617070000001E-3</c:v>
                </c:pt>
                <c:pt idx="2">
                  <c:v>6.8756343575199991E-3</c:v>
                </c:pt>
                <c:pt idx="3">
                  <c:v>2.6899908963719996E-2</c:v>
                </c:pt>
                <c:pt idx="4">
                  <c:v>5.1520670577120002E-2</c:v>
                </c:pt>
                <c:pt idx="5">
                  <c:v>7.3459924599319992E-2</c:v>
                </c:pt>
                <c:pt idx="6">
                  <c:v>0.11209919379192</c:v>
                </c:pt>
                <c:pt idx="7">
                  <c:v>0.13067342130952</c:v>
                </c:pt>
                <c:pt idx="8">
                  <c:v>0.15389563107911999</c:v>
                </c:pt>
                <c:pt idx="9">
                  <c:v>0.17942064382712</c:v>
                </c:pt>
                <c:pt idx="10">
                  <c:v>0.18733267362711997</c:v>
                </c:pt>
                <c:pt idx="11">
                  <c:v>0.19972170537412001</c:v>
                </c:pt>
                <c:pt idx="12">
                  <c:v>0.21442923005691999</c:v>
                </c:pt>
                <c:pt idx="13">
                  <c:v>0.24045900348572002</c:v>
                </c:pt>
                <c:pt idx="14">
                  <c:v>0.27036392818791999</c:v>
                </c:pt>
                <c:pt idx="15">
                  <c:v>0.28838672745911997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60-47A7-B9DE-9393A62D4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67128"/>
        <c:axId val="194962424"/>
      </c:scatterChart>
      <c:valAx>
        <c:axId val="194967128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94962424"/>
        <c:crosses val="autoZero"/>
        <c:crossBetween val="midCat"/>
      </c:valAx>
      <c:valAx>
        <c:axId val="194962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967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CalPhotonTurnigy!$O$1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CalPhotonTurnigy!$K$4:$K$19</c:f>
              <c:numCache>
                <c:formatCode>General</c:formatCode>
                <c:ptCount val="16"/>
                <c:pt idx="0">
                  <c:v>15</c:v>
                </c:pt>
                <c:pt idx="1">
                  <c:v>17</c:v>
                </c:pt>
                <c:pt idx="2">
                  <c:v>20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101</c:v>
                </c:pt>
                <c:pt idx="8">
                  <c:v>114</c:v>
                </c:pt>
                <c:pt idx="9">
                  <c:v>125</c:v>
                </c:pt>
                <c:pt idx="10">
                  <c:v>130</c:v>
                </c:pt>
                <c:pt idx="11">
                  <c:v>140</c:v>
                </c:pt>
                <c:pt idx="12">
                  <c:v>145</c:v>
                </c:pt>
                <c:pt idx="13">
                  <c:v>155</c:v>
                </c:pt>
                <c:pt idx="14">
                  <c:v>166</c:v>
                </c:pt>
                <c:pt idx="15">
                  <c:v>180</c:v>
                </c:pt>
              </c:numCache>
            </c:numRef>
          </c:xVal>
          <c:yVal>
            <c:numRef>
              <c:f>CalPhotonTurnigy!$O$4:$O$19</c:f>
              <c:numCache>
                <c:formatCode>0</c:formatCode>
                <c:ptCount val="16"/>
                <c:pt idx="0">
                  <c:v>8287.2928176795576</c:v>
                </c:pt>
                <c:pt idx="1">
                  <c:v>9375</c:v>
                </c:pt>
                <c:pt idx="2">
                  <c:v>11811.023622047245</c:v>
                </c:pt>
                <c:pt idx="3">
                  <c:v>19354.83870967742</c:v>
                </c:pt>
                <c:pt idx="4">
                  <c:v>24793.388429752067</c:v>
                </c:pt>
                <c:pt idx="5">
                  <c:v>28037.383177570096</c:v>
                </c:pt>
                <c:pt idx="6">
                  <c:v>32085.561497326202</c:v>
                </c:pt>
                <c:pt idx="7">
                  <c:v>34090.909090909088</c:v>
                </c:pt>
                <c:pt idx="8">
                  <c:v>36809.815950920245</c:v>
                </c:pt>
                <c:pt idx="9">
                  <c:v>37500</c:v>
                </c:pt>
                <c:pt idx="10">
                  <c:v>38961.038961038961</c:v>
                </c:pt>
                <c:pt idx="11">
                  <c:v>41095.890410958906</c:v>
                </c:pt>
                <c:pt idx="12">
                  <c:v>42553.191489361707</c:v>
                </c:pt>
                <c:pt idx="13">
                  <c:v>44444.444444444445</c:v>
                </c:pt>
                <c:pt idx="14">
                  <c:v>45454.545454545456</c:v>
                </c:pt>
                <c:pt idx="15">
                  <c:v>46875.000000000007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CF5-4728-99AC-1C95A1A34808}"/>
            </c:ext>
          </c:extLst>
        </c:ser>
        <c:ser>
          <c:idx val="1"/>
          <c:order val="1"/>
          <c:tx>
            <c:strRef>
              <c:f>CalPhotonTurnigy!$AI$1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CalPhotonTurnigy!$D$4:$D$19</c:f>
              <c:numCache>
                <c:formatCode>General</c:formatCode>
                <c:ptCount val="16"/>
                <c:pt idx="0">
                  <c:v>15</c:v>
                </c:pt>
                <c:pt idx="1">
                  <c:v>17</c:v>
                </c:pt>
                <c:pt idx="2">
                  <c:v>20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101</c:v>
                </c:pt>
                <c:pt idx="8">
                  <c:v>114</c:v>
                </c:pt>
                <c:pt idx="9">
                  <c:v>125</c:v>
                </c:pt>
                <c:pt idx="10">
                  <c:v>130</c:v>
                </c:pt>
                <c:pt idx="11">
                  <c:v>140</c:v>
                </c:pt>
                <c:pt idx="12">
                  <c:v>145</c:v>
                </c:pt>
                <c:pt idx="13">
                  <c:v>155</c:v>
                </c:pt>
                <c:pt idx="14">
                  <c:v>166</c:v>
                </c:pt>
                <c:pt idx="15">
                  <c:v>180</c:v>
                </c:pt>
              </c:numCache>
            </c:numRef>
          </c:xVal>
          <c:yVal>
            <c:numRef>
              <c:f>CalPhotonTurnigy!$AI$4:$AI$19</c:f>
              <c:numCache>
                <c:formatCode>0.00</c:formatCode>
                <c:ptCount val="16"/>
                <c:pt idx="0">
                  <c:v>6193.6380340466058</c:v>
                </c:pt>
                <c:pt idx="1">
                  <c:v>8142.287725194481</c:v>
                </c:pt>
                <c:pt idx="2">
                  <c:v>10672.525096174351</c:v>
                </c:pt>
                <c:pt idx="3">
                  <c:v>19385.114973551928</c:v>
                </c:pt>
                <c:pt idx="4">
                  <c:v>26136.340681404661</c:v>
                </c:pt>
                <c:pt idx="5">
                  <c:v>30221.412724320267</c:v>
                </c:pt>
                <c:pt idx="6">
                  <c:v>33915.366696916011</c:v>
                </c:pt>
                <c:pt idx="7">
                  <c:v>35884.582940469918</c:v>
                </c:pt>
                <c:pt idx="8">
                  <c:v>37769.630474093603</c:v>
                </c:pt>
                <c:pt idx="9">
                  <c:v>39203.762160497106</c:v>
                </c:pt>
                <c:pt idx="10">
                  <c:v>39814.384655018715</c:v>
                </c:pt>
                <c:pt idx="11">
                  <c:v>40968.162625439392</c:v>
                </c:pt>
                <c:pt idx="12">
                  <c:v>41514.495099187916</c:v>
                </c:pt>
                <c:pt idx="13">
                  <c:v>42552.804966229378</c:v>
                </c:pt>
                <c:pt idx="14">
                  <c:v>43620.248826836629</c:v>
                </c:pt>
                <c:pt idx="15">
                  <c:v>44880.846275693781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CF5-4728-99AC-1C95A1A34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62816"/>
        <c:axId val="194967520"/>
      </c:scatterChart>
      <c:valAx>
        <c:axId val="19496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67520"/>
        <c:crosses val="autoZero"/>
        <c:crossBetween val="midCat"/>
      </c:valAx>
      <c:valAx>
        <c:axId val="194967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62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CalPhotonTurnigy!$X$1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CalPhotonTurnigy!$O$4:$O$19</c:f>
              <c:numCache>
                <c:formatCode>0</c:formatCode>
                <c:ptCount val="16"/>
                <c:pt idx="0">
                  <c:v>8287.2928176795576</c:v>
                </c:pt>
                <c:pt idx="1">
                  <c:v>9375</c:v>
                </c:pt>
                <c:pt idx="2">
                  <c:v>11811.023622047245</c:v>
                </c:pt>
                <c:pt idx="3">
                  <c:v>19354.83870967742</c:v>
                </c:pt>
                <c:pt idx="4">
                  <c:v>24793.388429752067</c:v>
                </c:pt>
                <c:pt idx="5">
                  <c:v>28037.383177570096</c:v>
                </c:pt>
                <c:pt idx="6">
                  <c:v>32085.561497326202</c:v>
                </c:pt>
                <c:pt idx="7">
                  <c:v>34090.909090909088</c:v>
                </c:pt>
                <c:pt idx="8">
                  <c:v>36809.815950920245</c:v>
                </c:pt>
                <c:pt idx="9">
                  <c:v>37500</c:v>
                </c:pt>
                <c:pt idx="10">
                  <c:v>38961.038961038961</c:v>
                </c:pt>
                <c:pt idx="11">
                  <c:v>41095.890410958906</c:v>
                </c:pt>
                <c:pt idx="12">
                  <c:v>42553.191489361707</c:v>
                </c:pt>
                <c:pt idx="13">
                  <c:v>44444.444444444445</c:v>
                </c:pt>
                <c:pt idx="14">
                  <c:v>45454.545454545456</c:v>
                </c:pt>
                <c:pt idx="15">
                  <c:v>46875.000000000007</c:v>
                </c:pt>
              </c:numCache>
            </c:numRef>
          </c:xVal>
          <c:yVal>
            <c:numRef>
              <c:f>CalPhotonTurnigy!$X$4:$X$19</c:f>
              <c:numCache>
                <c:formatCode>0.00000</c:formatCode>
                <c:ptCount val="16"/>
                <c:pt idx="0">
                  <c:v>0</c:v>
                </c:pt>
                <c:pt idx="1">
                  <c:v>1.1603327860512421E-3</c:v>
                </c:pt>
                <c:pt idx="2">
                  <c:v>2.4007980803025944E-3</c:v>
                </c:pt>
                <c:pt idx="3">
                  <c:v>6.6427942979690483E-3</c:v>
                </c:pt>
                <c:pt idx="4">
                  <c:v>1.0257072329765462E-2</c:v>
                </c:pt>
                <c:pt idx="5">
                  <c:v>1.3104025356811166E-2</c:v>
                </c:pt>
                <c:pt idx="6">
                  <c:v>1.7692632434916356E-2</c:v>
                </c:pt>
                <c:pt idx="7">
                  <c:v>1.9474787390016658E-2</c:v>
                </c:pt>
                <c:pt idx="8">
                  <c:v>2.1301140379581873E-2</c:v>
                </c:pt>
                <c:pt idx="9">
                  <c:v>2.4471873571101331E-2</c:v>
                </c:pt>
                <c:pt idx="10">
                  <c:v>2.4596108516134356E-2</c:v>
                </c:pt>
                <c:pt idx="11">
                  <c:v>2.4867581985505788E-2</c:v>
                </c:pt>
                <c:pt idx="12">
                  <c:v>2.5808698766385592E-2</c:v>
                </c:pt>
                <c:pt idx="13">
                  <c:v>2.7758454776207954E-2</c:v>
                </c:pt>
                <c:pt idx="14">
                  <c:v>3.0582344052845444E-2</c:v>
                </c:pt>
                <c:pt idx="15">
                  <c:v>3.1655032310093437E-2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9A4-47A3-9F29-EE561F5B0EA6}"/>
            </c:ext>
          </c:extLst>
        </c:ser>
        <c:ser>
          <c:idx val="1"/>
          <c:order val="1"/>
          <c:tx>
            <c:v>Ng Torque Reverse/Connected, ft-lbf</c:v>
          </c:tx>
          <c:spPr>
            <a:ln w="28575">
              <a:noFill/>
            </a:ln>
          </c:spPr>
          <c:trendline>
            <c:spPr>
              <a:ln>
                <a:solidFill>
                  <a:srgbClr val="C00000"/>
                </a:solidFill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1254728112664504"/>
                  <c:y val="0.36491527667138457"/>
                </c:manualLayout>
              </c:layout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CalPhotonTurnigy!$O$71:$O$88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CalPhotonTurnigy!$X$71:$X$88</c:f>
              <c:numCache>
                <c:formatCode>0.00000</c:formatCode>
                <c:ptCount val="18"/>
                <c:pt idx="0">
                  <c:v>0</c:v>
                </c:pt>
                <c:pt idx="1">
                  <c:v>1.967106745261603E-4</c:v>
                </c:pt>
                <c:pt idx="2">
                  <c:v>2.7698155513368591E-4</c:v>
                </c:pt>
                <c:pt idx="3">
                  <c:v>4.5334960762390868E-4</c:v>
                </c:pt>
                <c:pt idx="4">
                  <c:v>5.5700990915808109E-4</c:v>
                </c:pt>
                <c:pt idx="5">
                  <c:v>4.0126699881760756E-4</c:v>
                </c:pt>
                <c:pt idx="6">
                  <c:v>1.5184925541307211E-3</c:v>
                </c:pt>
                <c:pt idx="7">
                  <c:v>2.9900742327435273E-3</c:v>
                </c:pt>
                <c:pt idx="8">
                  <c:v>4.1568911066088496E-3</c:v>
                </c:pt>
                <c:pt idx="9">
                  <c:v>4.4146100910474736E-3</c:v>
                </c:pt>
                <c:pt idx="10">
                  <c:v>5.9155159206925748E-3</c:v>
                </c:pt>
                <c:pt idx="11">
                  <c:v>7.5712971919889805E-3</c:v>
                </c:pt>
                <c:pt idx="12">
                  <c:v>8.6905840360267973E-3</c:v>
                </c:pt>
                <c:pt idx="13">
                  <c:v>1.0623404944122301E-2</c:v>
                </c:pt>
                <c:pt idx="14">
                  <c:v>1.2426336678185976E-2</c:v>
                </c:pt>
                <c:pt idx="15">
                  <c:v>1.5237741730468879E-2</c:v>
                </c:pt>
                <c:pt idx="16">
                  <c:v>1.7796307033837045E-2</c:v>
                </c:pt>
                <c:pt idx="17">
                  <c:v>2.2365742645414827E-2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9A4-47A3-9F29-EE561F5B0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68304"/>
        <c:axId val="194968696"/>
      </c:scatterChart>
      <c:valAx>
        <c:axId val="19496830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94968696"/>
        <c:crosses val="autoZero"/>
        <c:crossBetween val="midCat"/>
      </c:valAx>
      <c:valAx>
        <c:axId val="194968696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1949683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286230741401213"/>
          <c:y val="0.32773112655595427"/>
          <c:w val="0.4327040528006007"/>
          <c:h val="0.27266766221754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layout>
        <c:manualLayout>
          <c:xMode val="edge"/>
          <c:yMode val="edge"/>
          <c:x val="0.28008145615470625"/>
          <c:y val="4.850158694025900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500213379813911"/>
          <c:y val="6.9786266186933704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CalPhotonTurnigy!$AN$7:$AN$19</c:f>
              <c:numCache>
                <c:formatCode>0</c:formatCode>
                <c:ptCount val="13"/>
                <c:pt idx="0">
                  <c:v>14325.206369365125</c:v>
                </c:pt>
                <c:pt idx="1">
                  <c:v>20926.458144585544</c:v>
                </c:pt>
                <c:pt idx="2">
                  <c:v>24920.783063071616</c:v>
                </c:pt>
                <c:pt idx="3">
                  <c:v>28532.678335779932</c:v>
                </c:pt>
                <c:pt idx="4">
                  <c:v>30458.149766609586</c:v>
                </c:pt>
                <c:pt idx="5">
                  <c:v>32301.322238718505</c:v>
                </c:pt>
                <c:pt idx="6">
                  <c:v>33703.595655493671</c:v>
                </c:pt>
                <c:pt idx="7">
                  <c:v>34300.653582510058</c:v>
                </c:pt>
                <c:pt idx="8">
                  <c:v>35428.801152304775</c:v>
                </c:pt>
                <c:pt idx="9">
                  <c:v>35962.997218064818</c:v>
                </c:pt>
                <c:pt idx="10">
                  <c:v>36978.241730637383</c:v>
                </c:pt>
                <c:pt idx="11">
                  <c:v>38021.973044728336</c:v>
                </c:pt>
                <c:pt idx="12">
                  <c:v>39254.567170181341</c:v>
                </c:pt>
              </c:numCache>
            </c:numRef>
          </c:xVal>
          <c:yVal>
            <c:numRef>
              <c:f>CalPhotonTurnigy!$AU$7:$AU$19</c:f>
              <c:numCache>
                <c:formatCode>0.000</c:formatCode>
                <c:ptCount val="13"/>
                <c:pt idx="0">
                  <c:v>0.14203361129741821</c:v>
                </c:pt>
                <c:pt idx="1">
                  <c:v>7.8441634927232592E-2</c:v>
                </c:pt>
                <c:pt idx="2">
                  <c:v>6.0700084486058022E-2</c:v>
                </c:pt>
                <c:pt idx="3">
                  <c:v>4.6653481817654281E-2</c:v>
                </c:pt>
                <c:pt idx="4">
                  <c:v>4.1644320860714609E-2</c:v>
                </c:pt>
                <c:pt idx="5">
                  <c:v>3.619112368785226E-2</c:v>
                </c:pt>
                <c:pt idx="6">
                  <c:v>3.500000000000001E-2</c:v>
                </c:pt>
                <c:pt idx="7">
                  <c:v>3.2689768623894486E-2</c:v>
                </c:pt>
                <c:pt idx="8">
                  <c:v>2.9753446599529693E-2</c:v>
                </c:pt>
                <c:pt idx="9">
                  <c:v>2.7998565316490004E-2</c:v>
                </c:pt>
                <c:pt idx="10">
                  <c:v>2.5971239513606203E-2</c:v>
                </c:pt>
                <c:pt idx="11">
                  <c:v>2.4411912815867933E-2</c:v>
                </c:pt>
                <c:pt idx="12">
                  <c:v>2.4411912815867933E-2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7E-406E-934F-A447458A081D}"/>
            </c:ext>
          </c:extLst>
        </c:ser>
        <c:ser>
          <c:idx val="1"/>
          <c:order val="1"/>
          <c:tx>
            <c:strRef>
              <c:f>CalPhotonTurnigy!$AR$1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CalPhotonTurnigy!$AI$5:$AI$20</c:f>
              <c:numCache>
                <c:formatCode>0.00</c:formatCode>
                <c:ptCount val="16"/>
                <c:pt idx="0">
                  <c:v>8142.287725194481</c:v>
                </c:pt>
                <c:pt idx="1">
                  <c:v>10672.525096174351</c:v>
                </c:pt>
                <c:pt idx="2">
                  <c:v>19385.114973551928</c:v>
                </c:pt>
                <c:pt idx="3">
                  <c:v>26136.340681404661</c:v>
                </c:pt>
                <c:pt idx="4">
                  <c:v>30221.412724320267</c:v>
                </c:pt>
                <c:pt idx="5">
                  <c:v>33915.366696916011</c:v>
                </c:pt>
                <c:pt idx="6">
                  <c:v>35884.582940469918</c:v>
                </c:pt>
                <c:pt idx="7">
                  <c:v>37769.630474093603</c:v>
                </c:pt>
                <c:pt idx="8">
                  <c:v>39203.762160497106</c:v>
                </c:pt>
                <c:pt idx="9">
                  <c:v>39814.384655018715</c:v>
                </c:pt>
                <c:pt idx="10">
                  <c:v>40968.162625439392</c:v>
                </c:pt>
                <c:pt idx="11">
                  <c:v>41514.495099187916</c:v>
                </c:pt>
                <c:pt idx="12">
                  <c:v>42552.804966229378</c:v>
                </c:pt>
                <c:pt idx="13">
                  <c:v>43620.248826836629</c:v>
                </c:pt>
                <c:pt idx="14">
                  <c:v>44880.846275693781</c:v>
                </c:pt>
              </c:numCache>
            </c:numRef>
          </c:xVal>
          <c:yVal>
            <c:numRef>
              <c:f>CalPhotonTurnigy!$AR$5:$AR$20</c:f>
              <c:numCache>
                <c:formatCode>0.000</c:formatCode>
                <c:ptCount val="16"/>
                <c:pt idx="0">
                  <c:v>6.5585146225885127E-2</c:v>
                </c:pt>
                <c:pt idx="1">
                  <c:v>6.2137852114059124E-2</c:v>
                </c:pt>
                <c:pt idx="2">
                  <c:v>5.2614974256658793E-2</c:v>
                </c:pt>
                <c:pt idx="3">
                  <c:v>4.7029986937594102E-2</c:v>
                </c:pt>
                <c:pt idx="4">
                  <c:v>4.4191611988180078E-2</c:v>
                </c:pt>
                <c:pt idx="5">
                  <c:v>4.1904700241761475E-2</c:v>
                </c:pt>
                <c:pt idx="6">
                  <c:v>4.0779692684486224E-2</c:v>
                </c:pt>
                <c:pt idx="7">
                  <c:v>3.9757940723773949E-2</c:v>
                </c:pt>
                <c:pt idx="8">
                  <c:v>3.9014251420285827E-2</c:v>
                </c:pt>
                <c:pt idx="9">
                  <c:v>3.8705982658119815E-2</c:v>
                </c:pt>
                <c:pt idx="10">
                  <c:v>3.8136608500089784E-2</c:v>
                </c:pt>
                <c:pt idx="11">
                  <c:v>3.7872804188169816E-2</c:v>
                </c:pt>
                <c:pt idx="12">
                  <c:v>3.7381370408090163E-2</c:v>
                </c:pt>
                <c:pt idx="13">
                  <c:v>3.6889267828865355E-2</c:v>
                </c:pt>
                <c:pt idx="14">
                  <c:v>3.6324549300354322E-2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C7E-406E-934F-A447458A081D}"/>
            </c:ext>
          </c:extLst>
        </c:ser>
        <c:ser>
          <c:idx val="2"/>
          <c:order val="2"/>
          <c:tx>
            <c:strRef>
              <c:f>CalPhotonTurnigy!$AQ$23</c:f>
              <c:strCache>
                <c:ptCount val="1"/>
                <c:pt idx="0">
                  <c:v>Measured TauT, s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/>
                </a:solidFill>
              </a:ln>
            </c:spPr>
          </c:marker>
          <c:trendline>
            <c:spPr>
              <a:ln>
                <a:solidFill>
                  <a:schemeClr val="tx2">
                    <a:lumMod val="60000"/>
                    <a:lumOff val="40000"/>
                  </a:schemeClr>
                </a:solidFill>
                <a:prstDash val="dash"/>
              </a:ln>
            </c:spPr>
            <c:trendlineType val="power"/>
            <c:dispRSqr val="0"/>
            <c:dispEq val="0"/>
          </c:trendline>
          <c:xVal>
            <c:numRef>
              <c:f>CalPhotonTurnigy!$AM$25:$AM$33</c:f>
              <c:numCache>
                <c:formatCode>General</c:formatCode>
                <c:ptCount val="9"/>
                <c:pt idx="0">
                  <c:v>7372.8</c:v>
                </c:pt>
                <c:pt idx="1">
                  <c:v>9216</c:v>
                </c:pt>
                <c:pt idx="2">
                  <c:v>11520</c:v>
                </c:pt>
                <c:pt idx="3">
                  <c:v>16588.8</c:v>
                </c:pt>
                <c:pt idx="4">
                  <c:v>20736</c:v>
                </c:pt>
                <c:pt idx="5">
                  <c:v>23040</c:v>
                </c:pt>
                <c:pt idx="6">
                  <c:v>23961.600000000002</c:v>
                </c:pt>
                <c:pt idx="7">
                  <c:v>25344</c:v>
                </c:pt>
                <c:pt idx="8">
                  <c:v>28569.600000000002</c:v>
                </c:pt>
              </c:numCache>
            </c:numRef>
          </c:xVal>
          <c:yVal>
            <c:numRef>
              <c:f>CalPhotonTurnigy!$AQ$25:$AQ$33</c:f>
              <c:numCache>
                <c:formatCode>0.000</c:formatCode>
                <c:ptCount val="9"/>
                <c:pt idx="0">
                  <c:v>0.34399999999999997</c:v>
                </c:pt>
                <c:pt idx="1">
                  <c:v>0.27100000000000002</c:v>
                </c:pt>
                <c:pt idx="2">
                  <c:v>0.185</c:v>
                </c:pt>
                <c:pt idx="3">
                  <c:v>0.121</c:v>
                </c:pt>
                <c:pt idx="4">
                  <c:v>9.6000000000000002E-2</c:v>
                </c:pt>
                <c:pt idx="5">
                  <c:v>7.0999999999999994E-2</c:v>
                </c:pt>
                <c:pt idx="6">
                  <c:v>6.4000000000000001E-2</c:v>
                </c:pt>
                <c:pt idx="7">
                  <c:v>5.6000000000000001E-2</c:v>
                </c:pt>
                <c:pt idx="8">
                  <c:v>3.5000000000000003E-2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C7E-406E-934F-A447458A0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73792"/>
        <c:axId val="194970656"/>
      </c:scatterChart>
      <c:valAx>
        <c:axId val="194973792"/>
        <c:scaling>
          <c:orientation val="minMax"/>
          <c:max val="35000"/>
          <c:min val="5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4970656"/>
        <c:crosses val="autoZero"/>
        <c:crossBetween val="midCat"/>
      </c:valAx>
      <c:valAx>
        <c:axId val="194970656"/>
        <c:scaling>
          <c:orientation val="minMax"/>
          <c:max val="0.30000000000000004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949737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0056097661026189"/>
          <c:y val="0.19383879942556673"/>
          <c:w val="0.49502511605216815"/>
          <c:h val="0.191101442221053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Ard0_Turn0_ESC0_G0b_T0a!$L$2:$L$13</c:f>
              <c:numCache>
                <c:formatCode>General</c:formatCode>
                <c:ptCount val="12"/>
                <c:pt idx="0" formatCode="0.00">
                  <c:v>6.0661220353948684</c:v>
                </c:pt>
                <c:pt idx="1">
                  <c:v>9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54</c:v>
                </c:pt>
                <c:pt idx="6">
                  <c:v>64</c:v>
                </c:pt>
                <c:pt idx="7">
                  <c:v>90</c:v>
                </c:pt>
                <c:pt idx="8">
                  <c:v>125</c:v>
                </c:pt>
                <c:pt idx="9">
                  <c:v>155</c:v>
                </c:pt>
                <c:pt idx="10">
                  <c:v>165</c:v>
                </c:pt>
                <c:pt idx="11">
                  <c:v>180</c:v>
                </c:pt>
              </c:numCache>
            </c:numRef>
          </c:xVal>
          <c:yVal>
            <c:numRef>
              <c:f>Ard0_Turn0_ESC0_G0b_T0a!$P$2:$P$13</c:f>
              <c:numCache>
                <c:formatCode>0</c:formatCode>
                <c:ptCount val="12"/>
                <c:pt idx="0">
                  <c:v>5.9999999999999995E-25</c:v>
                </c:pt>
                <c:pt idx="1">
                  <c:v>8474.5762711864409</c:v>
                </c:pt>
                <c:pt idx="2">
                  <c:v>14851.485148514852</c:v>
                </c:pt>
                <c:pt idx="3">
                  <c:v>16304.347826086958</c:v>
                </c:pt>
                <c:pt idx="4">
                  <c:v>20134.228187919463</c:v>
                </c:pt>
                <c:pt idx="5">
                  <c:v>25104.602510460249</c:v>
                </c:pt>
                <c:pt idx="6">
                  <c:v>27649.76958525346</c:v>
                </c:pt>
                <c:pt idx="7">
                  <c:v>32258.06451612903</c:v>
                </c:pt>
                <c:pt idx="8">
                  <c:v>37037.037037037036</c:v>
                </c:pt>
                <c:pt idx="9">
                  <c:v>41958.041958041955</c:v>
                </c:pt>
                <c:pt idx="10">
                  <c:v>43478.260869565223</c:v>
                </c:pt>
                <c:pt idx="11">
                  <c:v>43859.649122807015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EF-48F8-8A04-40337331F296}"/>
            </c:ext>
          </c:extLst>
        </c:ser>
        <c:ser>
          <c:idx val="1"/>
          <c:order val="1"/>
          <c:tx>
            <c:strRef>
              <c:f>Ard0_Turn0_ESC0_G0b_T0a!$AJ$1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Ard0_Turn0_ESC0_G0b_T0a!$D$3:$D$13</c:f>
              <c:numCache>
                <c:formatCode>General</c:formatCode>
                <c:ptCount val="11"/>
                <c:pt idx="0">
                  <c:v>9</c:v>
                </c:pt>
                <c:pt idx="1">
                  <c:v>20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90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  <c:pt idx="10">
                  <c:v>180</c:v>
                </c:pt>
              </c:numCache>
            </c:numRef>
          </c:xVal>
          <c:yVal>
            <c:numRef>
              <c:f>Ard0_Turn0_ESC0_G0b_T0a!$AJ$3:$AJ$13</c:f>
              <c:numCache>
                <c:formatCode>0.00</c:formatCode>
                <c:ptCount val="11"/>
                <c:pt idx="0">
                  <c:v>4918.1173829864128</c:v>
                </c:pt>
                <c:pt idx="1">
                  <c:v>14872.754409463825</c:v>
                </c:pt>
                <c:pt idx="2">
                  <c:v>17654.584902336483</c:v>
                </c:pt>
                <c:pt idx="3">
                  <c:v>21849.233245635256</c:v>
                </c:pt>
                <c:pt idx="4">
                  <c:v>27255.178427486022</c:v>
                </c:pt>
                <c:pt idx="5">
                  <c:v>29373.233457459148</c:v>
                </c:pt>
                <c:pt idx="6">
                  <c:v>33623.412187161055</c:v>
                </c:pt>
                <c:pt idx="7">
                  <c:v>37718.724936077138</c:v>
                </c:pt>
                <c:pt idx="8">
                  <c:v>40400.421949761876</c:v>
                </c:pt>
                <c:pt idx="9">
                  <c:v>41179.83517703932</c:v>
                </c:pt>
                <c:pt idx="10">
                  <c:v>42264.566957595045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2EF-48F8-8A04-40337331F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81376"/>
        <c:axId val="178479808"/>
      </c:scatterChart>
      <c:valAx>
        <c:axId val="17848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8479808"/>
        <c:crosses val="autoZero"/>
        <c:crossBetween val="midCat"/>
      </c:valAx>
      <c:valAx>
        <c:axId val="1784798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8481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7108486439195"/>
          <c:y val="0.17171296296296296"/>
          <c:w val="0.7980669291338582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CalPhotonTurnigy!$V$70</c:f>
              <c:strCache>
                <c:ptCount val="1"/>
                <c:pt idx="0">
                  <c:v>pwr conn, shp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CalPhotonTurnigy!$O$71:$O$88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CalPhotonTurnigy!$V$71:$V$88</c:f>
              <c:numCache>
                <c:formatCode>General</c:formatCode>
                <c:ptCount val="18"/>
                <c:pt idx="0">
                  <c:v>5.0395070351200002E-3</c:v>
                </c:pt>
                <c:pt idx="1">
                  <c:v>5.9576511576400013E-3</c:v>
                </c:pt>
                <c:pt idx="2">
                  <c:v>6.4615267639200015E-3</c:v>
                </c:pt>
                <c:pt idx="3">
                  <c:v>7.52844386712E-3</c:v>
                </c:pt>
                <c:pt idx="4">
                  <c:v>8.3539636001000016E-3</c:v>
                </c:pt>
                <c:pt idx="5">
                  <c:v>1.1187194420379999E-2</c:v>
                </c:pt>
                <c:pt idx="6">
                  <c:v>1.7248707731919999E-2</c:v>
                </c:pt>
                <c:pt idx="7">
                  <c:v>2.5935955529680001E-2</c:v>
                </c:pt>
                <c:pt idx="8">
                  <c:v>3.2824101622459995E-2</c:v>
                </c:pt>
                <c:pt idx="9">
                  <c:v>3.7446912891520003E-2</c:v>
                </c:pt>
                <c:pt idx="10">
                  <c:v>5.0569885979119995E-2</c:v>
                </c:pt>
                <c:pt idx="11">
                  <c:v>6.4741806475119998E-2</c:v>
                </c:pt>
                <c:pt idx="12">
                  <c:v>8.1123731227120008E-2</c:v>
                </c:pt>
                <c:pt idx="13">
                  <c:v>0.10326829571752001</c:v>
                </c:pt>
                <c:pt idx="14">
                  <c:v>0.12008994158332</c:v>
                </c:pt>
                <c:pt idx="15">
                  <c:v>0.15119588558872002</c:v>
                </c:pt>
                <c:pt idx="16">
                  <c:v>0.18158773537912004</c:v>
                </c:pt>
                <c:pt idx="17">
                  <c:v>0.23169502240912002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7CF-43EB-81CB-4C59E5D0CAA6}"/>
            </c:ext>
          </c:extLst>
        </c:ser>
        <c:ser>
          <c:idx val="1"/>
          <c:order val="1"/>
          <c:tx>
            <c:strRef>
              <c:f>CalPhotonTurnigy!$V$91</c:f>
              <c:strCache>
                <c:ptCount val="1"/>
                <c:pt idx="0">
                  <c:v>pwr unconn, shp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CalPhotonTurnigy!$O$92:$O$106</c:f>
              <c:numCache>
                <c:formatCode>0</c:formatCode>
                <c:ptCount val="15"/>
                <c:pt idx="0">
                  <c:v>12295.081967213115</c:v>
                </c:pt>
                <c:pt idx="1">
                  <c:v>15384.615384615385</c:v>
                </c:pt>
                <c:pt idx="2">
                  <c:v>18404.907975460123</c:v>
                </c:pt>
                <c:pt idx="3">
                  <c:v>20905.923344947736</c:v>
                </c:pt>
                <c:pt idx="4">
                  <c:v>22727.272727272728</c:v>
                </c:pt>
                <c:pt idx="5">
                  <c:v>25000</c:v>
                </c:pt>
                <c:pt idx="6">
                  <c:v>26666.666666666672</c:v>
                </c:pt>
                <c:pt idx="7">
                  <c:v>29850.746268656716</c:v>
                </c:pt>
                <c:pt idx="8">
                  <c:v>31914.89361702128</c:v>
                </c:pt>
                <c:pt idx="9">
                  <c:v>36809.815950920245</c:v>
                </c:pt>
                <c:pt idx="10">
                  <c:v>39473.68421052632</c:v>
                </c:pt>
                <c:pt idx="11">
                  <c:v>43165.467625899284</c:v>
                </c:pt>
                <c:pt idx="12">
                  <c:v>44444.444444444445</c:v>
                </c:pt>
                <c:pt idx="13" formatCode="General">
                  <c:v>46875.000000000007</c:v>
                </c:pt>
                <c:pt idx="14" formatCode="General">
                  <c:v>48543.689320388352</c:v>
                </c:pt>
              </c:numCache>
            </c:numRef>
          </c:xVal>
          <c:yVal>
            <c:numRef>
              <c:f>CalPhotonTurnigy!$V$92:$V$106</c:f>
              <c:numCache>
                <c:formatCode>General</c:formatCode>
                <c:ptCount val="15"/>
                <c:pt idx="0">
                  <c:v>1.0667239960320001E-2</c:v>
                </c:pt>
                <c:pt idx="1">
                  <c:v>1.4397748600800004E-2</c:v>
                </c:pt>
                <c:pt idx="2">
                  <c:v>1.92184544864E-2</c:v>
                </c:pt>
                <c:pt idx="3">
                  <c:v>2.5150706687360001E-2</c:v>
                </c:pt>
                <c:pt idx="4">
                  <c:v>3.0770822607600001E-2</c:v>
                </c:pt>
                <c:pt idx="5">
                  <c:v>3.7809578881200012E-2</c:v>
                </c:pt>
                <c:pt idx="6">
                  <c:v>4.2255603219999993E-2</c:v>
                </c:pt>
                <c:pt idx="7">
                  <c:v>5.5280949906E-2</c:v>
                </c:pt>
                <c:pt idx="8">
                  <c:v>6.9486395952000013E-2</c:v>
                </c:pt>
                <c:pt idx="9">
                  <c:v>8.9153019990799998E-2</c:v>
                </c:pt>
                <c:pt idx="10">
                  <c:v>0.10838139804000002</c:v>
                </c:pt>
                <c:pt idx="11">
                  <c:v>0.13277727026400002</c:v>
                </c:pt>
                <c:pt idx="12">
                  <c:v>0.15861742318200001</c:v>
                </c:pt>
                <c:pt idx="13">
                  <c:v>0.20448439864800003</c:v>
                </c:pt>
                <c:pt idx="14">
                  <c:v>0.24552610875360001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7CF-43EB-81CB-4C59E5D0C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63208"/>
        <c:axId val="194970264"/>
      </c:scatterChart>
      <c:valAx>
        <c:axId val="194963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70264"/>
        <c:crosses val="autoZero"/>
        <c:crossBetween val="midCat"/>
      </c:valAx>
      <c:valAx>
        <c:axId val="19497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63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33888888888888891"/>
          <c:y val="0.2805898221055701"/>
          <c:w val="0.31780664916885387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80446194225724"/>
          <c:y val="5.0925925925925923E-2"/>
          <c:w val="0.80551664446655091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CalPhotonTurnigy!$X$70</c:f>
              <c:strCache>
                <c:ptCount val="1"/>
                <c:pt idx="0">
                  <c:v>Ng Aero Torque Backwards conn, ft-lbf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4677383526051688"/>
                  <c:y val="0.40546319465681141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CalPhotonTurnigy!$O$71:$O$88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CalPhotonTurnigy!$X$71:$X$88</c:f>
              <c:numCache>
                <c:formatCode>0.00000</c:formatCode>
                <c:ptCount val="18"/>
                <c:pt idx="0">
                  <c:v>0</c:v>
                </c:pt>
                <c:pt idx="1">
                  <c:v>1.967106745261603E-4</c:v>
                </c:pt>
                <c:pt idx="2">
                  <c:v>2.7698155513368591E-4</c:v>
                </c:pt>
                <c:pt idx="3">
                  <c:v>4.5334960762390868E-4</c:v>
                </c:pt>
                <c:pt idx="4">
                  <c:v>5.5700990915808109E-4</c:v>
                </c:pt>
                <c:pt idx="5">
                  <c:v>4.0126699881760756E-4</c:v>
                </c:pt>
                <c:pt idx="6">
                  <c:v>1.5184925541307211E-3</c:v>
                </c:pt>
                <c:pt idx="7">
                  <c:v>2.9900742327435273E-3</c:v>
                </c:pt>
                <c:pt idx="8">
                  <c:v>4.1568911066088496E-3</c:v>
                </c:pt>
                <c:pt idx="9">
                  <c:v>4.4146100910474736E-3</c:v>
                </c:pt>
                <c:pt idx="10">
                  <c:v>5.9155159206925748E-3</c:v>
                </c:pt>
                <c:pt idx="11">
                  <c:v>7.5712971919889805E-3</c:v>
                </c:pt>
                <c:pt idx="12">
                  <c:v>8.6905840360267973E-3</c:v>
                </c:pt>
                <c:pt idx="13">
                  <c:v>1.0623404944122301E-2</c:v>
                </c:pt>
                <c:pt idx="14">
                  <c:v>1.2426336678185976E-2</c:v>
                </c:pt>
                <c:pt idx="15">
                  <c:v>1.5237741730468879E-2</c:v>
                </c:pt>
                <c:pt idx="16">
                  <c:v>1.7796307033837045E-2</c:v>
                </c:pt>
                <c:pt idx="17">
                  <c:v>2.2365742645414827E-2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670-4501-8255-158222340A5B}"/>
            </c:ext>
          </c:extLst>
        </c:ser>
        <c:ser>
          <c:idx val="1"/>
          <c:order val="1"/>
          <c:tx>
            <c:strRef>
              <c:f>CalPhotonTurnigy!$X$91</c:f>
              <c:strCache>
                <c:ptCount val="1"/>
                <c:pt idx="0">
                  <c:v>Ng Torque Backwards unconn, ft-lbf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CalPhotonTurnigy!$O$92:$O$106</c:f>
              <c:numCache>
                <c:formatCode>0</c:formatCode>
                <c:ptCount val="15"/>
                <c:pt idx="0">
                  <c:v>12295.081967213115</c:v>
                </c:pt>
                <c:pt idx="1">
                  <c:v>15384.615384615385</c:v>
                </c:pt>
                <c:pt idx="2">
                  <c:v>18404.907975460123</c:v>
                </c:pt>
                <c:pt idx="3">
                  <c:v>20905.923344947736</c:v>
                </c:pt>
                <c:pt idx="4">
                  <c:v>22727.272727272728</c:v>
                </c:pt>
                <c:pt idx="5">
                  <c:v>25000</c:v>
                </c:pt>
                <c:pt idx="6">
                  <c:v>26666.666666666672</c:v>
                </c:pt>
                <c:pt idx="7">
                  <c:v>29850.746268656716</c:v>
                </c:pt>
                <c:pt idx="8">
                  <c:v>31914.89361702128</c:v>
                </c:pt>
                <c:pt idx="9">
                  <c:v>36809.815950920245</c:v>
                </c:pt>
                <c:pt idx="10">
                  <c:v>39473.68421052632</c:v>
                </c:pt>
                <c:pt idx="11">
                  <c:v>43165.467625899284</c:v>
                </c:pt>
                <c:pt idx="12">
                  <c:v>44444.444444444445</c:v>
                </c:pt>
                <c:pt idx="13" formatCode="General">
                  <c:v>46875.000000000007</c:v>
                </c:pt>
                <c:pt idx="14" formatCode="General">
                  <c:v>48543.689320388352</c:v>
                </c:pt>
              </c:numCache>
            </c:numRef>
          </c:xVal>
          <c:yVal>
            <c:numRef>
              <c:f>CalPhotonTurnigy!$X$92:$X$106</c:f>
              <c:numCache>
                <c:formatCode>0.00000</c:formatCode>
                <c:ptCount val="15"/>
                <c:pt idx="0">
                  <c:v>0</c:v>
                </c:pt>
                <c:pt idx="1">
                  <c:v>3.5845674991758555E-4</c:v>
                </c:pt>
                <c:pt idx="2">
                  <c:v>9.2750588020960346E-4</c:v>
                </c:pt>
                <c:pt idx="3">
                  <c:v>1.7617306337128517E-3</c:v>
                </c:pt>
                <c:pt idx="4">
                  <c:v>2.5541211873215492E-3</c:v>
                </c:pt>
                <c:pt idx="5">
                  <c:v>3.3863896639389794E-3</c:v>
                </c:pt>
                <c:pt idx="6">
                  <c:v>3.765594386755478E-3</c:v>
                </c:pt>
                <c:pt idx="7">
                  <c:v>5.1695942209379333E-3</c:v>
                </c:pt>
                <c:pt idx="8">
                  <c:v>6.8782199474934731E-3</c:v>
                </c:pt>
                <c:pt idx="9">
                  <c:v>8.1636467895171635E-3</c:v>
                </c:pt>
                <c:pt idx="10">
                  <c:v>9.8635705960638427E-3</c:v>
                </c:pt>
                <c:pt idx="11">
                  <c:v>1.1598540841957713E-2</c:v>
                </c:pt>
                <c:pt idx="12">
                  <c:v>1.418717422999342E-2</c:v>
                </c:pt>
                <c:pt idx="13">
                  <c:v>1.8354330648828129E-2</c:v>
                </c:pt>
                <c:pt idx="14">
                  <c:v>2.2007117669958966E-2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670-4501-8255-158222340A5B}"/>
            </c:ext>
          </c:extLst>
        </c:ser>
        <c:ser>
          <c:idx val="2"/>
          <c:order val="2"/>
          <c:tx>
            <c:strRef>
              <c:f>CalPhotonTurnigy!$X$1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CalPhotonTurnigy!$O$4:$O$19</c:f>
              <c:numCache>
                <c:formatCode>0</c:formatCode>
                <c:ptCount val="16"/>
                <c:pt idx="0">
                  <c:v>8287.2928176795576</c:v>
                </c:pt>
                <c:pt idx="1">
                  <c:v>9375</c:v>
                </c:pt>
                <c:pt idx="2">
                  <c:v>11811.023622047245</c:v>
                </c:pt>
                <c:pt idx="3">
                  <c:v>19354.83870967742</c:v>
                </c:pt>
                <c:pt idx="4">
                  <c:v>24793.388429752067</c:v>
                </c:pt>
                <c:pt idx="5">
                  <c:v>28037.383177570096</c:v>
                </c:pt>
                <c:pt idx="6">
                  <c:v>32085.561497326202</c:v>
                </c:pt>
                <c:pt idx="7">
                  <c:v>34090.909090909088</c:v>
                </c:pt>
                <c:pt idx="8">
                  <c:v>36809.815950920245</c:v>
                </c:pt>
                <c:pt idx="9">
                  <c:v>37500</c:v>
                </c:pt>
                <c:pt idx="10">
                  <c:v>38961.038961038961</c:v>
                </c:pt>
                <c:pt idx="11">
                  <c:v>41095.890410958906</c:v>
                </c:pt>
                <c:pt idx="12">
                  <c:v>42553.191489361707</c:v>
                </c:pt>
                <c:pt idx="13">
                  <c:v>44444.444444444445</c:v>
                </c:pt>
                <c:pt idx="14">
                  <c:v>45454.545454545456</c:v>
                </c:pt>
                <c:pt idx="15">
                  <c:v>46875.000000000007</c:v>
                </c:pt>
              </c:numCache>
            </c:numRef>
          </c:xVal>
          <c:yVal>
            <c:numRef>
              <c:f>CalPhotonTurnigy!$X$4:$X$19</c:f>
              <c:numCache>
                <c:formatCode>0.00000</c:formatCode>
                <c:ptCount val="16"/>
                <c:pt idx="0">
                  <c:v>0</c:v>
                </c:pt>
                <c:pt idx="1">
                  <c:v>1.1603327860512421E-3</c:v>
                </c:pt>
                <c:pt idx="2">
                  <c:v>2.4007980803025944E-3</c:v>
                </c:pt>
                <c:pt idx="3">
                  <c:v>6.6427942979690483E-3</c:v>
                </c:pt>
                <c:pt idx="4">
                  <c:v>1.0257072329765462E-2</c:v>
                </c:pt>
                <c:pt idx="5">
                  <c:v>1.3104025356811166E-2</c:v>
                </c:pt>
                <c:pt idx="6">
                  <c:v>1.7692632434916356E-2</c:v>
                </c:pt>
                <c:pt idx="7">
                  <c:v>1.9474787390016658E-2</c:v>
                </c:pt>
                <c:pt idx="8">
                  <c:v>2.1301140379581873E-2</c:v>
                </c:pt>
                <c:pt idx="9">
                  <c:v>2.4471873571101331E-2</c:v>
                </c:pt>
                <c:pt idx="10">
                  <c:v>2.4596108516134356E-2</c:v>
                </c:pt>
                <c:pt idx="11">
                  <c:v>2.4867581985505788E-2</c:v>
                </c:pt>
                <c:pt idx="12">
                  <c:v>2.5808698766385592E-2</c:v>
                </c:pt>
                <c:pt idx="13">
                  <c:v>2.7758454776207954E-2</c:v>
                </c:pt>
                <c:pt idx="14">
                  <c:v>3.0582344052845444E-2</c:v>
                </c:pt>
                <c:pt idx="15">
                  <c:v>3.1655032310093437E-2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670-4501-8255-158222340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64776"/>
        <c:axId val="194971048"/>
      </c:scatterChart>
      <c:valAx>
        <c:axId val="194964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71048"/>
        <c:crosses val="autoZero"/>
        <c:crossBetween val="midCat"/>
      </c:valAx>
      <c:valAx>
        <c:axId val="19497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64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3541508596222046"/>
          <c:y val="5.7642494087036714E-2"/>
          <c:w val="0.56731963108465833"/>
          <c:h val="0.26791641024831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Lambda Verified Constant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CalPhotonTurnigy!$P$5:$P$19</c:f>
              <c:numCache>
                <c:formatCode>0</c:formatCode>
                <c:ptCount val="15"/>
                <c:pt idx="0">
                  <c:v>3680.9815950920251</c:v>
                </c:pt>
                <c:pt idx="1">
                  <c:v>7009.3457943925241</c:v>
                </c:pt>
                <c:pt idx="2">
                  <c:v>13888.888888888891</c:v>
                </c:pt>
                <c:pt idx="3">
                  <c:v>20134.228187919463</c:v>
                </c:pt>
                <c:pt idx="4">
                  <c:v>22556.390977443611</c:v>
                </c:pt>
                <c:pt idx="5">
                  <c:v>27522.935779816515</c:v>
                </c:pt>
                <c:pt idx="6">
                  <c:v>29702.970297029704</c:v>
                </c:pt>
                <c:pt idx="7">
                  <c:v>31250.000000000004</c:v>
                </c:pt>
                <c:pt idx="8">
                  <c:v>33333.333333333336</c:v>
                </c:pt>
                <c:pt idx="9">
                  <c:v>33898.305084745763</c:v>
                </c:pt>
                <c:pt idx="10">
                  <c:v>35294.117647058825</c:v>
                </c:pt>
                <c:pt idx="11">
                  <c:v>36585.365853658535</c:v>
                </c:pt>
                <c:pt idx="12">
                  <c:v>37974.6835443038</c:v>
                </c:pt>
                <c:pt idx="13">
                  <c:v>39473.68421052632</c:v>
                </c:pt>
                <c:pt idx="14">
                  <c:v>40540.540540540547</c:v>
                </c:pt>
              </c:numCache>
            </c:numRef>
          </c:xVal>
          <c:yVal>
            <c:numRef>
              <c:f>CalPhotonTurnigy!$AE$5:$AE$19</c:f>
              <c:numCache>
                <c:formatCode>0.00</c:formatCode>
                <c:ptCount val="15"/>
                <c:pt idx="0">
                  <c:v>2.799353244570074</c:v>
                </c:pt>
                <c:pt idx="1">
                  <c:v>3.7696163445658417</c:v>
                </c:pt>
                <c:pt idx="2">
                  <c:v>3.560689812547742</c:v>
                </c:pt>
                <c:pt idx="3">
                  <c:v>3.5602634267981608</c:v>
                </c:pt>
                <c:pt idx="4">
                  <c:v>3.3167624763916268</c:v>
                </c:pt>
                <c:pt idx="5">
                  <c:v>3.3058356918574745</c:v>
                </c:pt>
                <c:pt idx="6">
                  <c:v>3.2575641760777447</c:v>
                </c:pt>
                <c:pt idx="7">
                  <c:v>3.0546082893296536</c:v>
                </c:pt>
                <c:pt idx="8" formatCode="0.000">
                  <c:v>3.1687123532286252</c:v>
                </c:pt>
                <c:pt idx="9">
                  <c:v>3.0428683499485185</c:v>
                </c:pt>
                <c:pt idx="10">
                  <c:v>2.9245275059281499</c:v>
                </c:pt>
                <c:pt idx="11">
                  <c:v>2.8771345283911018</c:v>
                </c:pt>
                <c:pt idx="12">
                  <c:v>2.7978144821744242</c:v>
                </c:pt>
                <c:pt idx="13" formatCode="0.000">
                  <c:v>2.7547990850966189</c:v>
                </c:pt>
                <c:pt idx="14" formatCode="0.000">
                  <c:v>2.8292531144235542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55-4FE0-9CA7-A8231C0B8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66736"/>
        <c:axId val="194963992"/>
      </c:scatterChart>
      <c:valAx>
        <c:axId val="19496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63992"/>
        <c:crosses val="autoZero"/>
        <c:crossBetween val="midCat"/>
      </c:valAx>
      <c:valAx>
        <c:axId val="1949639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6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Measured TauT</a:t>
            </a:r>
            <a:r>
              <a:rPr lang="en-US" baseline="0"/>
              <a:t> vs Nt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CalPhotonTurnigy!$AQ$23</c:f>
              <c:strCache>
                <c:ptCount val="1"/>
                <c:pt idx="0">
                  <c:v>Measured TauT, s</c:v>
                </c:pt>
              </c:strCache>
            </c:strRef>
          </c:tx>
          <c:marker>
            <c:symbol val="none"/>
          </c:marker>
          <c:xVal>
            <c:numRef>
              <c:f>CalPhotonTurnigy!$AN$24:$AN$33</c:f>
              <c:numCache>
                <c:formatCode>General</c:formatCode>
                <c:ptCount val="10"/>
                <c:pt idx="1">
                  <c:v>16</c:v>
                </c:pt>
                <c:pt idx="2">
                  <c:v>20</c:v>
                </c:pt>
                <c:pt idx="3">
                  <c:v>25</c:v>
                </c:pt>
                <c:pt idx="4">
                  <c:v>36</c:v>
                </c:pt>
                <c:pt idx="5">
                  <c:v>45</c:v>
                </c:pt>
                <c:pt idx="6">
                  <c:v>50</c:v>
                </c:pt>
                <c:pt idx="7">
                  <c:v>52</c:v>
                </c:pt>
                <c:pt idx="8">
                  <c:v>55</c:v>
                </c:pt>
                <c:pt idx="9">
                  <c:v>62</c:v>
                </c:pt>
              </c:numCache>
            </c:numRef>
          </c:xVal>
          <c:yVal>
            <c:numRef>
              <c:f>CalPhotonTurnigy!$AQ$24:$AQ$33</c:f>
              <c:numCache>
                <c:formatCode>0.000</c:formatCode>
                <c:ptCount val="10"/>
                <c:pt idx="1">
                  <c:v>0.34399999999999997</c:v>
                </c:pt>
                <c:pt idx="2">
                  <c:v>0.27100000000000002</c:v>
                </c:pt>
                <c:pt idx="3">
                  <c:v>0.185</c:v>
                </c:pt>
                <c:pt idx="4">
                  <c:v>0.121</c:v>
                </c:pt>
                <c:pt idx="5">
                  <c:v>9.6000000000000002E-2</c:v>
                </c:pt>
                <c:pt idx="6">
                  <c:v>7.0999999999999994E-2</c:v>
                </c:pt>
                <c:pt idx="7">
                  <c:v>6.4000000000000001E-2</c:v>
                </c:pt>
                <c:pt idx="8">
                  <c:v>5.6000000000000001E-2</c:v>
                </c:pt>
                <c:pt idx="9">
                  <c:v>3.5000000000000003E-2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C9B-4CF7-BABF-7583BC5E9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71832"/>
        <c:axId val="194972224"/>
      </c:scatterChart>
      <c:valAx>
        <c:axId val="194971832"/>
        <c:scaling>
          <c:orientation val="minMax"/>
          <c:max val="80"/>
          <c:min val="10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194972224"/>
        <c:crosses val="autoZero"/>
        <c:crossBetween val="midCat"/>
        <c:minorUnit val="2"/>
      </c:valAx>
      <c:valAx>
        <c:axId val="194972224"/>
        <c:scaling>
          <c:orientation val="minMax"/>
        </c:scaling>
        <c:delete val="0"/>
        <c:axPos val="l"/>
        <c:minorGridlines/>
        <c:numFmt formatCode="General" sourceLinked="1"/>
        <c:majorTickMark val="out"/>
        <c:minorTickMark val="none"/>
        <c:tickLblPos val="nextTo"/>
        <c:crossAx val="1949718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CalPhotonTurnigy!$P$1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0.15293468785807096"/>
                  <c:y val="5.382798265464599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CalPhotonTurnigy!$E$2:$E$19</c:f>
              <c:numCache>
                <c:formatCode>General</c:formatCode>
                <c:ptCount val="18"/>
                <c:pt idx="3">
                  <c:v>0.159</c:v>
                </c:pt>
                <c:pt idx="4">
                  <c:v>0.21099999999999999</c:v>
                </c:pt>
                <c:pt idx="5">
                  <c:v>0.49199999999999999</c:v>
                </c:pt>
                <c:pt idx="6">
                  <c:v>0.69099999999999995</c:v>
                </c:pt>
                <c:pt idx="7">
                  <c:v>0.77700000000000002</c:v>
                </c:pt>
                <c:pt idx="8">
                  <c:v>0.94299999999999995</c:v>
                </c:pt>
                <c:pt idx="9">
                  <c:v>1.018</c:v>
                </c:pt>
                <c:pt idx="10">
                  <c:v>1.077</c:v>
                </c:pt>
                <c:pt idx="11">
                  <c:v>1.1279999999999999</c:v>
                </c:pt>
                <c:pt idx="12">
                  <c:v>1.1579999999999999</c:v>
                </c:pt>
                <c:pt idx="13">
                  <c:v>1.2090000000000001</c:v>
                </c:pt>
                <c:pt idx="14">
                  <c:v>1.248</c:v>
                </c:pt>
                <c:pt idx="15">
                  <c:v>1.298</c:v>
                </c:pt>
                <c:pt idx="16">
                  <c:v>1.3580000000000001</c:v>
                </c:pt>
                <c:pt idx="17">
                  <c:v>1.387</c:v>
                </c:pt>
              </c:numCache>
            </c:numRef>
          </c:xVal>
          <c:yVal>
            <c:numRef>
              <c:f>CalPhotonTurnigy!$P$2:$P$19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 formatCode="0">
                  <c:v>5.9999999999999995E-25</c:v>
                </c:pt>
                <c:pt idx="3" formatCode="0">
                  <c:v>3680.9815950920251</c:v>
                </c:pt>
                <c:pt idx="4" formatCode="0">
                  <c:v>7009.3457943925241</c:v>
                </c:pt>
                <c:pt idx="5" formatCode="0">
                  <c:v>13888.888888888891</c:v>
                </c:pt>
                <c:pt idx="6" formatCode="0">
                  <c:v>20134.228187919463</c:v>
                </c:pt>
                <c:pt idx="7" formatCode="0">
                  <c:v>22556.390977443611</c:v>
                </c:pt>
                <c:pt idx="8" formatCode="0">
                  <c:v>27522.935779816515</c:v>
                </c:pt>
                <c:pt idx="9" formatCode="0">
                  <c:v>29702.970297029704</c:v>
                </c:pt>
                <c:pt idx="10" formatCode="0">
                  <c:v>31250.000000000004</c:v>
                </c:pt>
                <c:pt idx="11" formatCode="0">
                  <c:v>33333.333333333336</c:v>
                </c:pt>
                <c:pt idx="12" formatCode="0">
                  <c:v>33898.305084745763</c:v>
                </c:pt>
                <c:pt idx="13" formatCode="0">
                  <c:v>35294.117647058825</c:v>
                </c:pt>
                <c:pt idx="14" formatCode="0">
                  <c:v>36585.365853658535</c:v>
                </c:pt>
                <c:pt idx="15" formatCode="0">
                  <c:v>37974.6835443038</c:v>
                </c:pt>
                <c:pt idx="16" formatCode="0">
                  <c:v>39473.68421052632</c:v>
                </c:pt>
                <c:pt idx="17" formatCode="0">
                  <c:v>40540.540540540547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900-477A-B00B-1CFBAAECA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65952"/>
        <c:axId val="194962032"/>
      </c:scatterChart>
      <c:valAx>
        <c:axId val="19496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62032"/>
        <c:crosses val="autoZero"/>
        <c:crossBetween val="midCat"/>
      </c:valAx>
      <c:valAx>
        <c:axId val="19496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6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553149606299214E-2"/>
          <c:y val="5.0925925925925923E-2"/>
          <c:w val="0.86487685914260715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TauPhotonTurnigy!$D$1</c:f>
              <c:strCache>
                <c:ptCount val="1"/>
                <c:pt idx="0">
                  <c:v>Measured TauT, 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TauPhotonTurnigy!$C$2:$C$10</c:f>
              <c:numCache>
                <c:formatCode>General</c:formatCode>
                <c:ptCount val="9"/>
                <c:pt idx="0">
                  <c:v>16</c:v>
                </c:pt>
                <c:pt idx="1">
                  <c:v>20</c:v>
                </c:pt>
                <c:pt idx="2">
                  <c:v>25</c:v>
                </c:pt>
                <c:pt idx="3">
                  <c:v>36</c:v>
                </c:pt>
                <c:pt idx="4">
                  <c:v>45</c:v>
                </c:pt>
                <c:pt idx="5">
                  <c:v>50</c:v>
                </c:pt>
                <c:pt idx="6">
                  <c:v>52</c:v>
                </c:pt>
                <c:pt idx="7">
                  <c:v>55</c:v>
                </c:pt>
                <c:pt idx="8">
                  <c:v>62</c:v>
                </c:pt>
              </c:numCache>
            </c:numRef>
          </c:xVal>
          <c:yVal>
            <c:numRef>
              <c:f>TauPhotonTurnigy!$D$2:$D$10</c:f>
              <c:numCache>
                <c:formatCode>General</c:formatCode>
                <c:ptCount val="9"/>
                <c:pt idx="0">
                  <c:v>0.33</c:v>
                </c:pt>
                <c:pt idx="1">
                  <c:v>0.28000000000000003</c:v>
                </c:pt>
                <c:pt idx="2">
                  <c:v>0.19</c:v>
                </c:pt>
                <c:pt idx="3">
                  <c:v>0.14000000000000001</c:v>
                </c:pt>
                <c:pt idx="4">
                  <c:v>0.11</c:v>
                </c:pt>
                <c:pt idx="5">
                  <c:v>0.09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0.05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6A8-4D9E-9C71-EC317384DA9C}"/>
            </c:ext>
          </c:extLst>
        </c:ser>
        <c:ser>
          <c:idx val="1"/>
          <c:order val="1"/>
          <c:tx>
            <c:strRef>
              <c:f>TauPhotonTurnigy!$P$2</c:f>
              <c:strCache>
                <c:ptCount val="1"/>
                <c:pt idx="0">
                  <c:v>Model TauG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TauPhotonTurnigy!$O$7:$O$14</c:f>
              <c:numCache>
                <c:formatCode>General</c:formatCode>
                <c:ptCount val="8"/>
                <c:pt idx="0">
                  <c:v>37.649471024806083</c:v>
                </c:pt>
                <c:pt idx="1">
                  <c:v>48.010895849896535</c:v>
                </c:pt>
                <c:pt idx="2">
                  <c:v>61.364409667042004</c:v>
                </c:pt>
                <c:pt idx="3">
                  <c:v>69.444433699664401</c:v>
                </c:pt>
                <c:pt idx="4">
                  <c:v>76.75084997835306</c:v>
                </c:pt>
                <c:pt idx="5">
                  <c:v>87.210974546743557</c:v>
                </c:pt>
                <c:pt idx="6">
                  <c:v>93.835177516070971</c:v>
                </c:pt>
                <c:pt idx="7">
                  <c:v>95.760447741647312</c:v>
                </c:pt>
              </c:numCache>
            </c:numRef>
          </c:xVal>
          <c:yVal>
            <c:numRef>
              <c:f>TauPhotonTurnigy!$P$7:$P$14</c:f>
              <c:numCache>
                <c:formatCode>General</c:formatCode>
                <c:ptCount val="8"/>
                <c:pt idx="0">
                  <c:v>8.8118975354312457E-2</c:v>
                </c:pt>
                <c:pt idx="1">
                  <c:v>6.2906429754981188E-2</c:v>
                </c:pt>
                <c:pt idx="2">
                  <c:v>4.5959283219000051E-2</c:v>
                </c:pt>
                <c:pt idx="3">
                  <c:v>3.9517474546856557E-2</c:v>
                </c:pt>
                <c:pt idx="4">
                  <c:v>3.5072283984146982E-2</c:v>
                </c:pt>
                <c:pt idx="5">
                  <c:v>3.0207645977385542E-2</c:v>
                </c:pt>
                <c:pt idx="6">
                  <c:v>2.7768510934620131E-2</c:v>
                </c:pt>
                <c:pt idx="7">
                  <c:v>2.7131780912102672E-2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6A8-4D9E-9C71-EC317384DA9C}"/>
            </c:ext>
          </c:extLst>
        </c:ser>
        <c:ser>
          <c:idx val="2"/>
          <c:order val="2"/>
          <c:tx>
            <c:strRef>
              <c:f>TauPhotonTurnigy!$R$2</c:f>
              <c:strCache>
                <c:ptCount val="1"/>
                <c:pt idx="0">
                  <c:v>Model TauT Wind</c:v>
                </c:pt>
              </c:strCache>
            </c:strRef>
          </c:tx>
          <c:spPr>
            <a:ln w="19050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TauPhotonTurnigy!$Q$7:$Q$14</c:f>
              <c:numCache>
                <c:formatCode>General</c:formatCode>
                <c:ptCount val="8"/>
                <c:pt idx="0">
                  <c:v>18.349332141930159</c:v>
                </c:pt>
                <c:pt idx="1">
                  <c:v>28.457488763966595</c:v>
                </c:pt>
                <c:pt idx="2">
                  <c:v>41.484597621753984</c:v>
                </c:pt>
                <c:pt idx="3">
                  <c:v>49.367118588734272</c:v>
                </c:pt>
                <c:pt idx="4">
                  <c:v>56.494941386998597</c:v>
                </c:pt>
                <c:pt idx="5">
                  <c:v>66.699385197396992</c:v>
                </c:pt>
                <c:pt idx="6">
                  <c:v>73.161670282743401</c:v>
                </c:pt>
                <c:pt idx="7">
                  <c:v>75.03988040426492</c:v>
                </c:pt>
              </c:numCache>
            </c:numRef>
          </c:xVal>
          <c:yVal>
            <c:numRef>
              <c:f>TauPhotonTurnigy!$R$7:$R$14</c:f>
              <c:numCache>
                <c:formatCode>General</c:formatCode>
                <c:ptCount val="8"/>
                <c:pt idx="0">
                  <c:v>0.2622861097452871</c:v>
                </c:pt>
                <c:pt idx="1">
                  <c:v>0.15327768207325029</c:v>
                </c:pt>
                <c:pt idx="2">
                  <c:v>9.3499270545763416E-2</c:v>
                </c:pt>
                <c:pt idx="3">
                  <c:v>8.2313306461443872E-2</c:v>
                </c:pt>
                <c:pt idx="4">
                  <c:v>6.3631390354086409E-2</c:v>
                </c:pt>
                <c:pt idx="5">
                  <c:v>4.8062113370621579E-2</c:v>
                </c:pt>
                <c:pt idx="6">
                  <c:v>3.9676981378982325E-2</c:v>
                </c:pt>
                <c:pt idx="7">
                  <c:v>3.7281900353922377E-2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6A8-4D9E-9C71-EC317384D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65168"/>
        <c:axId val="194969088"/>
      </c:scatterChart>
      <c:valAx>
        <c:axId val="19496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69088"/>
        <c:crosses val="autoZero"/>
        <c:crossBetween val="midCat"/>
      </c:valAx>
      <c:valAx>
        <c:axId val="194969088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65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452643176491105"/>
          <c:y val="7.7256124234470688E-2"/>
          <c:w val="0.45895931758530184"/>
          <c:h val="0.328708078156897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CalArduinoTurnigy!$P$1</c:f>
              <c:strCache>
                <c:ptCount val="1"/>
                <c:pt idx="0">
                  <c:v>tur,RPM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CalArduinoTurnigy!$P$5:$P$13</c:f>
              <c:numCache>
                <c:formatCode>0</c:formatCode>
                <c:ptCount val="9"/>
                <c:pt idx="0">
                  <c:v>0.6</c:v>
                </c:pt>
                <c:pt idx="1">
                  <c:v>9360.3744149765989</c:v>
                </c:pt>
                <c:pt idx="2">
                  <c:v>13239.187996469551</c:v>
                </c:pt>
                <c:pt idx="3">
                  <c:v>18867.92452830189</c:v>
                </c:pt>
                <c:pt idx="4">
                  <c:v>21052.631578947367</c:v>
                </c:pt>
                <c:pt idx="5">
                  <c:v>25000</c:v>
                </c:pt>
                <c:pt idx="6">
                  <c:v>30000.000000000004</c:v>
                </c:pt>
                <c:pt idx="7">
                  <c:v>34482.758620689652</c:v>
                </c:pt>
                <c:pt idx="8">
                  <c:v>35714.285714285717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177-4835-9A92-B071E0010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65560"/>
        <c:axId val="194966344"/>
      </c:scatterChart>
      <c:valAx>
        <c:axId val="194965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66344"/>
        <c:crosses val="autoZero"/>
        <c:crossBetween val="midCat"/>
      </c:valAx>
      <c:valAx>
        <c:axId val="19496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65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CalArduinoTurnigy!$Q$1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CalArduinoTurnigy!$K$6:$K$13</c:f>
              <c:numCache>
                <c:formatCode>General</c:formatCode>
                <c:ptCount val="8"/>
                <c:pt idx="0">
                  <c:v>25</c:v>
                </c:pt>
                <c:pt idx="1">
                  <c:v>35</c:v>
                </c:pt>
                <c:pt idx="2">
                  <c:v>54</c:v>
                </c:pt>
                <c:pt idx="3">
                  <c:v>64</c:v>
                </c:pt>
                <c:pt idx="4">
                  <c:v>89</c:v>
                </c:pt>
                <c:pt idx="5">
                  <c:v>125</c:v>
                </c:pt>
                <c:pt idx="6">
                  <c:v>155</c:v>
                </c:pt>
                <c:pt idx="7">
                  <c:v>165</c:v>
                </c:pt>
              </c:numCache>
            </c:numRef>
          </c:xVal>
          <c:yVal>
            <c:numRef>
              <c:f>CalArduinoTurnigy!$Q$6:$Q$13</c:f>
              <c:numCache>
                <c:formatCode>0</c:formatCode>
                <c:ptCount val="8"/>
                <c:pt idx="0">
                  <c:v>39.941206543967276</c:v>
                </c:pt>
                <c:pt idx="1">
                  <c:v>48.585199004975124</c:v>
                </c:pt>
                <c:pt idx="2">
                  <c:v>60.562015503875976</c:v>
                </c:pt>
                <c:pt idx="3">
                  <c:v>64.459570957095707</c:v>
                </c:pt>
                <c:pt idx="4">
                  <c:v>73.56403013182674</c:v>
                </c:pt>
                <c:pt idx="5">
                  <c:v>85.663377192982466</c:v>
                </c:pt>
                <c:pt idx="6">
                  <c:v>95.460654936461381</c:v>
                </c:pt>
                <c:pt idx="7">
                  <c:v>98.942502532928074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06-4D4F-8236-180499830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70672"/>
        <c:axId val="197678512"/>
      </c:scatterChart>
      <c:scatterChart>
        <c:scatterStyle val="lineMarker"/>
        <c:varyColors val="0"/>
        <c:ser>
          <c:idx val="1"/>
          <c:order val="1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106-4D4F-8236-180499830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76944"/>
        <c:axId val="197676160"/>
      </c:scatterChart>
      <c:valAx>
        <c:axId val="197670672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78512"/>
        <c:crossesAt val="-40"/>
        <c:crossBetween val="midCat"/>
        <c:majorUnit val="20"/>
      </c:valAx>
      <c:valAx>
        <c:axId val="19767851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70672"/>
        <c:crosses val="autoZero"/>
        <c:crossBetween val="midCat"/>
      </c:valAx>
      <c:valAx>
        <c:axId val="197676160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76944"/>
        <c:crosses val="max"/>
        <c:crossBetween val="midCat"/>
        <c:majorUnit val="40"/>
      </c:valAx>
      <c:valAx>
        <c:axId val="197676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67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intercept val="20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CalArduinoTurnigy!$Q$4:$Q$13</c:f>
              <c:numCache>
                <c:formatCode>0</c:formatCode>
                <c:ptCount val="10"/>
                <c:pt idx="0">
                  <c:v>19.434079601990049</c:v>
                </c:pt>
                <c:pt idx="1">
                  <c:v>28.183621933621932</c:v>
                </c:pt>
                <c:pt idx="2">
                  <c:v>39.941206543967276</c:v>
                </c:pt>
                <c:pt idx="3">
                  <c:v>48.585199004975124</c:v>
                </c:pt>
                <c:pt idx="4">
                  <c:v>60.562015503875976</c:v>
                </c:pt>
                <c:pt idx="5">
                  <c:v>64.459570957095707</c:v>
                </c:pt>
                <c:pt idx="6">
                  <c:v>73.56403013182674</c:v>
                </c:pt>
                <c:pt idx="7">
                  <c:v>85.663377192982466</c:v>
                </c:pt>
                <c:pt idx="8">
                  <c:v>95.460654936461381</c:v>
                </c:pt>
                <c:pt idx="9">
                  <c:v>98.942502532928074</c:v>
                </c:pt>
              </c:numCache>
            </c:numRef>
          </c:xVal>
          <c:yVal>
            <c:numRef>
              <c:f>CalArduinoTurnigy!$T$4:$T$13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EC-48D1-9936-E0150E8FA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72632"/>
        <c:axId val="197678120"/>
      </c:scatterChart>
      <c:valAx>
        <c:axId val="19767263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7678120"/>
        <c:crosses val="autoZero"/>
        <c:crossBetween val="midCat"/>
      </c:valAx>
      <c:valAx>
        <c:axId val="197678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672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CalArduinoTurnigy!$O$1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CalArduinoTurnigy!$K$4:$K$13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CalArduinoTurnigy!$O$4:$O$13</c:f>
              <c:numCache>
                <c:formatCode>0</c:formatCode>
                <c:ptCount val="10"/>
                <c:pt idx="0">
                  <c:v>8955.2238805970155</c:v>
                </c:pt>
                <c:pt idx="1">
                  <c:v>12987.012987012988</c:v>
                </c:pt>
                <c:pt idx="2">
                  <c:v>18404.907975460123</c:v>
                </c:pt>
                <c:pt idx="3">
                  <c:v>22388.059701492537</c:v>
                </c:pt>
                <c:pt idx="4">
                  <c:v>27906.976744186049</c:v>
                </c:pt>
                <c:pt idx="5">
                  <c:v>29702.970297029704</c:v>
                </c:pt>
                <c:pt idx="6">
                  <c:v>33898.305084745763</c:v>
                </c:pt>
                <c:pt idx="7">
                  <c:v>39473.68421052632</c:v>
                </c:pt>
                <c:pt idx="8">
                  <c:v>43988.269794721404</c:v>
                </c:pt>
                <c:pt idx="9">
                  <c:v>45592.705167173255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C3-4020-8DA4-74462AE05726}"/>
            </c:ext>
          </c:extLst>
        </c:ser>
        <c:ser>
          <c:idx val="1"/>
          <c:order val="1"/>
          <c:tx>
            <c:strRef>
              <c:f>CalArduinoTurnigy!$AH$1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CalArduinoTurnigy!$C$4:$C$13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CalArduinoTurnigy!$AH$4:$AH$13</c:f>
              <c:numCache>
                <c:formatCode>0.00</c:formatCode>
                <c:ptCount val="10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7C3-4020-8DA4-74462AE05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80472"/>
        <c:axId val="197673024"/>
      </c:scatterChart>
      <c:valAx>
        <c:axId val="197680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73024"/>
        <c:crosses val="autoZero"/>
        <c:crossBetween val="midCat"/>
      </c:valAx>
      <c:valAx>
        <c:axId val="1976730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80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Ard0_Turn0_ESC0_G0b_T0a!$P$3:$P$13</c:f>
              <c:numCache>
                <c:formatCode>0</c:formatCode>
                <c:ptCount val="11"/>
                <c:pt idx="0">
                  <c:v>8474.5762711864409</c:v>
                </c:pt>
                <c:pt idx="1">
                  <c:v>14851.485148514852</c:v>
                </c:pt>
                <c:pt idx="2">
                  <c:v>16304.347826086958</c:v>
                </c:pt>
                <c:pt idx="3">
                  <c:v>20134.228187919463</c:v>
                </c:pt>
                <c:pt idx="4">
                  <c:v>25104.602510460249</c:v>
                </c:pt>
                <c:pt idx="5">
                  <c:v>27649.76958525346</c:v>
                </c:pt>
                <c:pt idx="6">
                  <c:v>32258.06451612903</c:v>
                </c:pt>
                <c:pt idx="7">
                  <c:v>37037.037037037036</c:v>
                </c:pt>
                <c:pt idx="8">
                  <c:v>41958.041958041955</c:v>
                </c:pt>
                <c:pt idx="9">
                  <c:v>43478.260869565223</c:v>
                </c:pt>
                <c:pt idx="10">
                  <c:v>43859.649122807015</c:v>
                </c:pt>
              </c:numCache>
            </c:numRef>
          </c:xVal>
          <c:yVal>
            <c:numRef>
              <c:f>Ard0_Turn0_ESC0_G0b_T0a!$Y$3:$Y$13</c:f>
              <c:numCache>
                <c:formatCode>0.00000</c:formatCode>
                <c:ptCount val="11"/>
                <c:pt idx="0">
                  <c:v>0</c:v>
                </c:pt>
                <c:pt idx="1">
                  <c:v>1.6572142967033582E-3</c:v>
                </c:pt>
                <c:pt idx="2">
                  <c:v>2.6360143165467102E-3</c:v>
                </c:pt>
                <c:pt idx="3">
                  <c:v>4.5152393701174357E-3</c:v>
                </c:pt>
                <c:pt idx="4">
                  <c:v>7.5045723925374359E-3</c:v>
                </c:pt>
                <c:pt idx="5">
                  <c:v>8.8860599704111923E-3</c:v>
                </c:pt>
                <c:pt idx="6">
                  <c:v>1.2257834183808764E-2</c:v>
                </c:pt>
                <c:pt idx="7">
                  <c:v>1.6106919109926038E-2</c:v>
                </c:pt>
                <c:pt idx="8">
                  <c:v>2.1276174466369806E-2</c:v>
                </c:pt>
                <c:pt idx="9">
                  <c:v>2.351370794327683E-2</c:v>
                </c:pt>
                <c:pt idx="10">
                  <c:v>2.4397676558351365E-2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B2B-4325-86A3-E195A9868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80200"/>
        <c:axId val="178483336"/>
      </c:scatterChart>
      <c:valAx>
        <c:axId val="178480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8483336"/>
        <c:crosses val="autoZero"/>
        <c:crossBetween val="midCat"/>
      </c:valAx>
      <c:valAx>
        <c:axId val="178483336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1784802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CalArduinoTurnigy!$V$1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backward val="12000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CalArduinoTurnigy!$O$5:$O$13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CalArduinoTurnigy!$V$5:$V$13</c:f>
              <c:numCache>
                <c:formatCode>0.00000</c:formatCode>
                <c:ptCount val="9"/>
                <c:pt idx="0">
                  <c:v>4.011393083656359E-3</c:v>
                </c:pt>
                <c:pt idx="1">
                  <c:v>7.7987073838718312E-3</c:v>
                </c:pt>
                <c:pt idx="2">
                  <c:v>9.4317379682233565E-3</c:v>
                </c:pt>
                <c:pt idx="3">
                  <c:v>1.3508822260627353E-2</c:v>
                </c:pt>
                <c:pt idx="4">
                  <c:v>1.4800634329554439E-2</c:v>
                </c:pt>
                <c:pt idx="5">
                  <c:v>1.8471679301078667E-2</c:v>
                </c:pt>
                <c:pt idx="6">
                  <c:v>2.4258509516750081E-2</c:v>
                </c:pt>
                <c:pt idx="7">
                  <c:v>3.0861577880676404E-2</c:v>
                </c:pt>
                <c:pt idx="8">
                  <c:v>3.2301247229145437E-2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42E-4EF8-B020-3A7DB84E2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75376"/>
        <c:axId val="197674592"/>
      </c:scatterChart>
      <c:valAx>
        <c:axId val="19767537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97674592"/>
        <c:crosses val="autoZero"/>
        <c:crossBetween val="midCat"/>
      </c:valAx>
      <c:valAx>
        <c:axId val="197674592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1976753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CalArduinoTurnigy!$AQ$1</c:f>
              <c:strCache>
                <c:ptCount val="1"/>
                <c:pt idx="0">
                  <c:v>Model TauG</c:v>
                </c:pt>
              </c:strCache>
            </c:strRef>
          </c:tx>
          <c:marker>
            <c:symbol val="none"/>
          </c:marker>
          <c:xVal>
            <c:numRef>
              <c:f>CalArduinoTurnigy!$AH$4:$AH$14</c:f>
              <c:numCache>
                <c:formatCode>0.00</c:formatCode>
                <c:ptCount val="11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  <c:pt idx="10">
                  <c:v>45361.106669554021</c:v>
                </c:pt>
              </c:numCache>
            </c:numRef>
          </c:xVal>
          <c:yVal>
            <c:numRef>
              <c:f>CalArduinoTurnigy!$AQ$4:$AQ$14</c:f>
              <c:numCache>
                <c:formatCode>0.000</c:formatCode>
                <c:ptCount val="11"/>
                <c:pt idx="2">
                  <c:v>8.6869543123372139E-2</c:v>
                </c:pt>
                <c:pt idx="3">
                  <c:v>5.5097378875630716E-2</c:v>
                </c:pt>
                <c:pt idx="4">
                  <c:v>4.2737664274397333E-2</c:v>
                </c:pt>
                <c:pt idx="5">
                  <c:v>3.9071151704477884E-2</c:v>
                </c:pt>
                <c:pt idx="6">
                  <c:v>3.6789291938147554E-2</c:v>
                </c:pt>
                <c:pt idx="7">
                  <c:v>3.4492824747713272E-2</c:v>
                </c:pt>
                <c:pt idx="8">
                  <c:v>3.3412481322885462E-2</c:v>
                </c:pt>
                <c:pt idx="9">
                  <c:v>3.3137755680272003E-2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71-47BF-AC1A-CB6B8C4E9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77728"/>
        <c:axId val="197674984"/>
      </c:scatterChart>
      <c:valAx>
        <c:axId val="19767772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97674984"/>
        <c:crosses val="autoZero"/>
        <c:crossBetween val="midCat"/>
        <c:dispUnits>
          <c:builtInUnit val="thousands"/>
          <c:dispUnitsLbl/>
        </c:dispUnits>
      </c:valAx>
      <c:valAx>
        <c:axId val="19767498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7677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586240804406493"/>
          <c:y val="5.3635483210810325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CalArduinoTurnigy!$AU$1</c:f>
              <c:strCache>
                <c:ptCount val="1"/>
                <c:pt idx="0">
                  <c:v>Model TauT</c:v>
                </c:pt>
              </c:strCache>
            </c:strRef>
          </c:tx>
          <c:marker>
            <c:symbol val="none"/>
          </c:marker>
          <c:xVal>
            <c:numRef>
              <c:f>CalArduinoTurnigy!$AM$2:$AM$14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7530.1403922218742</c:v>
                </c:pt>
                <c:pt idx="5">
                  <c:v>12418.064446267355</c:v>
                </c:pt>
                <c:pt idx="6">
                  <c:v>18717.4839271479</c:v>
                </c:pt>
                <c:pt idx="7">
                  <c:v>22529.174355155788</c:v>
                </c:pt>
                <c:pt idx="8">
                  <c:v>25975.921156907556</c:v>
                </c:pt>
                <c:pt idx="9">
                  <c:v>30910.406070829777</c:v>
                </c:pt>
                <c:pt idx="10">
                  <c:v>34035.323886596707</c:v>
                </c:pt>
                <c:pt idx="11">
                  <c:v>34943.555602310582</c:v>
                </c:pt>
                <c:pt idx="12">
                  <c:v>36207.567774114286</c:v>
                </c:pt>
              </c:numCache>
            </c:numRef>
          </c:xVal>
          <c:yVal>
            <c:numRef>
              <c:f>CalArduinoTurnigy!$AU$2:$AU$14</c:f>
              <c:numCache>
                <c:formatCode>General</c:formatCode>
                <c:ptCount val="13"/>
                <c:pt idx="6" formatCode="0.000">
                  <c:v>7.2671409023472425E-2</c:v>
                </c:pt>
                <c:pt idx="7" formatCode="0.000">
                  <c:v>5.3809443100703722E-2</c:v>
                </c:pt>
                <c:pt idx="8" formatCode="0.000">
                  <c:v>4.6025645503427672E-2</c:v>
                </c:pt>
                <c:pt idx="9" formatCode="0.000">
                  <c:v>3.9989592730882637E-2</c:v>
                </c:pt>
                <c:pt idx="10" formatCode="0.000">
                  <c:v>3.7605917038728308E-2</c:v>
                </c:pt>
                <c:pt idx="11" formatCode="0.000">
                  <c:v>3.7038310956584011E-2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C22-4D8F-88D8-AD25985A22DF}"/>
            </c:ext>
          </c:extLst>
        </c:ser>
        <c:ser>
          <c:idx val="1"/>
          <c:order val="1"/>
          <c:tx>
            <c:strRef>
              <c:f>CalArduinoTurnigy!$AQ$1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CalArduinoTurnigy!$AH$2:$AH$14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CalArduinoTurnigy!$AQ$2:$AQ$14</c:f>
              <c:numCache>
                <c:formatCode>General</c:formatCode>
                <c:ptCount val="13"/>
                <c:pt idx="4" formatCode="0.000">
                  <c:v>8.6869543123372139E-2</c:v>
                </c:pt>
                <c:pt idx="5" formatCode="0.000">
                  <c:v>5.5097378875630716E-2</c:v>
                </c:pt>
                <c:pt idx="6" formatCode="0.000">
                  <c:v>4.2737664274397333E-2</c:v>
                </c:pt>
                <c:pt idx="7" formatCode="0.000">
                  <c:v>3.9071151704477884E-2</c:v>
                </c:pt>
                <c:pt idx="8" formatCode="0.000">
                  <c:v>3.6789291938147554E-2</c:v>
                </c:pt>
                <c:pt idx="9" formatCode="0.000">
                  <c:v>3.4492824747713272E-2</c:v>
                </c:pt>
                <c:pt idx="10" formatCode="0.000">
                  <c:v>3.3412481322885462E-2</c:v>
                </c:pt>
                <c:pt idx="11" formatCode="0.000">
                  <c:v>3.3137755680272003E-2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C22-4D8F-88D8-AD25985A2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71848"/>
        <c:axId val="197672240"/>
      </c:scatterChart>
      <c:valAx>
        <c:axId val="197671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 or Nf, 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672240"/>
        <c:crosses val="autoZero"/>
        <c:crossBetween val="midCat"/>
      </c:valAx>
      <c:valAx>
        <c:axId val="197672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6718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4050615504047905"/>
          <c:y val="0.18075814391907774"/>
          <c:w val="0.2779323348304612"/>
          <c:h val="0.1747145377485741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calibration20161019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533573928258968"/>
          <c:y val="0.19480351414406533"/>
          <c:w val="0.78229505686789147"/>
          <c:h val="0.68921660834062404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CalArduinoTurnigy!$AO$1</c:f>
              <c:strCache>
                <c:ptCount val="1"/>
                <c:pt idx="0">
                  <c:v>Model Qg from Model Ng, ft-lbf</c:v>
                </c:pt>
              </c:strCache>
            </c:strRef>
          </c:tx>
          <c:marker>
            <c:symbol val="none"/>
          </c:marker>
          <c:xVal>
            <c:numRef>
              <c:f>CalArduinoTurnigy!$AH$2:$AH$14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CalArduinoTurnigy!$AO$2:$AO$14</c:f>
              <c:numCache>
                <c:formatCode>0.00000</c:formatCode>
                <c:ptCount val="13"/>
                <c:pt idx="2">
                  <c:v>0</c:v>
                </c:pt>
                <c:pt idx="3">
                  <c:v>0</c:v>
                </c:pt>
                <c:pt idx="4">
                  <c:v>4.4935163873351426E-3</c:v>
                </c:pt>
                <c:pt idx="5">
                  <c:v>9.0344945318604156E-3</c:v>
                </c:pt>
                <c:pt idx="6">
                  <c:v>1.488677985167834E-2</c:v>
                </c:pt>
                <c:pt idx="7">
                  <c:v>1.8427915666371371E-2</c:v>
                </c:pt>
                <c:pt idx="8">
                  <c:v>2.1630011632554215E-2</c:v>
                </c:pt>
                <c:pt idx="9">
                  <c:v>2.621424573702338E-2</c:v>
                </c:pt>
                <c:pt idx="10">
                  <c:v>2.911735620844955E-2</c:v>
                </c:pt>
                <c:pt idx="11">
                  <c:v>2.996112143999155E-2</c:v>
                </c:pt>
                <c:pt idx="12">
                  <c:v>3.1135413753683283E-2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7F-43B3-9696-B37022639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80864"/>
        <c:axId val="197682040"/>
      </c:scatterChart>
      <c:valAx>
        <c:axId val="19768086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97682040"/>
        <c:crosses val="autoZero"/>
        <c:crossBetween val="midCat"/>
      </c:valAx>
      <c:valAx>
        <c:axId val="197682040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1976808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373914799111651"/>
          <c:y val="0.27703703886686909"/>
          <c:w val="0.44643175853018374"/>
          <c:h val="0.1396566054243219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CalArduinoHiTec!$J$2:$J$34</c:f>
              <c:numCache>
                <c:formatCode>0.0</c:formatCode>
                <c:ptCount val="33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xVal>
          <c:yVal>
            <c:numRef>
              <c:f>CalArduinoHiTec!$P$2:$P$34</c:f>
              <c:numCache>
                <c:formatCode>0</c:formatCode>
                <c:ptCount val="33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B3F-4427-BCB4-7B3C0AC94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74200"/>
        <c:axId val="197675768"/>
      </c:scatterChart>
      <c:valAx>
        <c:axId val="197674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75768"/>
        <c:crosses val="autoZero"/>
        <c:crossBetween val="midCat"/>
      </c:valAx>
      <c:valAx>
        <c:axId val="19767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74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CalArduinoHiTec!$O$1</c:f>
              <c:strCache>
                <c:ptCount val="1"/>
                <c:pt idx="0">
                  <c:v>tur,RPM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CalArduinoHiTec!$N$3:$N$9</c:f>
              <c:numCache>
                <c:formatCode>0</c:formatCode>
                <c:ptCount val="7"/>
                <c:pt idx="0">
                  <c:v>7812.5000000000009</c:v>
                </c:pt>
                <c:pt idx="1">
                  <c:v>9433.962264150945</c:v>
                </c:pt>
                <c:pt idx="2">
                  <c:v>12244.897959183674</c:v>
                </c:pt>
                <c:pt idx="3">
                  <c:v>15000.000000000002</c:v>
                </c:pt>
                <c:pt idx="4">
                  <c:v>15544.041450777202</c:v>
                </c:pt>
                <c:pt idx="5">
                  <c:v>18633.540372670806</c:v>
                </c:pt>
                <c:pt idx="6">
                  <c:v>21306.818181818184</c:v>
                </c:pt>
              </c:numCache>
            </c:numRef>
          </c:xVal>
          <c:yVal>
            <c:numRef>
              <c:f>CalArduinoHiTec!$O$3:$O$9</c:f>
              <c:numCache>
                <c:formatCode>0</c:formatCode>
                <c:ptCount val="7"/>
                <c:pt idx="0">
                  <c:v>3278.688524590164</c:v>
                </c:pt>
                <c:pt idx="1">
                  <c:v>4950.4950495049507</c:v>
                </c:pt>
                <c:pt idx="2">
                  <c:v>7812.5000000000009</c:v>
                </c:pt>
                <c:pt idx="3">
                  <c:v>10067.114093959732</c:v>
                </c:pt>
                <c:pt idx="4">
                  <c:v>10869.565217391306</c:v>
                </c:pt>
                <c:pt idx="5">
                  <c:v>13761.467889908257</c:v>
                </c:pt>
                <c:pt idx="6">
                  <c:v>15957.44680851064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E58-4C5D-9A1B-D245FFA2C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79688"/>
        <c:axId val="197680080"/>
      </c:scatterChart>
      <c:valAx>
        <c:axId val="197679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80080"/>
        <c:crosses val="autoZero"/>
        <c:crossBetween val="midCat"/>
      </c:valAx>
      <c:valAx>
        <c:axId val="19768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79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Throttle to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6602897731953912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555-47EE-B0F1-21A78D63A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81256"/>
        <c:axId val="197682432"/>
      </c:scatterChart>
      <c:scatterChart>
        <c:scatterStyle val="lineMarker"/>
        <c:varyColors val="0"/>
        <c:ser>
          <c:idx val="1"/>
          <c:order val="1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555-47EE-B0F1-21A78D63A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85568"/>
        <c:axId val="197684000"/>
      </c:scatterChart>
      <c:valAx>
        <c:axId val="197681256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82432"/>
        <c:crosses val="autoZero"/>
        <c:crossBetween val="midCat"/>
      </c:valAx>
      <c:valAx>
        <c:axId val="19768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81256"/>
        <c:crosses val="autoZero"/>
        <c:crossBetween val="midCat"/>
      </c:valAx>
      <c:valAx>
        <c:axId val="1976840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85568"/>
        <c:crosses val="max"/>
        <c:crossBetween val="midCat"/>
      </c:valAx>
      <c:valAx>
        <c:axId val="197685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68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915115991666955E-2"/>
          <c:y val="0.82389355699646971"/>
          <c:w val="0.75743135247107563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D0-47A1-B0A1-CF90C42A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83216"/>
        <c:axId val="197684392"/>
      </c:scatterChart>
      <c:valAx>
        <c:axId val="197683216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7684392"/>
        <c:crosses val="autoZero"/>
        <c:crossBetween val="midCat"/>
      </c:valAx>
      <c:valAx>
        <c:axId val="197684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683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0252674358798312"/>
          <c:y val="0.24957033840520826"/>
          <c:w val="0.85584877842541363"/>
          <c:h val="0.601843341646351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CalArduinoHiTec!$AB$1</c:f>
              <c:strCache>
                <c:ptCount val="1"/>
                <c:pt idx="0">
                  <c:v>Tau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CalArduinoHiTec!$P$3:$P$9</c:f>
              <c:numCache>
                <c:formatCode>0</c:formatCode>
                <c:ptCount val="7"/>
                <c:pt idx="0">
                  <c:v>35.26475694444445</c:v>
                </c:pt>
                <c:pt idx="1">
                  <c:v>42.58385744234802</c:v>
                </c:pt>
                <c:pt idx="2">
                  <c:v>55.272108843537424</c:v>
                </c:pt>
                <c:pt idx="3">
                  <c:v>67.708333333333343</c:v>
                </c:pt>
                <c:pt idx="4">
                  <c:v>70.164075993091544</c:v>
                </c:pt>
                <c:pt idx="5">
                  <c:v>84.10973084886129</c:v>
                </c:pt>
                <c:pt idx="6">
                  <c:v>96.176609848484858</c:v>
                </c:pt>
              </c:numCache>
            </c:numRef>
          </c:xVal>
          <c:yVal>
            <c:numRef>
              <c:f>CalArduinoHiTec!$AB$3:$AB$9</c:f>
              <c:numCache>
                <c:formatCode>General</c:formatCode>
                <c:ptCount val="7"/>
                <c:pt idx="1">
                  <c:v>0.18</c:v>
                </c:pt>
                <c:pt idx="2">
                  <c:v>0.18</c:v>
                </c:pt>
                <c:pt idx="3">
                  <c:v>0.14000000000000001</c:v>
                </c:pt>
                <c:pt idx="4">
                  <c:v>0.12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799-410A-9B96-249A60152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85960"/>
        <c:axId val="197684784"/>
      </c:scatterChart>
      <c:valAx>
        <c:axId val="197685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7684784"/>
        <c:crosses val="autoZero"/>
        <c:crossBetween val="midCat"/>
      </c:valAx>
      <c:valAx>
        <c:axId val="19768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685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CalArduinoHiTec!$T$1</c:f>
              <c:strCache>
                <c:ptCount val="1"/>
                <c:pt idx="0">
                  <c:v>Calc Ng from Nt,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backward val="32"/>
            <c:dispRSqr val="0"/>
            <c:dispEq val="0"/>
          </c:trendline>
          <c:xVal>
            <c:numRef>
              <c:f>CalArduinoHiTec!$Q$2:$Q$9</c:f>
              <c:numCache>
                <c:formatCode>0</c:formatCode>
                <c:ptCount val="8"/>
                <c:pt idx="0">
                  <c:v>1.3541666666666668E-11</c:v>
                </c:pt>
                <c:pt idx="1">
                  <c:v>14.799635701275045</c:v>
                </c:pt>
                <c:pt idx="2">
                  <c:v>22.345984598459847</c:v>
                </c:pt>
                <c:pt idx="3">
                  <c:v>35.26475694444445</c:v>
                </c:pt>
                <c:pt idx="4">
                  <c:v>45.44183445190157</c:v>
                </c:pt>
                <c:pt idx="5">
                  <c:v>49.064009661835762</c:v>
                </c:pt>
                <c:pt idx="6">
                  <c:v>62.117737003058117</c:v>
                </c:pt>
                <c:pt idx="7">
                  <c:v>72.030141843971634</c:v>
                </c:pt>
              </c:numCache>
            </c:numRef>
          </c:xVal>
          <c:yVal>
            <c:numRef>
              <c:f>CalArduinoHiTec!$T$2:$T$9</c:f>
              <c:numCache>
                <c:formatCode>0</c:formatCode>
                <c:ptCount val="8"/>
                <c:pt idx="0">
                  <c:v>18.869943356217771</c:v>
                </c:pt>
                <c:pt idx="1">
                  <c:v>34.560601222019052</c:v>
                </c:pt>
                <c:pt idx="2">
                  <c:v>42.561283203103258</c:v>
                </c:pt>
                <c:pt idx="3">
                  <c:v>56.257839052092237</c:v>
                </c:pt>
                <c:pt idx="4">
                  <c:v>67.047634454261498</c:v>
                </c:pt>
                <c:pt idx="5">
                  <c:v>70.887885193961779</c:v>
                </c:pt>
                <c:pt idx="6">
                  <c:v>84.727521095750703</c:v>
                </c:pt>
                <c:pt idx="7">
                  <c:v>95.236709032912501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EC3-4461-9C5E-F72795B55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20496"/>
        <c:axId val="198946856"/>
      </c:scatterChart>
      <c:valAx>
        <c:axId val="177820496"/>
        <c:scaling>
          <c:orientation val="minMax"/>
          <c:max val="8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46856"/>
        <c:crosses val="autoZero"/>
        <c:crossBetween val="midCat"/>
      </c:valAx>
      <c:valAx>
        <c:axId val="19894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20496"/>
        <c:crossesAt val="-2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Ard0_Turn0_ESC0_G0b_T0a!$E$2:$E$13</c:f>
              <c:numCache>
                <c:formatCode>General</c:formatCode>
                <c:ptCount val="12"/>
                <c:pt idx="0">
                  <c:v>3.2000000000000002E-3</c:v>
                </c:pt>
                <c:pt idx="1">
                  <c:v>2.3999999999999998E-3</c:v>
                </c:pt>
                <c:pt idx="2">
                  <c:v>6.9000000000000006E-2</c:v>
                </c:pt>
                <c:pt idx="3">
                  <c:v>0.51</c:v>
                </c:pt>
                <c:pt idx="4">
                  <c:v>0.80100000000000005</c:v>
                </c:pt>
                <c:pt idx="5">
                  <c:v>1.167</c:v>
                </c:pt>
                <c:pt idx="6">
                  <c:v>1.2749999999999999</c:v>
                </c:pt>
                <c:pt idx="7">
                  <c:v>1.597</c:v>
                </c:pt>
                <c:pt idx="8">
                  <c:v>1.95</c:v>
                </c:pt>
                <c:pt idx="9">
                  <c:v>2.2599999999999998</c:v>
                </c:pt>
                <c:pt idx="10">
                  <c:v>2.34</c:v>
                </c:pt>
                <c:pt idx="11">
                  <c:v>2.4</c:v>
                </c:pt>
              </c:numCache>
            </c:numRef>
          </c:xVal>
          <c:yVal>
            <c:numRef>
              <c:f>Ard0_Turn0_ESC0_G0b_T0a!$Q$2:$Q$13</c:f>
              <c:numCache>
                <c:formatCode>0</c:formatCode>
                <c:ptCount val="12"/>
                <c:pt idx="0" formatCode="General">
                  <c:v>0</c:v>
                </c:pt>
                <c:pt idx="1">
                  <c:v>5.9999999999999995E-25</c:v>
                </c:pt>
                <c:pt idx="2">
                  <c:v>882.35294117647061</c:v>
                </c:pt>
                <c:pt idx="3">
                  <c:v>7058.8235294117649</c:v>
                </c:pt>
                <c:pt idx="4">
                  <c:v>11070.110701107011</c:v>
                </c:pt>
                <c:pt idx="5">
                  <c:v>16042.780748663101</c:v>
                </c:pt>
                <c:pt idx="6">
                  <c:v>18404.907975460123</c:v>
                </c:pt>
                <c:pt idx="7">
                  <c:v>22304.832713754648</c:v>
                </c:pt>
                <c:pt idx="8">
                  <c:v>27149.321266968327</c:v>
                </c:pt>
                <c:pt idx="9">
                  <c:v>31578.947368421057</c:v>
                </c:pt>
                <c:pt idx="10">
                  <c:v>33057.85123966942</c:v>
                </c:pt>
                <c:pt idx="11">
                  <c:v>33519.553072625698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AC-48AF-90E6-A9CE34CD6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80592"/>
        <c:axId val="178481768"/>
      </c:scatterChart>
      <c:valAx>
        <c:axId val="17848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481768"/>
        <c:crosses val="autoZero"/>
        <c:crossBetween val="midCat"/>
      </c:valAx>
      <c:valAx>
        <c:axId val="178481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4805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CalArduinoHiTec!$S$1</c:f>
              <c:strCache>
                <c:ptCount val="1"/>
                <c:pt idx="0">
                  <c:v>Throttle, deg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7500"/>
            <c:intercept val="0"/>
            <c:dispRSqr val="0"/>
            <c:dispEq val="1"/>
            <c:trendlineLbl>
              <c:layout>
                <c:manualLayout>
                  <c:x val="-0.11207458442694664"/>
                  <c:y val="3.42403032954214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xVal>
          <c:yVal>
            <c:numRef>
              <c:f>CalArduinoHiTec!$S$2:$S$9</c:f>
              <c:numCache>
                <c:formatCode>0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522-4BE5-A55F-4C68F164F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51168"/>
        <c:axId val="198947248"/>
      </c:scatterChart>
      <c:valAx>
        <c:axId val="19895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47248"/>
        <c:crosses val="autoZero"/>
        <c:crossBetween val="midCat"/>
      </c:valAx>
      <c:valAx>
        <c:axId val="19894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5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048556430446198E-2"/>
          <c:y val="0.16708333333333336"/>
          <c:w val="0.90339588801399828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CalArduinoHiTec!$N$1</c:f>
              <c:strCache>
                <c:ptCount val="1"/>
                <c:pt idx="0">
                  <c:v>Ng,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55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A39-424D-BA00-477BBA469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47640"/>
        <c:axId val="198949992"/>
      </c:scatterChart>
      <c:valAx>
        <c:axId val="198947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49992"/>
        <c:crosses val="autoZero"/>
        <c:crossBetween val="midCat"/>
      </c:valAx>
      <c:valAx>
        <c:axId val="19894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47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CalPhotonHiTec!$J$2:$J$31</c:f>
              <c:numCache>
                <c:formatCode>0.0</c:formatCode>
                <c:ptCount val="30"/>
                <c:pt idx="0">
                  <c:v>0</c:v>
                </c:pt>
                <c:pt idx="1">
                  <c:v>18.954000000000001</c:v>
                </c:pt>
                <c:pt idx="2">
                  <c:v>23.065999999999999</c:v>
                </c:pt>
                <c:pt idx="3">
                  <c:v>44.176200000000001</c:v>
                </c:pt>
                <c:pt idx="4">
                  <c:v>77.8596</c:v>
                </c:pt>
                <c:pt idx="5">
                  <c:v>100.6914</c:v>
                </c:pt>
                <c:pt idx="6">
                  <c:v>155.69400000000002</c:v>
                </c:pt>
              </c:numCache>
            </c:numRef>
          </c:xVal>
          <c:yVal>
            <c:numRef>
              <c:f>CalPhotonHiTec!$P$2:$P$31</c:f>
              <c:numCache>
                <c:formatCode>0</c:formatCode>
                <c:ptCount val="30"/>
                <c:pt idx="0">
                  <c:v>0</c:v>
                </c:pt>
                <c:pt idx="1">
                  <c:v>35.535006556692458</c:v>
                </c:pt>
                <c:pt idx="2">
                  <c:v>41.694986197572746</c:v>
                </c:pt>
                <c:pt idx="3">
                  <c:v>58.497191347429769</c:v>
                </c:pt>
                <c:pt idx="4">
                  <c:v>71.633456576421381</c:v>
                </c:pt>
                <c:pt idx="5">
                  <c:v>78.025081169228997</c:v>
                </c:pt>
                <c:pt idx="6">
                  <c:v>87.695216353429245</c:v>
                </c:pt>
                <c:pt idx="7">
                  <c:v>99.436452599869568</c:v>
                </c:pt>
                <c:pt idx="10">
                  <c:v>0</c:v>
                </c:pt>
                <c:pt idx="11">
                  <c:v>262.41235611095965</c:v>
                </c:pt>
                <c:pt idx="12">
                  <c:v>307.90143653592179</c:v>
                </c:pt>
                <c:pt idx="13">
                  <c:v>431.97925918101981</c:v>
                </c:pt>
                <c:pt idx="14">
                  <c:v>528.98552548741941</c:v>
                </c:pt>
                <c:pt idx="15">
                  <c:v>576.18521478815251</c:v>
                </c:pt>
                <c:pt idx="16">
                  <c:v>647.59544384070819</c:v>
                </c:pt>
                <c:pt idx="17">
                  <c:v>734.29995766057539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C34-48A1-B0A8-ACFD42675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48032"/>
        <c:axId val="198951560"/>
      </c:scatterChart>
      <c:valAx>
        <c:axId val="19894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51560"/>
        <c:crosses val="autoZero"/>
        <c:crossBetween val="midCat"/>
      </c:valAx>
      <c:valAx>
        <c:axId val="1989515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4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1.xml"/><Relationship Id="rId3" Type="http://schemas.openxmlformats.org/officeDocument/2006/relationships/chart" Target="../charts/chart66.xml"/><Relationship Id="rId7" Type="http://schemas.openxmlformats.org/officeDocument/2006/relationships/chart" Target="../charts/chart70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Relationship Id="rId6" Type="http://schemas.openxmlformats.org/officeDocument/2006/relationships/chart" Target="../charts/chart69.xml"/><Relationship Id="rId11" Type="http://schemas.openxmlformats.org/officeDocument/2006/relationships/chart" Target="../charts/chart74.xml"/><Relationship Id="rId5" Type="http://schemas.openxmlformats.org/officeDocument/2006/relationships/chart" Target="../charts/chart68.xml"/><Relationship Id="rId10" Type="http://schemas.openxmlformats.org/officeDocument/2006/relationships/chart" Target="../charts/chart73.xml"/><Relationship Id="rId4" Type="http://schemas.openxmlformats.org/officeDocument/2006/relationships/chart" Target="../charts/chart67.xml"/><Relationship Id="rId9" Type="http://schemas.openxmlformats.org/officeDocument/2006/relationships/chart" Target="../charts/chart7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3.xml"/><Relationship Id="rId3" Type="http://schemas.openxmlformats.org/officeDocument/2006/relationships/chart" Target="../charts/chart78.xml"/><Relationship Id="rId7" Type="http://schemas.openxmlformats.org/officeDocument/2006/relationships/chart" Target="../charts/chart82.xml"/><Relationship Id="rId2" Type="http://schemas.openxmlformats.org/officeDocument/2006/relationships/chart" Target="../charts/chart77.xml"/><Relationship Id="rId1" Type="http://schemas.openxmlformats.org/officeDocument/2006/relationships/chart" Target="../charts/chart76.xml"/><Relationship Id="rId6" Type="http://schemas.openxmlformats.org/officeDocument/2006/relationships/chart" Target="../charts/chart81.xml"/><Relationship Id="rId5" Type="http://schemas.openxmlformats.org/officeDocument/2006/relationships/chart" Target="../charts/chart80.xml"/><Relationship Id="rId4" Type="http://schemas.openxmlformats.org/officeDocument/2006/relationships/chart" Target="../charts/chart79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1.xml"/><Relationship Id="rId3" Type="http://schemas.openxmlformats.org/officeDocument/2006/relationships/chart" Target="../charts/chart86.xml"/><Relationship Id="rId7" Type="http://schemas.openxmlformats.org/officeDocument/2006/relationships/chart" Target="../charts/chart90.xml"/><Relationship Id="rId2" Type="http://schemas.openxmlformats.org/officeDocument/2006/relationships/chart" Target="../charts/chart85.xml"/><Relationship Id="rId1" Type="http://schemas.openxmlformats.org/officeDocument/2006/relationships/chart" Target="../charts/chart84.xml"/><Relationship Id="rId6" Type="http://schemas.openxmlformats.org/officeDocument/2006/relationships/chart" Target="../charts/chart89.xml"/><Relationship Id="rId5" Type="http://schemas.openxmlformats.org/officeDocument/2006/relationships/chart" Target="../charts/chart88.xml"/><Relationship Id="rId4" Type="http://schemas.openxmlformats.org/officeDocument/2006/relationships/chart" Target="../charts/chart8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/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7.xml"/><Relationship Id="rId3" Type="http://schemas.openxmlformats.org/officeDocument/2006/relationships/chart" Target="../charts/chart42.xml"/><Relationship Id="rId7" Type="http://schemas.openxmlformats.org/officeDocument/2006/relationships/chart" Target="../charts/chart46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5" Type="http://schemas.openxmlformats.org/officeDocument/2006/relationships/chart" Target="../charts/chart44.xml"/><Relationship Id="rId4" Type="http://schemas.openxmlformats.org/officeDocument/2006/relationships/chart" Target="../charts/chart43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5.xml"/><Relationship Id="rId3" Type="http://schemas.openxmlformats.org/officeDocument/2006/relationships/chart" Target="../charts/chart50.xml"/><Relationship Id="rId7" Type="http://schemas.openxmlformats.org/officeDocument/2006/relationships/chart" Target="../charts/chart54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6" Type="http://schemas.openxmlformats.org/officeDocument/2006/relationships/chart" Target="../charts/chart53.xml"/><Relationship Id="rId5" Type="http://schemas.openxmlformats.org/officeDocument/2006/relationships/chart" Target="../charts/chart52.xml"/><Relationship Id="rId4" Type="http://schemas.openxmlformats.org/officeDocument/2006/relationships/chart" Target="../charts/chart51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3.xml"/><Relationship Id="rId3" Type="http://schemas.openxmlformats.org/officeDocument/2006/relationships/chart" Target="../charts/chart58.xml"/><Relationship Id="rId7" Type="http://schemas.openxmlformats.org/officeDocument/2006/relationships/chart" Target="../charts/chart62.xml"/><Relationship Id="rId2" Type="http://schemas.openxmlformats.org/officeDocument/2006/relationships/chart" Target="../charts/chart57.xml"/><Relationship Id="rId1" Type="http://schemas.openxmlformats.org/officeDocument/2006/relationships/chart" Target="../charts/chart56.xml"/><Relationship Id="rId6" Type="http://schemas.openxmlformats.org/officeDocument/2006/relationships/chart" Target="../charts/chart61.xml"/><Relationship Id="rId5" Type="http://schemas.openxmlformats.org/officeDocument/2006/relationships/chart" Target="../charts/chart60.xml"/><Relationship Id="rId4" Type="http://schemas.openxmlformats.org/officeDocument/2006/relationships/chart" Target="../charts/chart5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21</xdr:row>
      <xdr:rowOff>157162</xdr:rowOff>
    </xdr:from>
    <xdr:to>
      <xdr:col>8</xdr:col>
      <xdr:colOff>66675</xdr:colOff>
      <xdr:row>36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361950</xdr:colOff>
      <xdr:row>16</xdr:row>
      <xdr:rowOff>47625</xdr:rowOff>
    </xdr:from>
    <xdr:to>
      <xdr:col>17</xdr:col>
      <xdr:colOff>57150</xdr:colOff>
      <xdr:row>30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56</xdr:row>
      <xdr:rowOff>15239</xdr:rowOff>
    </xdr:from>
    <xdr:to>
      <xdr:col>6</xdr:col>
      <xdr:colOff>423333</xdr:colOff>
      <xdr:row>68</xdr:row>
      <xdr:rowOff>135466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293371</xdr:colOff>
      <xdr:row>31</xdr:row>
      <xdr:rowOff>68580</xdr:rowOff>
    </xdr:from>
    <xdr:to>
      <xdr:col>21</xdr:col>
      <xdr:colOff>381000</xdr:colOff>
      <xdr:row>44</xdr:row>
      <xdr:rowOff>98214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331683</xdr:colOff>
      <xdr:row>46</xdr:row>
      <xdr:rowOff>172091</xdr:rowOff>
    </xdr:from>
    <xdr:to>
      <xdr:col>11</xdr:col>
      <xdr:colOff>101600</xdr:colOff>
      <xdr:row>59</xdr:row>
      <xdr:rowOff>126999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100753</xdr:colOff>
      <xdr:row>46</xdr:row>
      <xdr:rowOff>170186</xdr:rowOff>
    </xdr:from>
    <xdr:to>
      <xdr:col>18</xdr:col>
      <xdr:colOff>306493</xdr:colOff>
      <xdr:row>62</xdr:row>
      <xdr:rowOff>193040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21802</xdr:colOff>
      <xdr:row>31</xdr:row>
      <xdr:rowOff>93133</xdr:rowOff>
    </xdr:from>
    <xdr:to>
      <xdr:col>13</xdr:col>
      <xdr:colOff>228599</xdr:colOff>
      <xdr:row>44</xdr:row>
      <xdr:rowOff>24558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8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139701</xdr:colOff>
      <xdr:row>36</xdr:row>
      <xdr:rowOff>120656</xdr:rowOff>
    </xdr:from>
    <xdr:to>
      <xdr:col>39</xdr:col>
      <xdr:colOff>53824</xdr:colOff>
      <xdr:row>50</xdr:row>
      <xdr:rowOff>127002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8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395816</xdr:colOff>
      <xdr:row>69</xdr:row>
      <xdr:rowOff>28786</xdr:rowOff>
    </xdr:from>
    <xdr:to>
      <xdr:col>32</xdr:col>
      <xdr:colOff>39369</xdr:colOff>
      <xdr:row>84</xdr:row>
      <xdr:rowOff>29633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8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180802</xdr:colOff>
      <xdr:row>83</xdr:row>
      <xdr:rowOff>86590</xdr:rowOff>
    </xdr:from>
    <xdr:to>
      <xdr:col>33</xdr:col>
      <xdr:colOff>142702</xdr:colOff>
      <xdr:row>98</xdr:row>
      <xdr:rowOff>132310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00000000-0008-0000-08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46</xdr:col>
      <xdr:colOff>110064</xdr:colOff>
      <xdr:row>51</xdr:row>
      <xdr:rowOff>67732</xdr:rowOff>
    </xdr:from>
    <xdr:to>
      <xdr:col>50</xdr:col>
      <xdr:colOff>8466</xdr:colOff>
      <xdr:row>61</xdr:row>
      <xdr:rowOff>93133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00000000-0008-0000-08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493185</xdr:colOff>
      <xdr:row>22</xdr:row>
      <xdr:rowOff>61382</xdr:rowOff>
    </xdr:from>
    <xdr:to>
      <xdr:col>52</xdr:col>
      <xdr:colOff>357717</xdr:colOff>
      <xdr:row>37</xdr:row>
      <xdr:rowOff>124881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8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335824</xdr:colOff>
      <xdr:row>15</xdr:row>
      <xdr:rowOff>39189</xdr:rowOff>
    </xdr:from>
    <xdr:to>
      <xdr:col>28</xdr:col>
      <xdr:colOff>552449</xdr:colOff>
      <xdr:row>29</xdr:row>
      <xdr:rowOff>158938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00000000-0008-0000-08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</xdr:colOff>
      <xdr:row>14</xdr:row>
      <xdr:rowOff>175260</xdr:rowOff>
    </xdr:from>
    <xdr:to>
      <xdr:col>7</xdr:col>
      <xdr:colOff>33867</xdr:colOff>
      <xdr:row>29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9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15240</xdr:rowOff>
    </xdr:from>
    <xdr:to>
      <xdr:col>5</xdr:col>
      <xdr:colOff>190500</xdr:colOff>
      <xdr:row>61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217170</xdr:colOff>
      <xdr:row>24</xdr:row>
      <xdr:rowOff>144780</xdr:rowOff>
    </xdr:from>
    <xdr:to>
      <xdr:col>18</xdr:col>
      <xdr:colOff>228600</xdr:colOff>
      <xdr:row>37</xdr:row>
      <xdr:rowOff>342900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272415</xdr:colOff>
      <xdr:row>42</xdr:row>
      <xdr:rowOff>146691</xdr:rowOff>
    </xdr:from>
    <xdr:to>
      <xdr:col>13</xdr:col>
      <xdr:colOff>251460</xdr:colOff>
      <xdr:row>56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A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7620</xdr:colOff>
      <xdr:row>40</xdr:row>
      <xdr:rowOff>144786</xdr:rowOff>
    </xdr:from>
    <xdr:to>
      <xdr:col>20</xdr:col>
      <xdr:colOff>137160</xdr:colOff>
      <xdr:row>56</xdr:row>
      <xdr:rowOff>167640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A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219075</xdr:colOff>
      <xdr:row>18</xdr:row>
      <xdr:rowOff>6</xdr:rowOff>
    </xdr:from>
    <xdr:to>
      <xdr:col>16</xdr:col>
      <xdr:colOff>0</xdr:colOff>
      <xdr:row>33</xdr:row>
      <xdr:rowOff>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704850</xdr:colOff>
      <xdr:row>18</xdr:row>
      <xdr:rowOff>85731</xdr:rowOff>
    </xdr:from>
    <xdr:to>
      <xdr:col>40</xdr:col>
      <xdr:colOff>219075</xdr:colOff>
      <xdr:row>33</xdr:row>
      <xdr:rowOff>76206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A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495300</xdr:colOff>
      <xdr:row>18</xdr:row>
      <xdr:rowOff>114307</xdr:rowOff>
    </xdr:from>
    <xdr:to>
      <xdr:col>46</xdr:col>
      <xdr:colOff>447675</xdr:colOff>
      <xdr:row>32</xdr:row>
      <xdr:rowOff>180976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A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342900</xdr:colOff>
      <xdr:row>34</xdr:row>
      <xdr:rowOff>95251</xdr:rowOff>
    </xdr:from>
    <xdr:to>
      <xdr:col>41</xdr:col>
      <xdr:colOff>381000</xdr:colOff>
      <xdr:row>46</xdr:row>
      <xdr:rowOff>76207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A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11</xdr:row>
      <xdr:rowOff>83820</xdr:rowOff>
    </xdr:from>
    <xdr:to>
      <xdr:col>12</xdr:col>
      <xdr:colOff>83820</xdr:colOff>
      <xdr:row>28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28</xdr:row>
      <xdr:rowOff>175260</xdr:rowOff>
    </xdr:from>
    <xdr:to>
      <xdr:col>11</xdr:col>
      <xdr:colOff>0</xdr:colOff>
      <xdr:row>39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209550</xdr:colOff>
      <xdr:row>13</xdr:row>
      <xdr:rowOff>45726</xdr:rowOff>
    </xdr:from>
    <xdr:to>
      <xdr:col>24</xdr:col>
      <xdr:colOff>403860</xdr:colOff>
      <xdr:row>32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B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127635</xdr:colOff>
      <xdr:row>29</xdr:row>
      <xdr:rowOff>55251</xdr:rowOff>
    </xdr:from>
    <xdr:to>
      <xdr:col>21</xdr:col>
      <xdr:colOff>38100</xdr:colOff>
      <xdr:row>42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B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154305</xdr:colOff>
      <xdr:row>0</xdr:row>
      <xdr:rowOff>1</xdr:rowOff>
    </xdr:from>
    <xdr:to>
      <xdr:col>37</xdr:col>
      <xdr:colOff>152400</xdr:colOff>
      <xdr:row>13</xdr:row>
      <xdr:rowOff>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B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7620</xdr:colOff>
      <xdr:row>41</xdr:row>
      <xdr:rowOff>15246</xdr:rowOff>
    </xdr:from>
    <xdr:to>
      <xdr:col>13</xdr:col>
      <xdr:colOff>304800</xdr:colOff>
      <xdr:row>58</xdr:row>
      <xdr:rowOff>160020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B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236220</xdr:colOff>
      <xdr:row>14</xdr:row>
      <xdr:rowOff>83826</xdr:rowOff>
    </xdr:from>
    <xdr:to>
      <xdr:col>15</xdr:col>
      <xdr:colOff>243840</xdr:colOff>
      <xdr:row>27</xdr:row>
      <xdr:rowOff>137160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B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381000</xdr:colOff>
      <xdr:row>42</xdr:row>
      <xdr:rowOff>152406</xdr:rowOff>
    </xdr:from>
    <xdr:to>
      <xdr:col>24</xdr:col>
      <xdr:colOff>464820</xdr:colOff>
      <xdr:row>57</xdr:row>
      <xdr:rowOff>152406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B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10</xdr:row>
      <xdr:rowOff>60960</xdr:rowOff>
    </xdr:from>
    <xdr:to>
      <xdr:col>15</xdr:col>
      <xdr:colOff>53340</xdr:colOff>
      <xdr:row>24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1797" cy="629046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46</xdr:row>
      <xdr:rowOff>50800</xdr:rowOff>
    </xdr:from>
    <xdr:to>
      <xdr:col>41</xdr:col>
      <xdr:colOff>406400</xdr:colOff>
      <xdr:row>63</xdr:row>
      <xdr:rowOff>56356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46</xdr:row>
      <xdr:rowOff>33365</xdr:rowOff>
    </xdr:from>
    <xdr:to>
      <xdr:col>48</xdr:col>
      <xdr:colOff>125412</xdr:colOff>
      <xdr:row>62</xdr:row>
      <xdr:rowOff>168274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13</xdr:row>
      <xdr:rowOff>52907</xdr:rowOff>
    </xdr:from>
    <xdr:to>
      <xdr:col>47</xdr:col>
      <xdr:colOff>330200</xdr:colOff>
      <xdr:row>26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27</xdr:row>
      <xdr:rowOff>2181</xdr:rowOff>
    </xdr:from>
    <xdr:to>
      <xdr:col>47</xdr:col>
      <xdr:colOff>482601</xdr:colOff>
      <xdr:row>44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27</xdr:row>
      <xdr:rowOff>25400</xdr:rowOff>
    </xdr:from>
    <xdr:to>
      <xdr:col>41</xdr:col>
      <xdr:colOff>279400</xdr:colOff>
      <xdr:row>44</xdr:row>
      <xdr:rowOff>141232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14</xdr:row>
      <xdr:rowOff>27676</xdr:rowOff>
    </xdr:from>
    <xdr:to>
      <xdr:col>41</xdr:col>
      <xdr:colOff>156493</xdr:colOff>
      <xdr:row>26</xdr:row>
      <xdr:rowOff>96804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20</xdr:row>
      <xdr:rowOff>85271</xdr:rowOff>
    </xdr:from>
    <xdr:to>
      <xdr:col>32</xdr:col>
      <xdr:colOff>245836</xdr:colOff>
      <xdr:row>45</xdr:row>
      <xdr:rowOff>74610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46</xdr:row>
      <xdr:rowOff>120287</xdr:rowOff>
    </xdr:from>
    <xdr:to>
      <xdr:col>34</xdr:col>
      <xdr:colOff>126999</xdr:colOff>
      <xdr:row>63</xdr:row>
      <xdr:rowOff>3174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259080</xdr:colOff>
      <xdr:row>14</xdr:row>
      <xdr:rowOff>7620</xdr:rowOff>
    </xdr:from>
    <xdr:to>
      <xdr:col>54</xdr:col>
      <xdr:colOff>213360</xdr:colOff>
      <xdr:row>29</xdr:row>
      <xdr:rowOff>7620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702734</xdr:colOff>
      <xdr:row>57</xdr:row>
      <xdr:rowOff>101600</xdr:rowOff>
    </xdr:from>
    <xdr:to>
      <xdr:col>28</xdr:col>
      <xdr:colOff>368226</xdr:colOff>
      <xdr:row>84</xdr:row>
      <xdr:rowOff>107872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46</xdr:row>
      <xdr:rowOff>50800</xdr:rowOff>
    </xdr:from>
    <xdr:to>
      <xdr:col>41</xdr:col>
      <xdr:colOff>406400</xdr:colOff>
      <xdr:row>63</xdr:row>
      <xdr:rowOff>56356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46</xdr:row>
      <xdr:rowOff>33365</xdr:rowOff>
    </xdr:from>
    <xdr:to>
      <xdr:col>48</xdr:col>
      <xdr:colOff>125412</xdr:colOff>
      <xdr:row>62</xdr:row>
      <xdr:rowOff>168274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13</xdr:row>
      <xdr:rowOff>52907</xdr:rowOff>
    </xdr:from>
    <xdr:to>
      <xdr:col>47</xdr:col>
      <xdr:colOff>330200</xdr:colOff>
      <xdr:row>26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27</xdr:row>
      <xdr:rowOff>2181</xdr:rowOff>
    </xdr:from>
    <xdr:to>
      <xdr:col>47</xdr:col>
      <xdr:colOff>482601</xdr:colOff>
      <xdr:row>44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27</xdr:row>
      <xdr:rowOff>25400</xdr:rowOff>
    </xdr:from>
    <xdr:to>
      <xdr:col>41</xdr:col>
      <xdr:colOff>279400</xdr:colOff>
      <xdr:row>44</xdr:row>
      <xdr:rowOff>141232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14</xdr:row>
      <xdr:rowOff>27676</xdr:rowOff>
    </xdr:from>
    <xdr:to>
      <xdr:col>41</xdr:col>
      <xdr:colOff>156493</xdr:colOff>
      <xdr:row>26</xdr:row>
      <xdr:rowOff>96804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20</xdr:row>
      <xdr:rowOff>85271</xdr:rowOff>
    </xdr:from>
    <xdr:to>
      <xdr:col>32</xdr:col>
      <xdr:colOff>245836</xdr:colOff>
      <xdr:row>45</xdr:row>
      <xdr:rowOff>74610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46</xdr:row>
      <xdr:rowOff>120287</xdr:rowOff>
    </xdr:from>
    <xdr:to>
      <xdr:col>34</xdr:col>
      <xdr:colOff>126999</xdr:colOff>
      <xdr:row>63</xdr:row>
      <xdr:rowOff>3174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259080</xdr:colOff>
      <xdr:row>14</xdr:row>
      <xdr:rowOff>7620</xdr:rowOff>
    </xdr:from>
    <xdr:to>
      <xdr:col>54</xdr:col>
      <xdr:colOff>213360</xdr:colOff>
      <xdr:row>29</xdr:row>
      <xdr:rowOff>7620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46</xdr:row>
      <xdr:rowOff>50800</xdr:rowOff>
    </xdr:from>
    <xdr:to>
      <xdr:col>41</xdr:col>
      <xdr:colOff>406400</xdr:colOff>
      <xdr:row>63</xdr:row>
      <xdr:rowOff>56356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46</xdr:row>
      <xdr:rowOff>33365</xdr:rowOff>
    </xdr:from>
    <xdr:to>
      <xdr:col>48</xdr:col>
      <xdr:colOff>125412</xdr:colOff>
      <xdr:row>62</xdr:row>
      <xdr:rowOff>168274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13</xdr:row>
      <xdr:rowOff>52907</xdr:rowOff>
    </xdr:from>
    <xdr:to>
      <xdr:col>47</xdr:col>
      <xdr:colOff>330200</xdr:colOff>
      <xdr:row>26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27</xdr:row>
      <xdr:rowOff>2181</xdr:rowOff>
    </xdr:from>
    <xdr:to>
      <xdr:col>47</xdr:col>
      <xdr:colOff>482601</xdr:colOff>
      <xdr:row>44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27</xdr:row>
      <xdr:rowOff>25400</xdr:rowOff>
    </xdr:from>
    <xdr:to>
      <xdr:col>41</xdr:col>
      <xdr:colOff>279400</xdr:colOff>
      <xdr:row>44</xdr:row>
      <xdr:rowOff>141232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14</xdr:row>
      <xdr:rowOff>27676</xdr:rowOff>
    </xdr:from>
    <xdr:to>
      <xdr:col>41</xdr:col>
      <xdr:colOff>156493</xdr:colOff>
      <xdr:row>26</xdr:row>
      <xdr:rowOff>96804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20</xdr:row>
      <xdr:rowOff>85271</xdr:rowOff>
    </xdr:from>
    <xdr:to>
      <xdr:col>32</xdr:col>
      <xdr:colOff>245836</xdr:colOff>
      <xdr:row>45</xdr:row>
      <xdr:rowOff>74610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46</xdr:row>
      <xdr:rowOff>120287</xdr:rowOff>
    </xdr:from>
    <xdr:to>
      <xdr:col>34</xdr:col>
      <xdr:colOff>126999</xdr:colOff>
      <xdr:row>63</xdr:row>
      <xdr:rowOff>3174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58208</xdr:colOff>
      <xdr:row>1</xdr:row>
      <xdr:rowOff>67733</xdr:rowOff>
    </xdr:from>
    <xdr:to>
      <xdr:col>13</xdr:col>
      <xdr:colOff>365125</xdr:colOff>
      <xdr:row>17</xdr:row>
      <xdr:rowOff>16933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B78417F-5B2F-43A4-A5A9-8422EDDB6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47</xdr:row>
      <xdr:rowOff>50800</xdr:rowOff>
    </xdr:from>
    <xdr:to>
      <xdr:col>41</xdr:col>
      <xdr:colOff>406400</xdr:colOff>
      <xdr:row>64</xdr:row>
      <xdr:rowOff>56356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47</xdr:row>
      <xdr:rowOff>33365</xdr:rowOff>
    </xdr:from>
    <xdr:to>
      <xdr:col>48</xdr:col>
      <xdr:colOff>125412</xdr:colOff>
      <xdr:row>63</xdr:row>
      <xdr:rowOff>168274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14</xdr:row>
      <xdr:rowOff>52907</xdr:rowOff>
    </xdr:from>
    <xdr:to>
      <xdr:col>47</xdr:col>
      <xdr:colOff>330200</xdr:colOff>
      <xdr:row>27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28</xdr:row>
      <xdr:rowOff>2181</xdr:rowOff>
    </xdr:from>
    <xdr:to>
      <xdr:col>47</xdr:col>
      <xdr:colOff>482601</xdr:colOff>
      <xdr:row>45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28</xdr:row>
      <xdr:rowOff>25400</xdr:rowOff>
    </xdr:from>
    <xdr:to>
      <xdr:col>41</xdr:col>
      <xdr:colOff>279400</xdr:colOff>
      <xdr:row>45</xdr:row>
      <xdr:rowOff>141232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15</xdr:row>
      <xdr:rowOff>27676</xdr:rowOff>
    </xdr:from>
    <xdr:to>
      <xdr:col>41</xdr:col>
      <xdr:colOff>156493</xdr:colOff>
      <xdr:row>27</xdr:row>
      <xdr:rowOff>96804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21</xdr:row>
      <xdr:rowOff>85271</xdr:rowOff>
    </xdr:from>
    <xdr:to>
      <xdr:col>32</xdr:col>
      <xdr:colOff>245836</xdr:colOff>
      <xdr:row>46</xdr:row>
      <xdr:rowOff>74610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47</xdr:row>
      <xdr:rowOff>120287</xdr:rowOff>
    </xdr:from>
    <xdr:to>
      <xdr:col>34</xdr:col>
      <xdr:colOff>126999</xdr:colOff>
      <xdr:row>64</xdr:row>
      <xdr:rowOff>3174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45</xdr:row>
      <xdr:rowOff>50800</xdr:rowOff>
    </xdr:from>
    <xdr:to>
      <xdr:col>41</xdr:col>
      <xdr:colOff>406400</xdr:colOff>
      <xdr:row>62</xdr:row>
      <xdr:rowOff>56356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45</xdr:row>
      <xdr:rowOff>33365</xdr:rowOff>
    </xdr:from>
    <xdr:to>
      <xdr:col>48</xdr:col>
      <xdr:colOff>125412</xdr:colOff>
      <xdr:row>61</xdr:row>
      <xdr:rowOff>168274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12</xdr:row>
      <xdr:rowOff>52907</xdr:rowOff>
    </xdr:from>
    <xdr:to>
      <xdr:col>47</xdr:col>
      <xdr:colOff>330200</xdr:colOff>
      <xdr:row>25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26</xdr:row>
      <xdr:rowOff>2181</xdr:rowOff>
    </xdr:from>
    <xdr:to>
      <xdr:col>47</xdr:col>
      <xdr:colOff>482601</xdr:colOff>
      <xdr:row>43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26</xdr:row>
      <xdr:rowOff>25400</xdr:rowOff>
    </xdr:from>
    <xdr:to>
      <xdr:col>41</xdr:col>
      <xdr:colOff>279400</xdr:colOff>
      <xdr:row>43</xdr:row>
      <xdr:rowOff>141232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13</xdr:row>
      <xdr:rowOff>27676</xdr:rowOff>
    </xdr:from>
    <xdr:to>
      <xdr:col>41</xdr:col>
      <xdr:colOff>156493</xdr:colOff>
      <xdr:row>25</xdr:row>
      <xdr:rowOff>96804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19</xdr:row>
      <xdr:rowOff>85271</xdr:rowOff>
    </xdr:from>
    <xdr:to>
      <xdr:col>32</xdr:col>
      <xdr:colOff>245836</xdr:colOff>
      <xdr:row>44</xdr:row>
      <xdr:rowOff>74610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45</xdr:row>
      <xdr:rowOff>120287</xdr:rowOff>
    </xdr:from>
    <xdr:to>
      <xdr:col>34</xdr:col>
      <xdr:colOff>126999</xdr:colOff>
      <xdr:row>62</xdr:row>
      <xdr:rowOff>3174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6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45</xdr:row>
      <xdr:rowOff>50800</xdr:rowOff>
    </xdr:from>
    <xdr:to>
      <xdr:col>41</xdr:col>
      <xdr:colOff>406400</xdr:colOff>
      <xdr:row>62</xdr:row>
      <xdr:rowOff>56356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45</xdr:row>
      <xdr:rowOff>33365</xdr:rowOff>
    </xdr:from>
    <xdr:to>
      <xdr:col>48</xdr:col>
      <xdr:colOff>125412</xdr:colOff>
      <xdr:row>61</xdr:row>
      <xdr:rowOff>168274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12</xdr:row>
      <xdr:rowOff>52907</xdr:rowOff>
    </xdr:from>
    <xdr:to>
      <xdr:col>47</xdr:col>
      <xdr:colOff>330200</xdr:colOff>
      <xdr:row>25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26</xdr:row>
      <xdr:rowOff>2181</xdr:rowOff>
    </xdr:from>
    <xdr:to>
      <xdr:col>47</xdr:col>
      <xdr:colOff>482601</xdr:colOff>
      <xdr:row>43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26</xdr:row>
      <xdr:rowOff>25400</xdr:rowOff>
    </xdr:from>
    <xdr:to>
      <xdr:col>41</xdr:col>
      <xdr:colOff>279400</xdr:colOff>
      <xdr:row>43</xdr:row>
      <xdr:rowOff>141232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13</xdr:row>
      <xdr:rowOff>27676</xdr:rowOff>
    </xdr:from>
    <xdr:to>
      <xdr:col>41</xdr:col>
      <xdr:colOff>156493</xdr:colOff>
      <xdr:row>25</xdr:row>
      <xdr:rowOff>96804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19</xdr:row>
      <xdr:rowOff>85271</xdr:rowOff>
    </xdr:from>
    <xdr:to>
      <xdr:col>32</xdr:col>
      <xdr:colOff>245836</xdr:colOff>
      <xdr:row>44</xdr:row>
      <xdr:rowOff>74610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45</xdr:row>
      <xdr:rowOff>120287</xdr:rowOff>
    </xdr:from>
    <xdr:to>
      <xdr:col>34</xdr:col>
      <xdr:colOff>126999</xdr:colOff>
      <xdr:row>62</xdr:row>
      <xdr:rowOff>3174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6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47</xdr:row>
      <xdr:rowOff>50800</xdr:rowOff>
    </xdr:from>
    <xdr:to>
      <xdr:col>41</xdr:col>
      <xdr:colOff>406400</xdr:colOff>
      <xdr:row>64</xdr:row>
      <xdr:rowOff>56356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47</xdr:row>
      <xdr:rowOff>33365</xdr:rowOff>
    </xdr:from>
    <xdr:to>
      <xdr:col>48</xdr:col>
      <xdr:colOff>125412</xdr:colOff>
      <xdr:row>63</xdr:row>
      <xdr:rowOff>168274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14</xdr:row>
      <xdr:rowOff>52907</xdr:rowOff>
    </xdr:from>
    <xdr:to>
      <xdr:col>47</xdr:col>
      <xdr:colOff>330200</xdr:colOff>
      <xdr:row>27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28</xdr:row>
      <xdr:rowOff>2181</xdr:rowOff>
    </xdr:from>
    <xdr:to>
      <xdr:col>47</xdr:col>
      <xdr:colOff>482601</xdr:colOff>
      <xdr:row>45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28</xdr:row>
      <xdr:rowOff>25400</xdr:rowOff>
    </xdr:from>
    <xdr:to>
      <xdr:col>41</xdr:col>
      <xdr:colOff>279400</xdr:colOff>
      <xdr:row>45</xdr:row>
      <xdr:rowOff>141232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15</xdr:row>
      <xdr:rowOff>27676</xdr:rowOff>
    </xdr:from>
    <xdr:to>
      <xdr:col>41</xdr:col>
      <xdr:colOff>156493</xdr:colOff>
      <xdr:row>27</xdr:row>
      <xdr:rowOff>96804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21</xdr:row>
      <xdr:rowOff>85271</xdr:rowOff>
    </xdr:from>
    <xdr:to>
      <xdr:col>32</xdr:col>
      <xdr:colOff>245836</xdr:colOff>
      <xdr:row>46</xdr:row>
      <xdr:rowOff>74610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7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47</xdr:row>
      <xdr:rowOff>120287</xdr:rowOff>
    </xdr:from>
    <xdr:to>
      <xdr:col>34</xdr:col>
      <xdr:colOff>126999</xdr:colOff>
      <xdr:row>64</xdr:row>
      <xdr:rowOff>3174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7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5"/>
  <sheetViews>
    <sheetView topLeftCell="D10" zoomScaleNormal="100" workbookViewId="0">
      <selection activeCell="P33" sqref="P33"/>
    </sheetView>
  </sheetViews>
  <sheetFormatPr defaultRowHeight="14.4" x14ac:dyDescent="0.3"/>
  <sheetData>
    <row r="1" spans="1:32" x14ac:dyDescent="0.3">
      <c r="A1" t="s">
        <v>306</v>
      </c>
      <c r="B1" t="s">
        <v>307</v>
      </c>
      <c r="C1" t="s">
        <v>318</v>
      </c>
      <c r="D1" t="s">
        <v>339</v>
      </c>
      <c r="E1" t="s">
        <v>340</v>
      </c>
      <c r="F1" t="s">
        <v>308</v>
      </c>
      <c r="G1" t="s">
        <v>309</v>
      </c>
      <c r="H1" t="s">
        <v>319</v>
      </c>
      <c r="I1" t="s">
        <v>328</v>
      </c>
      <c r="J1" t="s">
        <v>329</v>
      </c>
      <c r="K1" t="s">
        <v>310</v>
      </c>
      <c r="L1" t="s">
        <v>311</v>
      </c>
      <c r="M1" t="s">
        <v>320</v>
      </c>
      <c r="N1" t="s">
        <v>330</v>
      </c>
      <c r="O1" t="s">
        <v>331</v>
      </c>
      <c r="P1" t="s">
        <v>312</v>
      </c>
      <c r="Q1" t="s">
        <v>313</v>
      </c>
      <c r="R1" t="s">
        <v>321</v>
      </c>
      <c r="S1" t="s">
        <v>334</v>
      </c>
      <c r="T1" t="s">
        <v>333</v>
      </c>
      <c r="U1" t="s">
        <v>314</v>
      </c>
      <c r="V1" t="s">
        <v>315</v>
      </c>
      <c r="W1" t="s">
        <v>322</v>
      </c>
      <c r="X1" t="s">
        <v>332</v>
      </c>
      <c r="Y1" t="s">
        <v>335</v>
      </c>
      <c r="Z1" t="s">
        <v>316</v>
      </c>
      <c r="AA1" t="s">
        <v>317</v>
      </c>
      <c r="AB1" t="s">
        <v>323</v>
      </c>
      <c r="AC1" t="s">
        <v>337</v>
      </c>
      <c r="AD1" t="s">
        <v>338</v>
      </c>
      <c r="AE1" t="s">
        <v>324</v>
      </c>
      <c r="AF1" t="s">
        <v>325</v>
      </c>
    </row>
    <row r="2" spans="1:32" x14ac:dyDescent="0.3">
      <c r="A2">
        <f>CalPhotonTurnigy!D3</f>
        <v>10.076726574109877</v>
      </c>
      <c r="B2" s="174">
        <f>CalPhotonTurnigy!O3</f>
        <v>5.9999999999999995E-25</v>
      </c>
      <c r="C2" s="174">
        <f>C3</f>
        <v>1683.2891657203099</v>
      </c>
      <c r="D2" s="174">
        <f t="shared" ref="D2:D18" si="0">LN(A2)*$C$21+$B$21</f>
        <v>4719.8939848955088</v>
      </c>
      <c r="E2" s="174">
        <f>E3</f>
        <v>1055.3851558145041</v>
      </c>
      <c r="F2" s="96">
        <f>Ard0_Turn0_ESC0_G0b_T0a!D2</f>
        <v>6.0661220353948684</v>
      </c>
      <c r="G2" s="174">
        <f>Ard0_Turn0_ESC0_G0b_T0a!P2</f>
        <v>5.9999999999999995E-25</v>
      </c>
      <c r="H2" s="174">
        <f>H3</f>
        <v>2888.5237809565906</v>
      </c>
      <c r="I2" s="174">
        <f t="shared" ref="I2:I12" si="1">LN(F2)*$C$21+$B$21</f>
        <v>-1908.6802578632232</v>
      </c>
      <c r="J2" s="174">
        <f>J3</f>
        <v>1756.2524837821861</v>
      </c>
      <c r="K2" s="96">
        <f>Ard1_Turn1x_ESC1_G1b_T1a!D2</f>
        <v>5.3803300418278059</v>
      </c>
      <c r="L2" s="174">
        <f>Ard1_Turn1x_ESC1_G1b_T1a!P2</f>
        <v>5.9999999999999995E-25</v>
      </c>
      <c r="M2" s="174">
        <f>M3</f>
        <v>2862.9560668905519</v>
      </c>
      <c r="N2" s="174">
        <f t="shared" ref="N2:N9" si="2">LN(K2)*$C$21+$B$21</f>
        <v>-3475.6059285425108</v>
      </c>
      <c r="O2" s="174">
        <f>O3</f>
        <v>1977.8033061988792</v>
      </c>
      <c r="P2" s="96">
        <f>Ard2_Turn2_ESC2_G2b_T2a!D2</f>
        <v>5.7969930558608072</v>
      </c>
      <c r="Q2" s="174">
        <f>Ard2_Turn2_ESC2_G2b_T2a!P2</f>
        <v>5.9999999999999995E-25</v>
      </c>
      <c r="R2" s="174">
        <f>R3</f>
        <v>2676.0568181447202</v>
      </c>
      <c r="S2" s="174">
        <f t="shared" ref="S2:S13" si="3">LN(P2)*$C$21+$B$21</f>
        <v>-2501.3908218524557</v>
      </c>
      <c r="T2" s="174">
        <f>T3</f>
        <v>1793.7335530769128</v>
      </c>
      <c r="U2" s="96">
        <f>Ard3_Turn3_ESC3_G3b_T3a!D2</f>
        <v>6.6811957375597357</v>
      </c>
      <c r="V2" s="174">
        <f>Ard3_Turn3_ESC3_G3b_T3a!P2</f>
        <v>5.9999999999999995E-25</v>
      </c>
      <c r="W2" s="174">
        <f>W3</f>
        <v>3525.2595716631822</v>
      </c>
      <c r="X2" s="174">
        <f t="shared" ref="X2:X14" si="4">LN(U2)*$C$21+$B$21</f>
        <v>-647.28222051976991</v>
      </c>
      <c r="Y2" s="174">
        <f>Y3</f>
        <v>1678.1202657498468</v>
      </c>
      <c r="Z2" s="96">
        <f>Ard4_Turn4_ESC4_G4b_T4a!D2</f>
        <v>6.7090339239286205</v>
      </c>
      <c r="AA2" s="174">
        <f>Ard4_Turn4_ESC4_G4b_T4a!P2</f>
        <v>5.9999999999999995E-25</v>
      </c>
      <c r="AB2" s="174">
        <f>AB3</f>
        <v>2477.137024388659</v>
      </c>
      <c r="AC2" s="174">
        <f t="shared" ref="AC2:AC5" si="5">LN(Z2)*$C$21+$B$21</f>
        <v>-592.97470150013032</v>
      </c>
      <c r="AD2" s="174">
        <f>AD3</f>
        <v>1584.045073876445</v>
      </c>
      <c r="AE2">
        <f t="shared" ref="AE2:AE18" si="6">A2</f>
        <v>10.076726574109877</v>
      </c>
      <c r="AF2" s="174">
        <f t="shared" ref="AF2:AF18" si="7">B2</f>
        <v>5.9999999999999995E-25</v>
      </c>
    </row>
    <row r="3" spans="1:32" x14ac:dyDescent="0.3">
      <c r="A3">
        <f>CalPhotonTurnigy!D4</f>
        <v>15</v>
      </c>
      <c r="B3" s="174">
        <f>CalPhotonTurnigy!O4</f>
        <v>8287.2928176795576</v>
      </c>
      <c r="C3" s="174">
        <f>(B3-B2)/(A3-A2)</f>
        <v>1683.2891657203099</v>
      </c>
      <c r="D3" s="174">
        <f t="shared" si="0"/>
        <v>9915.8436765959632</v>
      </c>
      <c r="E3" s="174">
        <f>(D3-D2)/(A3-A2)</f>
        <v>1055.3851558145041</v>
      </c>
      <c r="F3" s="96">
        <f>Ard0_Turn0_ESC0_G0b_T0a!D3</f>
        <v>9</v>
      </c>
      <c r="G3" s="174">
        <f>Ard0_Turn0_ESC0_G0b_T0a!P3</f>
        <v>8474.5762711864409</v>
      </c>
      <c r="H3" s="174">
        <f>(G3-G2)/(F3-F2)</f>
        <v>2888.5237809565906</v>
      </c>
      <c r="I3" s="174">
        <f t="shared" si="1"/>
        <v>3243.9502045883637</v>
      </c>
      <c r="J3" s="174">
        <f>(I3-I2)/(F3-F2)</f>
        <v>1756.2524837821861</v>
      </c>
      <c r="K3" s="96">
        <f>Ard1_Turn1x_ESC1_G1b_T1a!D3</f>
        <v>8</v>
      </c>
      <c r="L3" s="174">
        <f>Ard1_Turn1x_ESC1_G1b_T1a!P3</f>
        <v>7500.0000000000009</v>
      </c>
      <c r="M3" s="174">
        <f>(L3-L2)/(K3-K2)</f>
        <v>2862.9560668905519</v>
      </c>
      <c r="N3" s="174">
        <f t="shared" si="2"/>
        <v>1705.5859758803344</v>
      </c>
      <c r="O3" s="174">
        <f>(N3-N2)/(K3-K2)</f>
        <v>1977.8033061988792</v>
      </c>
      <c r="P3" s="96">
        <f>Ard2_Turn2_ESC2_G2b_T2a!D3</f>
        <v>9</v>
      </c>
      <c r="Q3" s="174">
        <f>Ard2_Turn2_ESC2_G2b_T2a!P3</f>
        <v>8571.4285714285725</v>
      </c>
      <c r="R3" s="174">
        <f>(Q3-Q2)/(P3-P2)</f>
        <v>2676.0568181447202</v>
      </c>
      <c r="S3" s="174">
        <f t="shared" si="3"/>
        <v>3243.9502045883637</v>
      </c>
      <c r="T3" s="174">
        <f>(S3-S2)/(P3-P2)</f>
        <v>1793.7335530769128</v>
      </c>
      <c r="U3" s="96">
        <f>Ard3_Turn3_ESC3_G3b_T3a!D3</f>
        <v>9</v>
      </c>
      <c r="V3" s="174">
        <f>Ard3_Turn3_ESC3_G3b_T3a!P3</f>
        <v>8174.3869209809272</v>
      </c>
      <c r="W3" s="174">
        <f>(V3-V2)/(U3-U2)</f>
        <v>3525.2595716631822</v>
      </c>
      <c r="X3" s="174">
        <f t="shared" si="4"/>
        <v>3243.9502045883637</v>
      </c>
      <c r="Y3" s="174">
        <f>(X3-X2)/(U3-U2)</f>
        <v>1678.1202657498468</v>
      </c>
      <c r="Z3" s="96">
        <f>Ard4_Turn4_ESC4_G4b_T4a!D3</f>
        <v>10</v>
      </c>
      <c r="AA3" s="174">
        <f>Ard4_Turn4_ESC4_G4b_T4a!P3</f>
        <v>8152.1739130434789</v>
      </c>
      <c r="AB3" s="174">
        <f>(AA3-AA2)/(Z3-Z2)</f>
        <v>2477.137024388659</v>
      </c>
      <c r="AC3" s="174">
        <f t="shared" si="5"/>
        <v>4620.0638995952322</v>
      </c>
      <c r="AD3" s="174">
        <f>(AC3-AC2)/(Z3-Z2)</f>
        <v>1584.045073876445</v>
      </c>
      <c r="AE3">
        <f t="shared" si="6"/>
        <v>15</v>
      </c>
      <c r="AF3" s="174">
        <f t="shared" si="7"/>
        <v>8287.2928176795576</v>
      </c>
    </row>
    <row r="4" spans="1:32" x14ac:dyDescent="0.3">
      <c r="A4">
        <f>CalPhotonTurnigy!D5</f>
        <v>17</v>
      </c>
      <c r="B4" s="174">
        <f>CalPhotonTurnigy!O5</f>
        <v>9375</v>
      </c>
      <c r="C4" s="174">
        <f t="shared" ref="C4:C18" si="8">(B4-B3)/(A4-A3)</f>
        <v>543.85359116022119</v>
      </c>
      <c r="D4" s="174">
        <f t="shared" si="0"/>
        <v>11550.599486718238</v>
      </c>
      <c r="E4" s="174">
        <f t="shared" ref="E4:E18" si="9">(D4-D3)/(A4-A3)</f>
        <v>817.37790506113743</v>
      </c>
      <c r="F4" s="96">
        <f>Ard0_Turn0_ESC0_G0b_T0a!D4</f>
        <v>20</v>
      </c>
      <c r="G4" s="174">
        <f>Ard0_Turn0_ESC0_G0b_T0a!P4</f>
        <v>14851.485148514852</v>
      </c>
      <c r="H4" s="174">
        <f t="shared" ref="H4:H12" si="10">(G4-G3)/(F4-F3)</f>
        <v>579.71898884803738</v>
      </c>
      <c r="I4" s="174">
        <f t="shared" si="1"/>
        <v>13673.259224888672</v>
      </c>
      <c r="J4" s="174">
        <f t="shared" ref="J4:J12" si="11">(I4-I3)/(F4-F3)</f>
        <v>948.11900184548256</v>
      </c>
      <c r="K4" s="96">
        <f>Ard1_Turn1x_ESC1_G1b_T1a!D4</f>
        <v>12</v>
      </c>
      <c r="L4" s="174">
        <f>Ard1_Turn1x_ESC1_G1b_T1a!P4</f>
        <v>10830.324909747293</v>
      </c>
      <c r="M4" s="174">
        <f t="shared" ref="M4:M9" si="12">(L4-L3)/(K4-K3)</f>
        <v>832.58122743682293</v>
      </c>
      <c r="N4" s="174">
        <f t="shared" si="2"/>
        <v>7001.3657528810727</v>
      </c>
      <c r="O4" s="174">
        <f t="shared" ref="O4:O9" si="13">(N4-N3)/(K4-K3)</f>
        <v>1323.9449442501846</v>
      </c>
      <c r="P4" s="96">
        <f>Ard2_Turn2_ESC2_G2b_T2a!D4</f>
        <v>12</v>
      </c>
      <c r="Q4" s="174">
        <f>Ard2_Turn2_ESC2_G2b_T2a!P4</f>
        <v>9933.7748344370866</v>
      </c>
      <c r="R4" s="174">
        <f t="shared" ref="R4:R13" si="14">(Q4-Q3)/(P4-P3)</f>
        <v>454.11542100283805</v>
      </c>
      <c r="S4" s="174">
        <f t="shared" si="3"/>
        <v>7001.3657528810727</v>
      </c>
      <c r="T4" s="174">
        <f t="shared" ref="T4:T13" si="15">(S4-S3)/(P4-P3)</f>
        <v>1252.4718494309029</v>
      </c>
      <c r="U4" s="96">
        <f>Ard3_Turn3_ESC3_G3b_T3a!D4</f>
        <v>13</v>
      </c>
      <c r="V4" s="174">
        <f>Ard3_Turn3_ESC3_G3b_T3a!P4</f>
        <v>10309.278350515466</v>
      </c>
      <c r="W4" s="174">
        <f t="shared" ref="W4:W14" si="16">(V4-V3)/(U4-U3)</f>
        <v>533.72285738363462</v>
      </c>
      <c r="X4" s="174">
        <f t="shared" si="4"/>
        <v>8046.8035578051349</v>
      </c>
      <c r="Y4" s="174">
        <f t="shared" ref="Y4:Y14" si="17">(X4-X3)/(U4-U3)</f>
        <v>1200.7133383041928</v>
      </c>
      <c r="Z4" s="96">
        <f>Ard4_Turn4_ESC4_G4b_T4a!D4</f>
        <v>14</v>
      </c>
      <c r="AA4" s="174">
        <f>Ard4_Turn4_ESC4_G4b_T4a!P4</f>
        <v>11029.411764705883</v>
      </c>
      <c r="AB4" s="174">
        <f t="shared" ref="AB4:AB5" si="18">(AA4-AA3)/(Z4-Z3)</f>
        <v>719.30946291560099</v>
      </c>
      <c r="AC4" s="174">
        <f t="shared" si="5"/>
        <v>9014.727782104892</v>
      </c>
      <c r="AD4" s="174">
        <f t="shared" ref="AD4:AD5" si="19">(AC4-AC3)/(Z4-Z3)</f>
        <v>1098.6659706274149</v>
      </c>
      <c r="AE4">
        <f t="shared" si="6"/>
        <v>17</v>
      </c>
      <c r="AF4" s="174">
        <f t="shared" si="7"/>
        <v>9375</v>
      </c>
    </row>
    <row r="5" spans="1:32" x14ac:dyDescent="0.3">
      <c r="A5">
        <f>CalPhotonTurnigy!D6</f>
        <v>20</v>
      </c>
      <c r="B5" s="174">
        <f>CalPhotonTurnigy!O6</f>
        <v>11811.023622047245</v>
      </c>
      <c r="C5" s="174">
        <f t="shared" si="8"/>
        <v>812.00787401574837</v>
      </c>
      <c r="D5" s="174">
        <f t="shared" si="0"/>
        <v>13673.259224888672</v>
      </c>
      <c r="E5" s="174">
        <f t="shared" si="9"/>
        <v>707.55324605681142</v>
      </c>
      <c r="F5" s="96">
        <f>Ard0_Turn0_ESC0_G0b_T0a!D5</f>
        <v>25</v>
      </c>
      <c r="G5" s="174">
        <f>Ard0_Turn0_ESC0_G0b_T0a!P5</f>
        <v>16304.347826086958</v>
      </c>
      <c r="H5" s="174">
        <f t="shared" si="10"/>
        <v>290.57253551442119</v>
      </c>
      <c r="I5" s="174">
        <f t="shared" si="1"/>
        <v>16587.73714860357</v>
      </c>
      <c r="J5" s="174">
        <f t="shared" si="11"/>
        <v>582.89558474297951</v>
      </c>
      <c r="K5" s="96">
        <f>Ard1_Turn1x_ESC1_G1b_T1a!D5</f>
        <v>17</v>
      </c>
      <c r="L5" s="174">
        <f>Ard1_Turn1x_ESC1_G1b_T1a!P5</f>
        <v>12244.897959183674</v>
      </c>
      <c r="M5" s="174">
        <f t="shared" si="12"/>
        <v>282.9146098872763</v>
      </c>
      <c r="N5" s="174">
        <f t="shared" si="2"/>
        <v>11550.599486718238</v>
      </c>
      <c r="O5" s="174">
        <f t="shared" si="13"/>
        <v>909.84674676743305</v>
      </c>
      <c r="P5" s="96">
        <f>Ard2_Turn2_ESC2_G2b_T2a!D5</f>
        <v>24</v>
      </c>
      <c r="Q5" s="174">
        <f>Ard2_Turn2_ESC2_G2b_T2a!P5</f>
        <v>16129.032258064515</v>
      </c>
      <c r="R5" s="174">
        <f t="shared" si="14"/>
        <v>516.27145196895242</v>
      </c>
      <c r="S5" s="174">
        <f t="shared" si="3"/>
        <v>16054.56107817452</v>
      </c>
      <c r="T5" s="174">
        <f t="shared" si="15"/>
        <v>754.43294377445397</v>
      </c>
      <c r="U5" s="96">
        <f>Ard3_Turn3_ESC3_G3b_T3a!D5</f>
        <v>24</v>
      </c>
      <c r="V5" s="174">
        <f>Ard3_Turn3_ESC3_G3b_T3a!P5</f>
        <v>16042.780748663101</v>
      </c>
      <c r="W5" s="174">
        <f t="shared" si="16"/>
        <v>521.22749074069407</v>
      </c>
      <c r="X5" s="174">
        <f t="shared" si="4"/>
        <v>16054.56107817452</v>
      </c>
      <c r="Y5" s="174">
        <f t="shared" si="17"/>
        <v>727.97795639721687</v>
      </c>
      <c r="Z5" s="96">
        <f>Ard4_Turn4_ESC4_G4b_T4a!D5</f>
        <v>26</v>
      </c>
      <c r="AA5" s="174">
        <f>Ard4_Turn4_ESC4_G4b_T4a!P5</f>
        <v>16620.498614958451</v>
      </c>
      <c r="AB5" s="174">
        <f t="shared" si="18"/>
        <v>465.92390418771402</v>
      </c>
      <c r="AC5" s="174">
        <f t="shared" si="5"/>
        <v>17099.998883098575</v>
      </c>
      <c r="AD5" s="174">
        <f t="shared" si="19"/>
        <v>673.77259174947358</v>
      </c>
      <c r="AE5">
        <f t="shared" si="6"/>
        <v>20</v>
      </c>
      <c r="AF5" s="174">
        <f t="shared" si="7"/>
        <v>11811.023622047245</v>
      </c>
    </row>
    <row r="6" spans="1:32" x14ac:dyDescent="0.3">
      <c r="A6">
        <f>CalPhotonTurnigy!D7</f>
        <v>35</v>
      </c>
      <c r="B6" s="174">
        <f>CalPhotonTurnigy!O7</f>
        <v>19354.83870967742</v>
      </c>
      <c r="C6" s="174">
        <f t="shared" si="8"/>
        <v>502.92100584201165</v>
      </c>
      <c r="D6" s="174">
        <f t="shared" si="0"/>
        <v>20982.40103111323</v>
      </c>
      <c r="E6" s="174">
        <f t="shared" si="9"/>
        <v>487.27612041497048</v>
      </c>
      <c r="F6" s="96">
        <f>Ard0_Turn0_ESC0_G0b_T0a!D6</f>
        <v>35</v>
      </c>
      <c r="G6" s="174">
        <f>Ard0_Turn0_ESC0_G0b_T0a!P6</f>
        <v>20134.228187919463</v>
      </c>
      <c r="H6" s="174">
        <f t="shared" si="10"/>
        <v>382.98803618325053</v>
      </c>
      <c r="I6" s="174">
        <f t="shared" si="1"/>
        <v>20982.40103111323</v>
      </c>
      <c r="J6" s="174">
        <f t="shared" si="11"/>
        <v>439.46638825096596</v>
      </c>
      <c r="K6" s="96">
        <f>Ard1_Turn1x_ESC1_G1b_T1a!D6</f>
        <v>21</v>
      </c>
      <c r="L6" s="174">
        <f>Ard1_Turn1x_ESC1_G1b_T1a!P6</f>
        <v>14354.066985645934</v>
      </c>
      <c r="M6" s="174">
        <f t="shared" si="12"/>
        <v>527.29225661556484</v>
      </c>
      <c r="N6" s="174">
        <f t="shared" si="2"/>
        <v>14310.50755910563</v>
      </c>
      <c r="O6" s="174">
        <f t="shared" si="13"/>
        <v>689.97701809684804</v>
      </c>
      <c r="P6" s="96">
        <f>Ard2_Turn2_ESC2_G2b_T2a!D6</f>
        <v>28</v>
      </c>
      <c r="Q6" s="174">
        <f>Ard2_Turn2_ESC2_G2b_T2a!P6</f>
        <v>17341.040462427747</v>
      </c>
      <c r="R6" s="174">
        <f t="shared" si="14"/>
        <v>303.00205109080798</v>
      </c>
      <c r="S6" s="174">
        <f t="shared" si="3"/>
        <v>18067.923107398339</v>
      </c>
      <c r="T6" s="174">
        <f t="shared" si="15"/>
        <v>503.34050730595482</v>
      </c>
      <c r="U6" s="96">
        <f>Ard3_Turn3_ESC3_G3b_T3a!D6</f>
        <v>28</v>
      </c>
      <c r="V6" s="174">
        <f>Ard3_Turn3_ESC3_G3b_T3a!P6</f>
        <v>17341.040462427747</v>
      </c>
      <c r="W6" s="174">
        <f t="shared" si="16"/>
        <v>324.56492844116156</v>
      </c>
      <c r="X6" s="174">
        <f t="shared" si="4"/>
        <v>18067.923107398339</v>
      </c>
      <c r="Y6" s="174">
        <f t="shared" si="17"/>
        <v>503.34050730595482</v>
      </c>
      <c r="Z6" s="96">
        <f>Ard4_Turn4_ESC4_G4b_T4a!D6</f>
        <v>34</v>
      </c>
      <c r="AA6" s="174">
        <f>Ard4_Turn4_ESC4_G4b_T4a!P6</f>
        <v>19480.519480519481</v>
      </c>
      <c r="AB6" s="174">
        <f t="shared" ref="AB6:AB12" si="20">(AA6-AA5)/(Z6-Z5)</f>
        <v>357.50260819512869</v>
      </c>
      <c r="AC6" s="174">
        <f t="shared" ref="AC6:AC12" si="21">LN(Z6)*$C$21+$B$21</f>
        <v>20603.794812011685</v>
      </c>
      <c r="AD6" s="174">
        <f t="shared" ref="AD6:AD12" si="22">(AC6-AC5)/(Z6-Z5)</f>
        <v>437.9744911141388</v>
      </c>
      <c r="AE6">
        <f t="shared" si="6"/>
        <v>35</v>
      </c>
      <c r="AF6" s="174">
        <f t="shared" si="7"/>
        <v>19354.83870967742</v>
      </c>
    </row>
    <row r="7" spans="1:32" x14ac:dyDescent="0.3">
      <c r="A7">
        <f>CalPhotonTurnigy!D8</f>
        <v>54</v>
      </c>
      <c r="B7" s="174">
        <f>CalPhotonTurnigy!O8</f>
        <v>24793.388429752067</v>
      </c>
      <c r="C7" s="174">
        <f t="shared" si="8"/>
        <v>286.23945895129719</v>
      </c>
      <c r="D7" s="174">
        <f t="shared" si="0"/>
        <v>26646.120632175989</v>
      </c>
      <c r="E7" s="174">
        <f t="shared" si="9"/>
        <v>298.09050531909259</v>
      </c>
      <c r="F7" s="96">
        <f>Ard0_Turn0_ESC0_G0b_T0a!D7</f>
        <v>54</v>
      </c>
      <c r="G7" s="174">
        <f>Ard0_Turn0_ESC0_G0b_T0a!P7</f>
        <v>25104.602510460249</v>
      </c>
      <c r="H7" s="174">
        <f t="shared" si="10"/>
        <v>261.59864855477815</v>
      </c>
      <c r="I7" s="174">
        <f t="shared" si="1"/>
        <v>26646.120632175989</v>
      </c>
      <c r="J7" s="174">
        <f t="shared" si="11"/>
        <v>298.09050531909259</v>
      </c>
      <c r="K7" s="96">
        <f>Ard1_Turn1x_ESC1_G1b_T1a!D7</f>
        <v>27</v>
      </c>
      <c r="L7" s="174">
        <f>Ard1_Turn1x_ESC1_G1b_T1a!P7</f>
        <v>16949.152542372882</v>
      </c>
      <c r="M7" s="174">
        <f t="shared" si="12"/>
        <v>432.51425945449137</v>
      </c>
      <c r="N7" s="174">
        <f t="shared" si="2"/>
        <v>17592.925306882542</v>
      </c>
      <c r="O7" s="174">
        <f t="shared" si="13"/>
        <v>547.06962462948525</v>
      </c>
      <c r="P7" s="96">
        <f>Ard2_Turn2_ESC2_G2b_T2a!D7</f>
        <v>32</v>
      </c>
      <c r="Q7" s="174">
        <f>Ard2_Turn2_ESC2_G2b_T2a!P7</f>
        <v>18867.92452830189</v>
      </c>
      <c r="R7" s="174">
        <f t="shared" si="14"/>
        <v>381.72101646853571</v>
      </c>
      <c r="S7" s="174">
        <f t="shared" si="3"/>
        <v>19811.976626467229</v>
      </c>
      <c r="T7" s="174">
        <f t="shared" si="15"/>
        <v>436.01337976722243</v>
      </c>
      <c r="U7" s="96">
        <f>Ard3_Turn3_ESC3_G3b_T3a!D7</f>
        <v>36</v>
      </c>
      <c r="V7" s="174">
        <f>Ard3_Turn3_ESC3_G3b_T3a!P7</f>
        <v>20134.228187919463</v>
      </c>
      <c r="W7" s="174">
        <f t="shared" si="16"/>
        <v>349.14846568646453</v>
      </c>
      <c r="X7" s="174">
        <f t="shared" si="4"/>
        <v>21350.340855175251</v>
      </c>
      <c r="Y7" s="174">
        <f t="shared" si="17"/>
        <v>410.30221847211396</v>
      </c>
      <c r="Z7" s="96">
        <f>Ard4_Turn4_ESC4_G4b_T4a!D7</f>
        <v>51</v>
      </c>
      <c r="AA7" s="174">
        <f>Ard4_Turn4_ESC4_G4b_T4a!P7</f>
        <v>24096.385542168679</v>
      </c>
      <c r="AB7" s="174">
        <f t="shared" si="20"/>
        <v>271.52153303818812</v>
      </c>
      <c r="AC7" s="174">
        <f t="shared" si="21"/>
        <v>25899.574589012416</v>
      </c>
      <c r="AD7" s="174">
        <f t="shared" si="22"/>
        <v>311.51645747063122</v>
      </c>
      <c r="AE7">
        <f t="shared" si="6"/>
        <v>54</v>
      </c>
      <c r="AF7" s="174">
        <f t="shared" si="7"/>
        <v>24793.388429752067</v>
      </c>
    </row>
    <row r="8" spans="1:32" x14ac:dyDescent="0.3">
      <c r="A8">
        <f>CalPhotonTurnigy!D9</f>
        <v>64</v>
      </c>
      <c r="B8" s="174">
        <f>CalPhotonTurnigy!O9</f>
        <v>28037.383177570096</v>
      </c>
      <c r="C8" s="174">
        <f t="shared" si="8"/>
        <v>324.39947478180295</v>
      </c>
      <c r="D8" s="174">
        <f t="shared" si="0"/>
        <v>28865.171951760669</v>
      </c>
      <c r="E8" s="174">
        <f t="shared" si="9"/>
        <v>221.90513195846796</v>
      </c>
      <c r="F8" s="96">
        <f>Ard0_Turn0_ESC0_G0b_T0a!D8</f>
        <v>64</v>
      </c>
      <c r="G8" s="174">
        <f>Ard0_Turn0_ESC0_G0b_T0a!P8</f>
        <v>27649.76958525346</v>
      </c>
      <c r="H8" s="174">
        <f t="shared" si="10"/>
        <v>254.51670747932113</v>
      </c>
      <c r="I8" s="174">
        <f t="shared" si="1"/>
        <v>28865.171951760669</v>
      </c>
      <c r="J8" s="174">
        <f t="shared" si="11"/>
        <v>221.90513195846796</v>
      </c>
      <c r="K8" s="96">
        <f>Ard1_Turn1x_ESC1_G1b_T1a!D8</f>
        <v>42</v>
      </c>
      <c r="L8" s="174">
        <f>Ard1_Turn1x_ESC1_G1b_T1a!P8</f>
        <v>21660.649819494585</v>
      </c>
      <c r="M8" s="174">
        <f t="shared" si="12"/>
        <v>314.09981847478025</v>
      </c>
      <c r="N8" s="174">
        <f t="shared" si="2"/>
        <v>23363.702884399077</v>
      </c>
      <c r="O8" s="174">
        <f t="shared" si="13"/>
        <v>384.71850516776902</v>
      </c>
      <c r="P8" s="96">
        <f>Ard2_Turn2_ESC2_G2b_T2a!D8</f>
        <v>50</v>
      </c>
      <c r="Q8" s="174">
        <f>Ard2_Turn2_ESC2_G2b_T2a!P8</f>
        <v>24193.548387096776</v>
      </c>
      <c r="R8" s="174">
        <f t="shared" si="14"/>
        <v>295.86799215527145</v>
      </c>
      <c r="S8" s="174">
        <f t="shared" si="3"/>
        <v>25640.932473897017</v>
      </c>
      <c r="T8" s="174">
        <f t="shared" si="15"/>
        <v>323.83088041276602</v>
      </c>
      <c r="U8" s="96">
        <f>Ard3_Turn3_ESC3_G3b_T3a!D8</f>
        <v>52</v>
      </c>
      <c r="V8" s="174">
        <f>Ard3_Turn3_ESC3_G3b_T3a!P8</f>
        <v>24691.358024691359</v>
      </c>
      <c r="W8" s="174">
        <f t="shared" si="16"/>
        <v>284.82061479824347</v>
      </c>
      <c r="X8" s="174">
        <f t="shared" si="4"/>
        <v>26153.194208392022</v>
      </c>
      <c r="Y8" s="174">
        <f t="shared" si="17"/>
        <v>300.1783345760482</v>
      </c>
      <c r="Z8" s="96">
        <f>Ard4_Turn4_ESC4_G4b_T4a!D8</f>
        <v>76</v>
      </c>
      <c r="AA8" s="174">
        <f>Ard4_Turn4_ESC4_G4b_T4a!P8</f>
        <v>28985.507246376812</v>
      </c>
      <c r="AB8" s="174">
        <f t="shared" si="20"/>
        <v>195.56486816832535</v>
      </c>
      <c r="AC8" s="174">
        <f t="shared" si="21"/>
        <v>31109.70815747977</v>
      </c>
      <c r="AD8" s="174">
        <f t="shared" si="22"/>
        <v>208.40534273869417</v>
      </c>
      <c r="AE8">
        <f t="shared" si="6"/>
        <v>64</v>
      </c>
      <c r="AF8" s="174">
        <f t="shared" si="7"/>
        <v>28037.383177570096</v>
      </c>
    </row>
    <row r="9" spans="1:32" x14ac:dyDescent="0.3">
      <c r="A9">
        <f>CalPhotonTurnigy!D10</f>
        <v>89</v>
      </c>
      <c r="B9" s="174">
        <f>CalPhotonTurnigy!O10</f>
        <v>32085.561497326202</v>
      </c>
      <c r="C9" s="174">
        <f t="shared" si="8"/>
        <v>161.9271327902442</v>
      </c>
      <c r="D9" s="174">
        <f t="shared" si="0"/>
        <v>33172.079625071477</v>
      </c>
      <c r="E9" s="174">
        <f t="shared" si="9"/>
        <v>172.27630693243233</v>
      </c>
      <c r="F9" s="96">
        <f>Ard0_Turn0_ESC0_G0b_T0a!D9</f>
        <v>90</v>
      </c>
      <c r="G9" s="174">
        <f>Ard0_Turn0_ESC0_G0b_T0a!P9</f>
        <v>32258.06451612903</v>
      </c>
      <c r="H9" s="174">
        <f t="shared" si="10"/>
        <v>177.24211272598347</v>
      </c>
      <c r="I9" s="174">
        <f t="shared" si="1"/>
        <v>33318.014104183589</v>
      </c>
      <c r="J9" s="174">
        <f t="shared" si="11"/>
        <v>171.26315970857382</v>
      </c>
      <c r="K9" s="96">
        <f>Ard1_Turn1x_ESC1_G1b_T1a!D9</f>
        <v>67</v>
      </c>
      <c r="L9" s="174">
        <f>Ard1_Turn1x_ESC1_G1b_T1a!P9</f>
        <v>27649.76958525346</v>
      </c>
      <c r="M9" s="174">
        <f t="shared" si="12"/>
        <v>239.56479063035499</v>
      </c>
      <c r="N9" s="174">
        <f t="shared" si="2"/>
        <v>29463.4903018654</v>
      </c>
      <c r="O9" s="174">
        <f t="shared" si="13"/>
        <v>243.99149669865292</v>
      </c>
      <c r="P9" s="96">
        <f>Ard2_Turn2_ESC2_G2b_T2a!D9</f>
        <v>78</v>
      </c>
      <c r="Q9" s="174">
        <f>Ard2_Turn2_ESC2_G2b_T2a!P9</f>
        <v>30150.753768844224</v>
      </c>
      <c r="R9" s="174">
        <f t="shared" si="14"/>
        <v>212.75733506240886</v>
      </c>
      <c r="S9" s="174">
        <f t="shared" si="3"/>
        <v>31448.97398539276</v>
      </c>
      <c r="T9" s="174">
        <f t="shared" si="15"/>
        <v>207.43005398199082</v>
      </c>
      <c r="U9" s="96">
        <f>Ard3_Turn3_ESC3_G3b_T3a!D9</f>
        <v>73</v>
      </c>
      <c r="V9" s="174">
        <f>Ard3_Turn3_ESC3_G3b_T3a!P9</f>
        <v>29411.764705882353</v>
      </c>
      <c r="W9" s="174">
        <f t="shared" si="16"/>
        <v>224.7812705329045</v>
      </c>
      <c r="X9" s="174">
        <f t="shared" si="4"/>
        <v>30583.690760839134</v>
      </c>
      <c r="Y9" s="174">
        <f t="shared" si="17"/>
        <v>210.97602630700533</v>
      </c>
      <c r="Z9" s="96">
        <f>Ard4_Turn4_ESC4_G4b_T4a!D9</f>
        <v>91</v>
      </c>
      <c r="AA9" s="174">
        <f>Ard4_Turn4_ESC4_G4b_T4a!P9</f>
        <v>31746.031746031746</v>
      </c>
      <c r="AB9" s="174">
        <f t="shared" si="20"/>
        <v>184.03496664366224</v>
      </c>
      <c r="AC9" s="174">
        <f t="shared" si="21"/>
        <v>33462.336014616572</v>
      </c>
      <c r="AD9" s="174">
        <f t="shared" si="22"/>
        <v>156.84185714245348</v>
      </c>
      <c r="AE9">
        <f t="shared" si="6"/>
        <v>89</v>
      </c>
      <c r="AF9" s="174">
        <f t="shared" si="7"/>
        <v>32085.561497326202</v>
      </c>
    </row>
    <row r="10" spans="1:32" x14ac:dyDescent="0.3">
      <c r="A10">
        <f>CalPhotonTurnigy!D11</f>
        <v>101</v>
      </c>
      <c r="B10" s="174">
        <f>CalPhotonTurnigy!O11</f>
        <v>34090.909090909088</v>
      </c>
      <c r="C10" s="174">
        <f t="shared" si="8"/>
        <v>167.11229946524054</v>
      </c>
      <c r="D10" s="174">
        <f t="shared" si="0"/>
        <v>34824.089070463691</v>
      </c>
      <c r="E10" s="174">
        <f t="shared" si="9"/>
        <v>137.66745378268448</v>
      </c>
      <c r="F10" s="96">
        <f>Ard0_Turn0_ESC0_G0b_T0a!D10</f>
        <v>125</v>
      </c>
      <c r="G10" s="174">
        <f>Ard0_Turn0_ESC0_G0b_T0a!P10</f>
        <v>37037.037037037036</v>
      </c>
      <c r="H10" s="174">
        <f t="shared" si="10"/>
        <v>136.54207202594304</v>
      </c>
      <c r="I10" s="174">
        <f t="shared" si="1"/>
        <v>37608.605722905362</v>
      </c>
      <c r="J10" s="174">
        <f t="shared" si="11"/>
        <v>122.58833196347925</v>
      </c>
      <c r="K10" s="96">
        <f>Ard1_Turn1x_ESC1_G1b_T1a!D10</f>
        <v>79</v>
      </c>
      <c r="L10" s="174">
        <f>Ard1_Turn1x_ESC1_G1b_T1a!P10</f>
        <v>29702.970297029704</v>
      </c>
      <c r="M10" s="174">
        <f t="shared" ref="M10:M13" si="23">(L10-L9)/(K10-K9)</f>
        <v>171.100059314687</v>
      </c>
      <c r="N10" s="174">
        <f t="shared" ref="N10:N13" si="24">LN(K10)*$C$21+$B$21</f>
        <v>31615.358401071768</v>
      </c>
      <c r="O10" s="174">
        <f t="shared" ref="O10:O13" si="25">(N10-N9)/(K10-K9)</f>
        <v>179.32234160053062</v>
      </c>
      <c r="P10" s="96">
        <f>Ard2_Turn2_ESC2_G2b_T2a!D10</f>
        <v>115</v>
      </c>
      <c r="Q10" s="174">
        <f>Ard2_Turn2_ESC2_G2b_T2a!P10</f>
        <v>35294.117647058825</v>
      </c>
      <c r="R10" s="174">
        <f t="shared" si="14"/>
        <v>139.00983454634056</v>
      </c>
      <c r="S10" s="174">
        <f t="shared" si="3"/>
        <v>36519.558528552414</v>
      </c>
      <c r="T10" s="174">
        <f t="shared" si="15"/>
        <v>137.04282549080145</v>
      </c>
      <c r="U10" s="96">
        <f>Ard3_Turn3_ESC3_G3b_T3a!D10</f>
        <v>94</v>
      </c>
      <c r="V10" s="174">
        <f>Ard3_Turn3_ESC3_G3b_T3a!P10</f>
        <v>32432.43243243243</v>
      </c>
      <c r="W10" s="174">
        <f t="shared" si="16"/>
        <v>143.84132031190842</v>
      </c>
      <c r="X10" s="174">
        <f t="shared" si="4"/>
        <v>33885.973151228522</v>
      </c>
      <c r="Y10" s="174">
        <f t="shared" si="17"/>
        <v>157.25154239949467</v>
      </c>
      <c r="Z10" s="96">
        <f>Ard4_Turn4_ESC4_G4b_T4a!D10</f>
        <v>106</v>
      </c>
      <c r="AA10" s="174">
        <f>Ard4_Turn4_ESC4_G4b_T4a!P10</f>
        <v>33333.333333333336</v>
      </c>
      <c r="AB10" s="174">
        <f t="shared" si="20"/>
        <v>105.82010582010601</v>
      </c>
      <c r="AC10" s="174">
        <f t="shared" si="21"/>
        <v>35455.178008197705</v>
      </c>
      <c r="AD10" s="174">
        <f t="shared" si="22"/>
        <v>132.85613290540883</v>
      </c>
      <c r="AE10">
        <f t="shared" si="6"/>
        <v>101</v>
      </c>
      <c r="AF10" s="174">
        <f t="shared" si="7"/>
        <v>34090.909090909088</v>
      </c>
    </row>
    <row r="11" spans="1:32" x14ac:dyDescent="0.3">
      <c r="A11">
        <f>CalPhotonTurnigy!D12</f>
        <v>114</v>
      </c>
      <c r="B11" s="174">
        <f>CalPhotonTurnigy!O12</f>
        <v>36809.815950920245</v>
      </c>
      <c r="C11" s="174">
        <f t="shared" si="8"/>
        <v>209.14668153931976</v>
      </c>
      <c r="D11" s="174">
        <f t="shared" si="0"/>
        <v>36405.487934480509</v>
      </c>
      <c r="E11" s="174">
        <f t="shared" si="9"/>
        <v>121.6460664628321</v>
      </c>
      <c r="F11" s="96">
        <f>Ard0_Turn0_ESC0_G0b_T0a!D11</f>
        <v>155</v>
      </c>
      <c r="G11" s="174">
        <f>Ard0_Turn0_ESC0_G0b_T0a!P11</f>
        <v>41958.041958041955</v>
      </c>
      <c r="H11" s="174">
        <f t="shared" si="10"/>
        <v>164.0334973668306</v>
      </c>
      <c r="I11" s="174">
        <f t="shared" si="1"/>
        <v>40418.175452082287</v>
      </c>
      <c r="J11" s="174">
        <f t="shared" si="11"/>
        <v>93.652324305897494</v>
      </c>
      <c r="K11" s="96">
        <f>Ard1_Turn1x_ESC1_G1b_T1a!D11</f>
        <v>84</v>
      </c>
      <c r="L11" s="174">
        <f>Ard1_Turn1x_ESC1_G1b_T1a!P11</f>
        <v>30456.852791878177</v>
      </c>
      <c r="M11" s="174">
        <f t="shared" si="23"/>
        <v>150.7764989696945</v>
      </c>
      <c r="N11" s="174">
        <f t="shared" si="24"/>
        <v>32416.898209692517</v>
      </c>
      <c r="O11" s="174">
        <f t="shared" si="25"/>
        <v>160.30796172414995</v>
      </c>
      <c r="P11" s="96">
        <f>Ard2_Turn2_ESC2_G2b_T2a!D11</f>
        <v>140</v>
      </c>
      <c r="Q11" s="174">
        <f>Ard2_Turn2_ESC2_G2b_T2a!P11</f>
        <v>38709.677419354841</v>
      </c>
      <c r="R11" s="174">
        <f t="shared" si="14"/>
        <v>136.62239089184061</v>
      </c>
      <c r="S11" s="174">
        <f t="shared" si="3"/>
        <v>39088.791681700117</v>
      </c>
      <c r="T11" s="174">
        <f t="shared" si="15"/>
        <v>102.76932612590812</v>
      </c>
      <c r="U11" s="96">
        <f>Ard3_Turn3_ESC3_G3b_T3a!D11</f>
        <v>99</v>
      </c>
      <c r="V11" s="174">
        <f>Ard3_Turn3_ESC3_G3b_T3a!P11</f>
        <v>32967.032967032967</v>
      </c>
      <c r="W11" s="174">
        <f t="shared" si="16"/>
        <v>106.92010692010736</v>
      </c>
      <c r="X11" s="174">
        <f t="shared" si="4"/>
        <v>34562.860362607877</v>
      </c>
      <c r="Y11" s="174">
        <f t="shared" si="17"/>
        <v>135.377442275871</v>
      </c>
      <c r="Z11" s="96">
        <f>Ard4_Turn4_ESC4_G4b_T4a!D11</f>
        <v>132</v>
      </c>
      <c r="AA11" s="174">
        <f>Ard4_Turn4_ESC4_G4b_T4a!P11</f>
        <v>36809.815950920245</v>
      </c>
      <c r="AB11" s="174">
        <f t="shared" si="20"/>
        <v>133.71086990718882</v>
      </c>
      <c r="AC11" s="174">
        <f t="shared" si="21"/>
        <v>38320.275910900586</v>
      </c>
      <c r="AD11" s="174">
        <f t="shared" si="22"/>
        <v>110.19607318088002</v>
      </c>
      <c r="AE11">
        <f t="shared" si="6"/>
        <v>114</v>
      </c>
      <c r="AF11" s="174">
        <f t="shared" si="7"/>
        <v>36809.815950920245</v>
      </c>
    </row>
    <row r="12" spans="1:32" x14ac:dyDescent="0.3">
      <c r="A12">
        <f>CalPhotonTurnigy!D13</f>
        <v>125</v>
      </c>
      <c r="B12" s="174">
        <f>CalPhotonTurnigy!O13</f>
        <v>37500</v>
      </c>
      <c r="C12" s="174">
        <f t="shared" si="8"/>
        <v>62.744004461795903</v>
      </c>
      <c r="D12" s="174">
        <f t="shared" si="0"/>
        <v>37608.605722905362</v>
      </c>
      <c r="E12" s="174">
        <f t="shared" si="9"/>
        <v>109.37434440225942</v>
      </c>
      <c r="F12" s="96">
        <f>Ard0_Turn0_ESC0_G0b_T0a!D13</f>
        <v>180</v>
      </c>
      <c r="G12" s="174">
        <f>Ard0_Turn0_ESC0_G0b_T0a!P13</f>
        <v>43859.649122807015</v>
      </c>
      <c r="H12" s="174">
        <f t="shared" si="10"/>
        <v>76.064286590602421</v>
      </c>
      <c r="I12" s="174">
        <f t="shared" si="1"/>
        <v>42371.209429477036</v>
      </c>
      <c r="J12" s="174">
        <f t="shared" si="11"/>
        <v>78.121359095789956</v>
      </c>
      <c r="K12" s="96">
        <f>Ard1_Turn1x_ESC1_G1b_T1a!D12</f>
        <v>121</v>
      </c>
      <c r="L12" s="174">
        <f>Ard1_Turn1x_ESC1_G1b_T1a!P12</f>
        <v>36363.636363636368</v>
      </c>
      <c r="M12" s="174">
        <f t="shared" si="23"/>
        <v>159.64279923670787</v>
      </c>
      <c r="N12" s="174">
        <f t="shared" si="24"/>
        <v>37183.82031603904</v>
      </c>
      <c r="O12" s="174">
        <f t="shared" si="25"/>
        <v>128.83573260396008</v>
      </c>
      <c r="P12" s="96">
        <f>Ard2_Turn2_ESC2_G2b_T2a!D12</f>
        <v>155</v>
      </c>
      <c r="Q12" s="174">
        <f>Ard2_Turn2_ESC2_G2b_T2a!P12</f>
        <v>41958.041958041955</v>
      </c>
      <c r="R12" s="174">
        <f t="shared" si="14"/>
        <v>216.55763591247427</v>
      </c>
      <c r="S12" s="174">
        <f t="shared" si="3"/>
        <v>40418.175452082287</v>
      </c>
      <c r="T12" s="174">
        <f t="shared" si="15"/>
        <v>88.62558469214467</v>
      </c>
      <c r="U12" s="96">
        <f>Ard3_Turn3_ESC3_G3b_T3a!D12</f>
        <v>110</v>
      </c>
      <c r="V12" s="174">
        <f>Ard3_Turn3_ESC3_G3b_T3a!P12</f>
        <v>35087.719298245618</v>
      </c>
      <c r="W12" s="174">
        <f t="shared" si="16"/>
        <v>192.78966647387742</v>
      </c>
      <c r="X12" s="174">
        <f t="shared" si="4"/>
        <v>35938.974057614752</v>
      </c>
      <c r="Y12" s="174">
        <f t="shared" si="17"/>
        <v>125.10124500062507</v>
      </c>
      <c r="Z12" s="96">
        <f>Ard4_Turn4_ESC4_G4b_T4a!D12</f>
        <v>180</v>
      </c>
      <c r="AA12" s="174">
        <f>Ard4_Turn4_ESC4_G4b_T4a!P12</f>
        <v>43795.620437956204</v>
      </c>
      <c r="AB12" s="174">
        <f t="shared" si="20"/>
        <v>145.53759347991581</v>
      </c>
      <c r="AC12" s="174">
        <f t="shared" si="21"/>
        <v>42371.209429477036</v>
      </c>
      <c r="AD12" s="174">
        <f t="shared" si="22"/>
        <v>84.394448303676043</v>
      </c>
      <c r="AE12">
        <f t="shared" si="6"/>
        <v>125</v>
      </c>
      <c r="AF12" s="174">
        <f t="shared" si="7"/>
        <v>37500</v>
      </c>
    </row>
    <row r="13" spans="1:32" x14ac:dyDescent="0.3">
      <c r="A13">
        <f>CalPhotonTurnigy!D14</f>
        <v>130</v>
      </c>
      <c r="B13" s="174">
        <f>CalPhotonTurnigy!O14</f>
        <v>38961.038961038961</v>
      </c>
      <c r="C13" s="174">
        <f t="shared" si="8"/>
        <v>292.20779220779224</v>
      </c>
      <c r="D13" s="174">
        <f t="shared" si="0"/>
        <v>38120.86745740036</v>
      </c>
      <c r="E13" s="174">
        <f t="shared" si="9"/>
        <v>102.45234689899954</v>
      </c>
      <c r="F13" s="96"/>
      <c r="H13" s="174"/>
      <c r="I13" s="174"/>
      <c r="J13" s="174"/>
      <c r="K13" s="96">
        <f>Ard1_Turn1x_ESC1_G1b_T1a!D13</f>
        <v>175</v>
      </c>
      <c r="L13" s="174">
        <f>Ard1_Turn1x_ESC1_G1b_T1a!P13</f>
        <v>44117.647058823532</v>
      </c>
      <c r="M13" s="174">
        <f t="shared" si="23"/>
        <v>143.59279065161414</v>
      </c>
      <c r="N13" s="174">
        <f t="shared" si="24"/>
        <v>42003.269605415029</v>
      </c>
      <c r="O13" s="174">
        <f t="shared" si="25"/>
        <v>89.249060914370162</v>
      </c>
      <c r="P13" s="96">
        <f>Ard2_Turn2_ESC2_G2b_T2a!D13</f>
        <v>180</v>
      </c>
      <c r="Q13" s="174">
        <f>Ard2_Turn2_ESC2_G2b_T2a!P13</f>
        <v>44444.444444444445</v>
      </c>
      <c r="R13" s="174">
        <f t="shared" si="14"/>
        <v>99.456099456099622</v>
      </c>
      <c r="S13" s="174">
        <f t="shared" si="3"/>
        <v>42371.209429477036</v>
      </c>
      <c r="T13" s="174">
        <f t="shared" si="15"/>
        <v>78.121359095789956</v>
      </c>
      <c r="U13" s="96">
        <f>Ard3_Turn3_ESC3_G3b_T3a!D13</f>
        <v>132</v>
      </c>
      <c r="V13" s="174">
        <f>Ard3_Turn3_ESC3_G3b_T3a!P13</f>
        <v>37267.080745341613</v>
      </c>
      <c r="W13" s="174">
        <f t="shared" si="16"/>
        <v>99.061883958908851</v>
      </c>
      <c r="X13" s="174">
        <f t="shared" si="4"/>
        <v>38320.275910900586</v>
      </c>
      <c r="Y13" s="174">
        <f t="shared" si="17"/>
        <v>108.24099333117424</v>
      </c>
      <c r="Z13" s="96"/>
      <c r="AA13" s="174"/>
      <c r="AB13" s="174"/>
      <c r="AC13" s="174"/>
      <c r="AD13" s="174"/>
      <c r="AE13">
        <f t="shared" si="6"/>
        <v>130</v>
      </c>
      <c r="AF13" s="174">
        <f t="shared" si="7"/>
        <v>38961.038961038961</v>
      </c>
    </row>
    <row r="14" spans="1:32" x14ac:dyDescent="0.3">
      <c r="A14">
        <f>CalPhotonTurnigy!D15</f>
        <v>140</v>
      </c>
      <c r="B14" s="174">
        <f>CalPhotonTurnigy!O15</f>
        <v>41095.890410958906</v>
      </c>
      <c r="C14" s="174">
        <f t="shared" si="8"/>
        <v>213.48514499199445</v>
      </c>
      <c r="D14" s="174">
        <f t="shared" si="0"/>
        <v>39088.791681700117</v>
      </c>
      <c r="E14" s="174">
        <f t="shared" si="9"/>
        <v>96.792422429975701</v>
      </c>
      <c r="H14" s="174"/>
      <c r="I14" s="174"/>
      <c r="J14" s="174"/>
      <c r="K14" s="96"/>
      <c r="L14" s="174"/>
      <c r="M14" s="174"/>
      <c r="N14" s="174"/>
      <c r="O14" s="174"/>
      <c r="P14" s="96"/>
      <c r="Q14" s="174"/>
      <c r="R14" s="174"/>
      <c r="S14" s="174"/>
      <c r="T14" s="174"/>
      <c r="U14" s="96">
        <f>Ard3_Turn3_ESC3_G3b_T3a!D14</f>
        <v>180</v>
      </c>
      <c r="V14" s="174">
        <f>Ard3_Turn3_ESC3_G3b_T3a!P14</f>
        <v>43795.620437956204</v>
      </c>
      <c r="W14" s="174">
        <f t="shared" si="16"/>
        <v>136.01124359613732</v>
      </c>
      <c r="X14" s="174">
        <f t="shared" si="4"/>
        <v>42371.209429477036</v>
      </c>
      <c r="Y14" s="174">
        <f t="shared" si="17"/>
        <v>84.394448303676043</v>
      </c>
      <c r="Z14" s="96"/>
      <c r="AA14" s="174"/>
      <c r="AB14" s="174"/>
      <c r="AC14" s="174"/>
      <c r="AD14" s="174"/>
      <c r="AE14">
        <f t="shared" si="6"/>
        <v>140</v>
      </c>
      <c r="AF14" s="174">
        <f t="shared" si="7"/>
        <v>41095.890410958906</v>
      </c>
    </row>
    <row r="15" spans="1:32" x14ac:dyDescent="0.3">
      <c r="A15">
        <f>CalPhotonTurnigy!D16</f>
        <v>145</v>
      </c>
      <c r="B15" s="174">
        <f>CalPhotonTurnigy!O16</f>
        <v>42553.191489361707</v>
      </c>
      <c r="C15" s="174">
        <f t="shared" si="8"/>
        <v>291.46021568056022</v>
      </c>
      <c r="D15" s="174">
        <f t="shared" si="0"/>
        <v>39547.11940975512</v>
      </c>
      <c r="E15" s="174">
        <f t="shared" si="9"/>
        <v>91.665545611000567</v>
      </c>
      <c r="H15" s="174"/>
      <c r="I15" s="174"/>
      <c r="J15" s="174"/>
      <c r="K15" s="96"/>
      <c r="L15" s="174"/>
      <c r="M15" s="174"/>
      <c r="N15" s="174"/>
      <c r="O15" s="174"/>
      <c r="P15" s="96"/>
      <c r="Q15" s="174"/>
      <c r="R15" s="174"/>
      <c r="S15" s="174"/>
      <c r="T15" s="174"/>
      <c r="U15" s="96"/>
      <c r="V15" s="174"/>
      <c r="W15" s="174"/>
      <c r="X15" s="96"/>
      <c r="Y15" s="174"/>
      <c r="AE15">
        <f t="shared" si="6"/>
        <v>145</v>
      </c>
      <c r="AF15" s="174">
        <f t="shared" si="7"/>
        <v>42553.191489361707</v>
      </c>
    </row>
    <row r="16" spans="1:32" x14ac:dyDescent="0.3">
      <c r="A16">
        <f>CalPhotonTurnigy!D17</f>
        <v>155</v>
      </c>
      <c r="B16" s="174">
        <f>CalPhotonTurnigy!O17</f>
        <v>44444.444444444445</v>
      </c>
      <c r="C16" s="174">
        <f t="shared" si="8"/>
        <v>189.12529550827384</v>
      </c>
      <c r="D16" s="174">
        <f t="shared" si="0"/>
        <v>40418.175452082287</v>
      </c>
      <c r="E16" s="174">
        <f t="shared" si="9"/>
        <v>87.105604232716729</v>
      </c>
      <c r="H16" s="174"/>
      <c r="I16" s="174"/>
      <c r="J16" s="174"/>
      <c r="K16" s="96"/>
      <c r="L16" s="174"/>
      <c r="M16" s="174"/>
      <c r="N16" s="174"/>
      <c r="O16" s="174"/>
      <c r="P16" s="96"/>
      <c r="Q16" s="174"/>
      <c r="R16" s="174"/>
      <c r="S16" s="174"/>
      <c r="T16" s="174"/>
      <c r="X16" s="96"/>
      <c r="Y16" s="174"/>
      <c r="AE16">
        <f t="shared" si="6"/>
        <v>155</v>
      </c>
      <c r="AF16" s="174">
        <f t="shared" si="7"/>
        <v>44444.444444444445</v>
      </c>
    </row>
    <row r="17" spans="1:32" x14ac:dyDescent="0.3">
      <c r="A17">
        <f>CalPhotonTurnigy!D18</f>
        <v>166</v>
      </c>
      <c r="B17" s="174">
        <f>CalPhotonTurnigy!O18</f>
        <v>45454.545454545456</v>
      </c>
      <c r="C17" s="174">
        <f t="shared" si="8"/>
        <v>91.827364554637327</v>
      </c>
      <c r="D17" s="174">
        <f t="shared" si="0"/>
        <v>41313.672503724811</v>
      </c>
      <c r="E17" s="174">
        <f t="shared" si="9"/>
        <v>81.408822876593064</v>
      </c>
      <c r="H17" s="174"/>
      <c r="I17" s="174"/>
      <c r="J17" s="174"/>
      <c r="K17" s="96"/>
      <c r="L17" s="174"/>
      <c r="M17" s="174"/>
      <c r="N17" s="174"/>
      <c r="O17" s="174"/>
      <c r="P17" s="96"/>
      <c r="Q17" s="174"/>
      <c r="R17" s="174"/>
      <c r="S17" s="174"/>
      <c r="T17" s="174"/>
      <c r="X17" s="96"/>
      <c r="Y17" s="174"/>
      <c r="AE17">
        <f t="shared" si="6"/>
        <v>166</v>
      </c>
      <c r="AF17" s="174">
        <f t="shared" si="7"/>
        <v>45454.545454545456</v>
      </c>
    </row>
    <row r="18" spans="1:32" x14ac:dyDescent="0.3">
      <c r="A18">
        <f>CalPhotonTurnigy!D19</f>
        <v>180</v>
      </c>
      <c r="B18" s="174">
        <f>CalPhotonTurnigy!O19</f>
        <v>46875.000000000007</v>
      </c>
      <c r="C18" s="174">
        <f t="shared" si="8"/>
        <v>101.46103896103939</v>
      </c>
      <c r="D18" s="174">
        <f t="shared" si="0"/>
        <v>42371.209429477036</v>
      </c>
      <c r="E18" s="174">
        <f t="shared" si="9"/>
        <v>75.538351839444658</v>
      </c>
      <c r="H18" s="174"/>
      <c r="I18" s="174"/>
      <c r="J18" s="174"/>
      <c r="K18" s="96"/>
      <c r="L18" s="174"/>
      <c r="M18" s="174"/>
      <c r="N18" s="174"/>
      <c r="O18" s="174"/>
      <c r="P18" s="96"/>
      <c r="Q18" s="174"/>
      <c r="R18" s="174"/>
      <c r="S18" s="174"/>
      <c r="T18" s="174"/>
      <c r="X18" s="96"/>
      <c r="Y18" s="174"/>
      <c r="AE18">
        <f t="shared" si="6"/>
        <v>180</v>
      </c>
      <c r="AF18" s="174">
        <f t="shared" si="7"/>
        <v>46875.000000000007</v>
      </c>
    </row>
    <row r="19" spans="1:32" x14ac:dyDescent="0.3">
      <c r="K19" s="96"/>
      <c r="L19" s="174"/>
      <c r="M19" s="174"/>
      <c r="P19" s="174"/>
      <c r="T19" s="96"/>
      <c r="U19" s="174"/>
      <c r="AE19" s="96">
        <f t="shared" ref="AE19:AE29" si="26">F2</f>
        <v>6.0661220353948684</v>
      </c>
      <c r="AF19" s="174">
        <f t="shared" ref="AF19:AF29" si="27">G2</f>
        <v>5.9999999999999995E-25</v>
      </c>
    </row>
    <row r="20" spans="1:32" x14ac:dyDescent="0.3">
      <c r="K20" s="96"/>
      <c r="L20" s="174"/>
      <c r="M20" s="174"/>
      <c r="P20" s="174"/>
      <c r="T20" s="96"/>
      <c r="U20" s="174"/>
      <c r="AE20" s="96">
        <f t="shared" si="26"/>
        <v>9</v>
      </c>
      <c r="AF20" s="174">
        <f t="shared" si="27"/>
        <v>8474.5762711864409</v>
      </c>
    </row>
    <row r="21" spans="1:32" x14ac:dyDescent="0.3">
      <c r="A21" t="s">
        <v>326</v>
      </c>
      <c r="B21" s="157">
        <v>-25454</v>
      </c>
      <c r="C21" s="157">
        <v>13061</v>
      </c>
      <c r="D21" t="s">
        <v>327</v>
      </c>
      <c r="K21" s="96"/>
      <c r="L21" s="174"/>
      <c r="M21" s="174"/>
      <c r="P21" s="174"/>
      <c r="T21" s="96"/>
      <c r="U21" s="174"/>
      <c r="AE21" s="96">
        <f t="shared" si="26"/>
        <v>20</v>
      </c>
      <c r="AF21" s="174">
        <f t="shared" si="27"/>
        <v>14851.485148514852</v>
      </c>
    </row>
    <row r="22" spans="1:32" x14ac:dyDescent="0.3">
      <c r="K22" s="96"/>
      <c r="L22" s="174"/>
      <c r="M22" s="174"/>
      <c r="P22" s="174"/>
      <c r="T22" s="96"/>
      <c r="U22" s="174"/>
      <c r="AE22" s="96">
        <f t="shared" si="26"/>
        <v>25</v>
      </c>
      <c r="AF22" s="174">
        <f t="shared" si="27"/>
        <v>16304.347826086958</v>
      </c>
    </row>
    <row r="23" spans="1:32" x14ac:dyDescent="0.3">
      <c r="T23" s="96"/>
      <c r="U23" s="174"/>
      <c r="AE23" s="96">
        <f t="shared" si="26"/>
        <v>35</v>
      </c>
      <c r="AF23" s="174">
        <f t="shared" si="27"/>
        <v>20134.228187919463</v>
      </c>
    </row>
    <row r="24" spans="1:32" x14ac:dyDescent="0.3">
      <c r="AE24" s="96">
        <f t="shared" si="26"/>
        <v>54</v>
      </c>
      <c r="AF24" s="174">
        <f t="shared" si="27"/>
        <v>25104.602510460249</v>
      </c>
    </row>
    <row r="25" spans="1:32" x14ac:dyDescent="0.3">
      <c r="AE25" s="96">
        <f t="shared" si="26"/>
        <v>64</v>
      </c>
      <c r="AF25" s="174">
        <f t="shared" si="27"/>
        <v>27649.76958525346</v>
      </c>
    </row>
    <row r="26" spans="1:32" x14ac:dyDescent="0.3">
      <c r="AE26" s="96">
        <f t="shared" si="26"/>
        <v>90</v>
      </c>
      <c r="AF26" s="174">
        <f t="shared" si="27"/>
        <v>32258.06451612903</v>
      </c>
    </row>
    <row r="27" spans="1:32" x14ac:dyDescent="0.3">
      <c r="AE27" s="96">
        <f t="shared" si="26"/>
        <v>125</v>
      </c>
      <c r="AF27" s="174">
        <f t="shared" si="27"/>
        <v>37037.037037037036</v>
      </c>
    </row>
    <row r="28" spans="1:32" x14ac:dyDescent="0.3">
      <c r="AE28" s="96">
        <f t="shared" si="26"/>
        <v>155</v>
      </c>
      <c r="AF28" s="174">
        <f t="shared" si="27"/>
        <v>41958.041958041955</v>
      </c>
    </row>
    <row r="29" spans="1:32" x14ac:dyDescent="0.3">
      <c r="AE29" s="96">
        <f t="shared" si="26"/>
        <v>180</v>
      </c>
      <c r="AF29" s="174">
        <f t="shared" si="27"/>
        <v>43859.649122807015</v>
      </c>
    </row>
    <row r="30" spans="1:32" x14ac:dyDescent="0.3">
      <c r="AE30" s="96">
        <f t="shared" ref="AE30:AE42" si="28">K2</f>
        <v>5.3803300418278059</v>
      </c>
      <c r="AF30" s="174">
        <f t="shared" ref="AF30:AF42" si="29">L2</f>
        <v>5.9999999999999995E-25</v>
      </c>
    </row>
    <row r="31" spans="1:32" x14ac:dyDescent="0.3">
      <c r="AE31" s="96">
        <f t="shared" si="28"/>
        <v>8</v>
      </c>
      <c r="AF31" s="174">
        <f t="shared" si="29"/>
        <v>7500.0000000000009</v>
      </c>
    </row>
    <row r="32" spans="1:32" x14ac:dyDescent="0.3">
      <c r="AE32" s="96">
        <f t="shared" si="28"/>
        <v>12</v>
      </c>
      <c r="AF32" s="174">
        <f t="shared" si="29"/>
        <v>10830.324909747293</v>
      </c>
    </row>
    <row r="33" spans="31:32" x14ac:dyDescent="0.3">
      <c r="AE33" s="96">
        <f t="shared" si="28"/>
        <v>17</v>
      </c>
      <c r="AF33" s="174">
        <f t="shared" si="29"/>
        <v>12244.897959183674</v>
      </c>
    </row>
    <row r="34" spans="31:32" x14ac:dyDescent="0.3">
      <c r="AE34" s="96">
        <f t="shared" si="28"/>
        <v>21</v>
      </c>
      <c r="AF34" s="174">
        <f t="shared" si="29"/>
        <v>14354.066985645934</v>
      </c>
    </row>
    <row r="35" spans="31:32" x14ac:dyDescent="0.3">
      <c r="AE35" s="96">
        <f t="shared" si="28"/>
        <v>27</v>
      </c>
      <c r="AF35" s="174">
        <f t="shared" si="29"/>
        <v>16949.152542372882</v>
      </c>
    </row>
    <row r="36" spans="31:32" x14ac:dyDescent="0.3">
      <c r="AE36" s="96">
        <f t="shared" si="28"/>
        <v>42</v>
      </c>
      <c r="AF36" s="174">
        <f t="shared" si="29"/>
        <v>21660.649819494585</v>
      </c>
    </row>
    <row r="37" spans="31:32" x14ac:dyDescent="0.3">
      <c r="AE37" s="96">
        <f t="shared" si="28"/>
        <v>67</v>
      </c>
      <c r="AF37" s="174">
        <f t="shared" si="29"/>
        <v>27649.76958525346</v>
      </c>
    </row>
    <row r="38" spans="31:32" x14ac:dyDescent="0.3">
      <c r="AE38" s="96">
        <f t="shared" si="28"/>
        <v>79</v>
      </c>
      <c r="AF38" s="174">
        <f t="shared" si="29"/>
        <v>29702.970297029704</v>
      </c>
    </row>
    <row r="39" spans="31:32" x14ac:dyDescent="0.3">
      <c r="AE39" s="96">
        <f t="shared" si="28"/>
        <v>84</v>
      </c>
      <c r="AF39" s="174">
        <f t="shared" si="29"/>
        <v>30456.852791878177</v>
      </c>
    </row>
    <row r="40" spans="31:32" x14ac:dyDescent="0.3">
      <c r="AE40" s="96">
        <f t="shared" si="28"/>
        <v>121</v>
      </c>
      <c r="AF40" s="174">
        <f t="shared" si="29"/>
        <v>36363.636363636368</v>
      </c>
    </row>
    <row r="41" spans="31:32" x14ac:dyDescent="0.3">
      <c r="AE41" s="96">
        <f t="shared" si="28"/>
        <v>175</v>
      </c>
      <c r="AF41" s="174">
        <f t="shared" si="29"/>
        <v>44117.647058823532</v>
      </c>
    </row>
    <row r="42" spans="31:32" x14ac:dyDescent="0.3">
      <c r="AE42" s="96">
        <f t="shared" si="28"/>
        <v>0</v>
      </c>
      <c r="AF42" s="174">
        <f t="shared" si="29"/>
        <v>0</v>
      </c>
    </row>
    <row r="43" spans="31:32" x14ac:dyDescent="0.3">
      <c r="AE43" s="96">
        <f t="shared" ref="AE43:AE54" si="30">P2</f>
        <v>5.7969930558608072</v>
      </c>
      <c r="AF43" s="174">
        <f t="shared" ref="AF43:AF54" si="31">Q2</f>
        <v>5.9999999999999995E-25</v>
      </c>
    </row>
    <row r="44" spans="31:32" x14ac:dyDescent="0.3">
      <c r="AE44" s="96">
        <f t="shared" si="30"/>
        <v>9</v>
      </c>
      <c r="AF44" s="174">
        <f t="shared" si="31"/>
        <v>8571.4285714285725</v>
      </c>
    </row>
    <row r="45" spans="31:32" x14ac:dyDescent="0.3">
      <c r="AE45" s="96">
        <f t="shared" si="30"/>
        <v>12</v>
      </c>
      <c r="AF45" s="174">
        <f t="shared" si="31"/>
        <v>9933.7748344370866</v>
      </c>
    </row>
    <row r="46" spans="31:32" x14ac:dyDescent="0.3">
      <c r="AE46" s="96">
        <f t="shared" si="30"/>
        <v>24</v>
      </c>
      <c r="AF46" s="174">
        <f t="shared" si="31"/>
        <v>16129.032258064515</v>
      </c>
    </row>
    <row r="47" spans="31:32" x14ac:dyDescent="0.3">
      <c r="AE47" s="96">
        <f t="shared" si="30"/>
        <v>28</v>
      </c>
      <c r="AF47" s="174">
        <f t="shared" si="31"/>
        <v>17341.040462427747</v>
      </c>
    </row>
    <row r="48" spans="31:32" x14ac:dyDescent="0.3">
      <c r="AE48" s="96">
        <f t="shared" si="30"/>
        <v>32</v>
      </c>
      <c r="AF48" s="174">
        <f t="shared" si="31"/>
        <v>18867.92452830189</v>
      </c>
    </row>
    <row r="49" spans="31:32" x14ac:dyDescent="0.3">
      <c r="AE49" s="96">
        <f t="shared" si="30"/>
        <v>50</v>
      </c>
      <c r="AF49" s="174">
        <f t="shared" si="31"/>
        <v>24193.548387096776</v>
      </c>
    </row>
    <row r="50" spans="31:32" x14ac:dyDescent="0.3">
      <c r="AE50" s="96">
        <f t="shared" si="30"/>
        <v>78</v>
      </c>
      <c r="AF50" s="174">
        <f t="shared" si="31"/>
        <v>30150.753768844224</v>
      </c>
    </row>
    <row r="51" spans="31:32" x14ac:dyDescent="0.3">
      <c r="AE51" s="96">
        <f t="shared" si="30"/>
        <v>115</v>
      </c>
      <c r="AF51" s="174">
        <f t="shared" si="31"/>
        <v>35294.117647058825</v>
      </c>
    </row>
    <row r="52" spans="31:32" x14ac:dyDescent="0.3">
      <c r="AE52" s="96">
        <f t="shared" si="30"/>
        <v>140</v>
      </c>
      <c r="AF52" s="174">
        <f t="shared" si="31"/>
        <v>38709.677419354841</v>
      </c>
    </row>
    <row r="53" spans="31:32" x14ac:dyDescent="0.3">
      <c r="AE53" s="96">
        <f t="shared" si="30"/>
        <v>155</v>
      </c>
      <c r="AF53" s="174">
        <f t="shared" si="31"/>
        <v>41958.041958041955</v>
      </c>
    </row>
    <row r="54" spans="31:32" x14ac:dyDescent="0.3">
      <c r="AE54" s="96">
        <f t="shared" si="30"/>
        <v>180</v>
      </c>
      <c r="AF54" s="174">
        <f t="shared" si="31"/>
        <v>44444.444444444445</v>
      </c>
    </row>
    <row r="55" spans="31:32" x14ac:dyDescent="0.3">
      <c r="AE55" s="96">
        <f t="shared" ref="AE55:AE67" si="32">U2</f>
        <v>6.6811957375597357</v>
      </c>
      <c r="AF55" s="174">
        <f t="shared" ref="AF55:AF67" si="33">V2</f>
        <v>5.9999999999999995E-25</v>
      </c>
    </row>
    <row r="56" spans="31:32" x14ac:dyDescent="0.3">
      <c r="AE56" s="96">
        <f t="shared" si="32"/>
        <v>9</v>
      </c>
      <c r="AF56" s="174">
        <f t="shared" si="33"/>
        <v>8174.3869209809272</v>
      </c>
    </row>
    <row r="57" spans="31:32" x14ac:dyDescent="0.3">
      <c r="AE57" s="96">
        <f t="shared" si="32"/>
        <v>13</v>
      </c>
      <c r="AF57" s="174">
        <f t="shared" si="33"/>
        <v>10309.278350515466</v>
      </c>
    </row>
    <row r="58" spans="31:32" x14ac:dyDescent="0.3">
      <c r="AE58" s="96">
        <f t="shared" si="32"/>
        <v>24</v>
      </c>
      <c r="AF58" s="174">
        <f t="shared" si="33"/>
        <v>16042.780748663101</v>
      </c>
    </row>
    <row r="59" spans="31:32" x14ac:dyDescent="0.3">
      <c r="AE59" s="96">
        <f t="shared" si="32"/>
        <v>28</v>
      </c>
      <c r="AF59" s="174">
        <f t="shared" si="33"/>
        <v>17341.040462427747</v>
      </c>
    </row>
    <row r="60" spans="31:32" x14ac:dyDescent="0.3">
      <c r="AE60" s="96">
        <f t="shared" si="32"/>
        <v>36</v>
      </c>
      <c r="AF60" s="174">
        <f t="shared" si="33"/>
        <v>20134.228187919463</v>
      </c>
    </row>
    <row r="61" spans="31:32" x14ac:dyDescent="0.3">
      <c r="AE61" s="96">
        <f t="shared" si="32"/>
        <v>52</v>
      </c>
      <c r="AF61" s="174">
        <f t="shared" si="33"/>
        <v>24691.358024691359</v>
      </c>
    </row>
    <row r="62" spans="31:32" x14ac:dyDescent="0.3">
      <c r="AE62" s="96">
        <f t="shared" si="32"/>
        <v>73</v>
      </c>
      <c r="AF62" s="174">
        <f t="shared" si="33"/>
        <v>29411.764705882353</v>
      </c>
    </row>
    <row r="63" spans="31:32" x14ac:dyDescent="0.3">
      <c r="AE63" s="96">
        <f t="shared" si="32"/>
        <v>94</v>
      </c>
      <c r="AF63" s="174">
        <f t="shared" si="33"/>
        <v>32432.43243243243</v>
      </c>
    </row>
    <row r="64" spans="31:32" x14ac:dyDescent="0.3">
      <c r="AE64" s="96">
        <f t="shared" si="32"/>
        <v>99</v>
      </c>
      <c r="AF64" s="174">
        <f t="shared" si="33"/>
        <v>32967.032967032967</v>
      </c>
    </row>
    <row r="65" spans="31:32" x14ac:dyDescent="0.3">
      <c r="AE65" s="96">
        <f t="shared" si="32"/>
        <v>110</v>
      </c>
      <c r="AF65" s="174">
        <f t="shared" si="33"/>
        <v>35087.719298245618</v>
      </c>
    </row>
    <row r="66" spans="31:32" x14ac:dyDescent="0.3">
      <c r="AE66" s="96">
        <f t="shared" si="32"/>
        <v>132</v>
      </c>
      <c r="AF66" s="174">
        <f t="shared" si="33"/>
        <v>37267.080745341613</v>
      </c>
    </row>
    <row r="67" spans="31:32" x14ac:dyDescent="0.3">
      <c r="AE67" s="96">
        <f t="shared" si="32"/>
        <v>180</v>
      </c>
      <c r="AF67" s="174">
        <f t="shared" si="33"/>
        <v>43795.620437956204</v>
      </c>
    </row>
    <row r="68" spans="31:32" x14ac:dyDescent="0.3">
      <c r="AE68" s="96">
        <f t="shared" ref="AE68:AE80" si="34">Z2</f>
        <v>6.7090339239286205</v>
      </c>
      <c r="AF68" s="174">
        <f t="shared" ref="AF68:AF80" si="35">AA2</f>
        <v>5.9999999999999995E-25</v>
      </c>
    </row>
    <row r="69" spans="31:32" x14ac:dyDescent="0.3">
      <c r="AE69" s="96">
        <f t="shared" si="34"/>
        <v>10</v>
      </c>
      <c r="AF69" s="174">
        <f t="shared" si="35"/>
        <v>8152.1739130434789</v>
      </c>
    </row>
    <row r="70" spans="31:32" x14ac:dyDescent="0.3">
      <c r="AE70" s="96">
        <f t="shared" si="34"/>
        <v>14</v>
      </c>
      <c r="AF70" s="174">
        <f t="shared" si="35"/>
        <v>11029.411764705883</v>
      </c>
    </row>
    <row r="71" spans="31:32" x14ac:dyDescent="0.3">
      <c r="AE71" s="96">
        <f t="shared" si="34"/>
        <v>26</v>
      </c>
      <c r="AF71" s="174">
        <f t="shared" si="35"/>
        <v>16620.498614958451</v>
      </c>
    </row>
    <row r="72" spans="31:32" x14ac:dyDescent="0.3">
      <c r="AE72" s="96">
        <f t="shared" si="34"/>
        <v>34</v>
      </c>
      <c r="AF72" s="174">
        <f t="shared" si="35"/>
        <v>19480.519480519481</v>
      </c>
    </row>
    <row r="73" spans="31:32" x14ac:dyDescent="0.3">
      <c r="AE73" s="96">
        <f t="shared" si="34"/>
        <v>51</v>
      </c>
      <c r="AF73" s="174">
        <f t="shared" si="35"/>
        <v>24096.385542168679</v>
      </c>
    </row>
    <row r="74" spans="31:32" x14ac:dyDescent="0.3">
      <c r="AE74" s="96">
        <f t="shared" si="34"/>
        <v>76</v>
      </c>
      <c r="AF74" s="174">
        <f t="shared" si="35"/>
        <v>28985.507246376812</v>
      </c>
    </row>
    <row r="75" spans="31:32" x14ac:dyDescent="0.3">
      <c r="AE75" s="96">
        <f t="shared" si="34"/>
        <v>91</v>
      </c>
      <c r="AF75" s="174">
        <f t="shared" si="35"/>
        <v>31746.031746031746</v>
      </c>
    </row>
    <row r="76" spans="31:32" x14ac:dyDescent="0.3">
      <c r="AE76" s="96">
        <f t="shared" si="34"/>
        <v>106</v>
      </c>
      <c r="AF76" s="174">
        <f t="shared" si="35"/>
        <v>33333.333333333336</v>
      </c>
    </row>
    <row r="77" spans="31:32" x14ac:dyDescent="0.3">
      <c r="AE77" s="96">
        <f t="shared" si="34"/>
        <v>132</v>
      </c>
      <c r="AF77" s="174">
        <f t="shared" si="35"/>
        <v>36809.815950920245</v>
      </c>
    </row>
    <row r="78" spans="31:32" x14ac:dyDescent="0.3">
      <c r="AE78" s="96">
        <f t="shared" si="34"/>
        <v>180</v>
      </c>
      <c r="AF78" s="174">
        <f t="shared" si="35"/>
        <v>43795.620437956204</v>
      </c>
    </row>
    <row r="79" spans="31:32" x14ac:dyDescent="0.3">
      <c r="AE79" s="96">
        <f t="shared" si="34"/>
        <v>0</v>
      </c>
      <c r="AF79" s="174">
        <f t="shared" si="35"/>
        <v>0</v>
      </c>
    </row>
    <row r="80" spans="31:32" x14ac:dyDescent="0.3">
      <c r="AE80" s="96">
        <f t="shared" si="34"/>
        <v>0</v>
      </c>
      <c r="AF80" s="174">
        <f t="shared" si="35"/>
        <v>0</v>
      </c>
    </row>
    <row r="81" spans="23:23" x14ac:dyDescent="0.3">
      <c r="W81" s="96"/>
    </row>
    <row r="82" spans="23:23" x14ac:dyDescent="0.3">
      <c r="W82" s="96"/>
    </row>
    <row r="83" spans="23:23" x14ac:dyDescent="0.3">
      <c r="W83" s="96"/>
    </row>
    <row r="84" spans="23:23" x14ac:dyDescent="0.3">
      <c r="W84" s="96"/>
    </row>
    <row r="85" spans="23:23" x14ac:dyDescent="0.3">
      <c r="W85" s="96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5"/>
  <sheetViews>
    <sheetView topLeftCell="C1" zoomScale="90" zoomScaleNormal="90" zoomScaleSheetLayoutView="80" workbookViewId="0">
      <selection activeCell="L25" sqref="L25"/>
    </sheetView>
  </sheetViews>
  <sheetFormatPr defaultRowHeight="14.4" x14ac:dyDescent="0.3"/>
  <cols>
    <col min="5" max="5" width="13.88671875" bestFit="1" customWidth="1"/>
    <col min="6" max="6" width="13.6640625" bestFit="1" customWidth="1"/>
    <col min="7" max="7" width="13.109375" bestFit="1" customWidth="1"/>
    <col min="8" max="8" width="13.6640625" bestFit="1" customWidth="1"/>
    <col min="9" max="10" width="13.6640625" customWidth="1"/>
    <col min="11" max="11" width="10.6640625" customWidth="1"/>
    <col min="12" max="12" width="9.88671875" bestFit="1" customWidth="1"/>
    <col min="13" max="13" width="10.44140625" customWidth="1"/>
    <col min="16" max="16" width="11.88671875" customWidth="1"/>
  </cols>
  <sheetData>
    <row r="1" spans="2:19" x14ac:dyDescent="0.3">
      <c r="B1" t="s">
        <v>132</v>
      </c>
      <c r="C1" t="s">
        <v>100</v>
      </c>
      <c r="D1" s="184" t="s">
        <v>131</v>
      </c>
      <c r="E1" s="184" t="s">
        <v>209</v>
      </c>
      <c r="F1" s="184" t="s">
        <v>100</v>
      </c>
      <c r="G1" t="s">
        <v>208</v>
      </c>
      <c r="H1" t="s">
        <v>207</v>
      </c>
      <c r="I1" t="s">
        <v>206</v>
      </c>
      <c r="J1" t="s">
        <v>205</v>
      </c>
      <c r="K1" t="s">
        <v>152</v>
      </c>
      <c r="L1" t="s">
        <v>204</v>
      </c>
      <c r="M1" t="s">
        <v>153</v>
      </c>
      <c r="O1" s="157" t="s">
        <v>210</v>
      </c>
      <c r="P1" s="157"/>
      <c r="Q1" s="157"/>
      <c r="R1" s="157"/>
      <c r="S1" s="157"/>
    </row>
    <row r="2" spans="2:19" x14ac:dyDescent="0.3">
      <c r="B2">
        <f t="shared" ref="B2:B10" si="0">C2*$E$13</f>
        <v>7372.8</v>
      </c>
      <c r="C2">
        <v>16</v>
      </c>
      <c r="D2" s="184">
        <v>0.33</v>
      </c>
      <c r="E2" s="184">
        <f t="shared" ref="E2:E10" si="1">$E$12*$C2^$F$12</f>
        <v>0.3917732370086745</v>
      </c>
      <c r="F2" s="184">
        <v>16</v>
      </c>
      <c r="G2">
        <f t="shared" ref="G2:G10" si="2">10^(LOG10($E2/$E$12)/$F$12)</f>
        <v>16.000000000000007</v>
      </c>
      <c r="H2" s="146">
        <f>$E$14+$F$14*$C2*$E$13+$G$14*($C2*$E$13)^2</f>
        <v>2.3663188085633704E-4</v>
      </c>
      <c r="I2" s="146">
        <f>I3</f>
        <v>1.0190599989802014E-7</v>
      </c>
      <c r="J2" s="146">
        <f>$F$14+2*$C2*$G$14*$E$13</f>
        <v>6.9047658670256907E-8</v>
      </c>
      <c r="K2" s="146">
        <f t="shared" ref="K2:K10" si="3">$C2*$E$13*$H2/5252</f>
        <v>3.3218574470251366E-4</v>
      </c>
      <c r="L2" s="146">
        <f t="shared" ref="L2:L10" si="4">$E$11+$F$11*$C2*$E$13+$G$11*($C2*$E$13)^2</f>
        <v>5.2572163702912741E-4</v>
      </c>
      <c r="M2" s="146">
        <f t="shared" ref="M2:M10" si="5">$C2*$E$13*$L2/5252</f>
        <v>7.3801227827272476E-4</v>
      </c>
      <c r="O2" s="157" t="s">
        <v>64</v>
      </c>
      <c r="P2" s="157" t="s">
        <v>81</v>
      </c>
      <c r="Q2" s="157" t="s">
        <v>101</v>
      </c>
      <c r="R2" s="157" t="s">
        <v>203</v>
      </c>
      <c r="S2" s="157"/>
    </row>
    <row r="3" spans="2:19" x14ac:dyDescent="0.3">
      <c r="B3">
        <f t="shared" si="0"/>
        <v>9216</v>
      </c>
      <c r="C3">
        <v>20</v>
      </c>
      <c r="D3" s="184">
        <v>0.28000000000000003</v>
      </c>
      <c r="E3" s="184">
        <f t="shared" si="1"/>
        <v>0.27537020278635105</v>
      </c>
      <c r="F3" s="184">
        <v>20</v>
      </c>
      <c r="G3">
        <f t="shared" si="2"/>
        <v>19.999999999999996</v>
      </c>
      <c r="H3" s="146">
        <f t="shared" ref="H3:H10" si="6">$E$14+$F$14*$C3*$E$13+$G$14*($C3*$E$13)^2</f>
        <v>4.2446501986836776E-4</v>
      </c>
      <c r="I3" s="146">
        <f t="shared" ref="I3:I10" si="7">(H3-H2)/(B3-B2)</f>
        <v>1.0190599989802014E-7</v>
      </c>
      <c r="J3" s="146">
        <f t="shared" ref="J3:J10" si="8">$F$14+2*$C3*$G$14*$E$13</f>
        <v>1.3476434112578325E-7</v>
      </c>
      <c r="K3" s="146">
        <f t="shared" si="3"/>
        <v>7.4483427705766901E-4</v>
      </c>
      <c r="L3" s="146">
        <f t="shared" si="4"/>
        <v>3.9770094161169982E-4</v>
      </c>
      <c r="M3" s="146">
        <f t="shared" si="5"/>
        <v>6.978697406499287E-4</v>
      </c>
      <c r="O3" s="157">
        <v>0</v>
      </c>
      <c r="P3" s="157"/>
      <c r="Q3" s="157"/>
      <c r="R3" s="157"/>
      <c r="S3" s="157"/>
    </row>
    <row r="4" spans="2:19" x14ac:dyDescent="0.3">
      <c r="B4">
        <f t="shared" si="0"/>
        <v>11520</v>
      </c>
      <c r="C4">
        <v>25</v>
      </c>
      <c r="D4" s="184">
        <v>0.19</v>
      </c>
      <c r="E4" s="184">
        <f t="shared" si="1"/>
        <v>0.19355265092014706</v>
      </c>
      <c r="F4" s="184">
        <v>25</v>
      </c>
      <c r="G4">
        <f t="shared" si="2"/>
        <v>24.999999999999996</v>
      </c>
      <c r="H4" s="146">
        <f t="shared" si="6"/>
        <v>8.2959408455812993E-4</v>
      </c>
      <c r="I4" s="146">
        <f t="shared" si="7"/>
        <v>1.7583726766048705E-7</v>
      </c>
      <c r="J4" s="146">
        <f t="shared" si="8"/>
        <v>2.1691019419519116E-7</v>
      </c>
      <c r="K4" s="146">
        <f t="shared" si="3"/>
        <v>1.8196732395486779E-3</v>
      </c>
      <c r="L4" s="146">
        <f t="shared" si="4"/>
        <v>3.7455395613344858E-4</v>
      </c>
      <c r="M4" s="146">
        <f t="shared" si="5"/>
        <v>8.2156541787077825E-4</v>
      </c>
      <c r="O4" s="157">
        <v>0</v>
      </c>
      <c r="P4" s="157"/>
      <c r="Q4" s="157"/>
      <c r="R4" s="157"/>
      <c r="S4" s="157"/>
    </row>
    <row r="5" spans="2:19" x14ac:dyDescent="0.3">
      <c r="B5">
        <f t="shared" si="0"/>
        <v>16588.8</v>
      </c>
      <c r="C5">
        <v>36</v>
      </c>
      <c r="D5" s="184">
        <v>0.14000000000000001</v>
      </c>
      <c r="E5" s="184">
        <f t="shared" si="1"/>
        <v>0.10878935110598625</v>
      </c>
      <c r="F5" s="184">
        <v>36</v>
      </c>
      <c r="G5">
        <f t="shared" si="2"/>
        <v>36.000000000000014</v>
      </c>
      <c r="H5" s="146">
        <f t="shared" si="6"/>
        <v>2.3870874669367505E-3</v>
      </c>
      <c r="I5" s="146">
        <f t="shared" si="7"/>
        <v>3.0727063257153976E-7</v>
      </c>
      <c r="J5" s="146">
        <f t="shared" si="8"/>
        <v>3.9763107094788859E-7</v>
      </c>
      <c r="K5" s="146">
        <f t="shared" si="3"/>
        <v>7.5397784789642732E-3</v>
      </c>
      <c r="L5" s="146">
        <f t="shared" si="4"/>
        <v>8.5897911136266578E-4</v>
      </c>
      <c r="M5" s="146">
        <f t="shared" si="5"/>
        <v>2.7131440751281396E-3</v>
      </c>
      <c r="O5" s="157">
        <v>12.367954907596399</v>
      </c>
      <c r="P5" s="157">
        <v>3.9916956312460647</v>
      </c>
      <c r="Q5" s="157"/>
      <c r="R5" s="157"/>
      <c r="S5" s="157"/>
    </row>
    <row r="6" spans="2:19" x14ac:dyDescent="0.3">
      <c r="B6">
        <f t="shared" si="0"/>
        <v>20736</v>
      </c>
      <c r="C6">
        <v>45</v>
      </c>
      <c r="D6" s="184">
        <v>0.11</v>
      </c>
      <c r="E6" s="184">
        <f t="shared" si="1"/>
        <v>7.6466034034855926E-2</v>
      </c>
      <c r="F6" s="184">
        <v>45</v>
      </c>
      <c r="G6">
        <f t="shared" si="2"/>
        <v>44.999999999999993</v>
      </c>
      <c r="H6" s="146">
        <f t="shared" si="6"/>
        <v>4.3427507980363387E-3</v>
      </c>
      <c r="I6" s="146">
        <f t="shared" si="7"/>
        <v>4.7156233871035585E-7</v>
      </c>
      <c r="J6" s="146">
        <f t="shared" si="8"/>
        <v>5.4549360647282279E-7</v>
      </c>
      <c r="K6" s="146">
        <f t="shared" si="3"/>
        <v>1.7146093021340732E-2</v>
      </c>
      <c r="L6" s="146">
        <f t="shared" si="4"/>
        <v>1.8028425008152459E-3</v>
      </c>
      <c r="M6" s="146">
        <f t="shared" si="5"/>
        <v>7.1180011608729891E-3</v>
      </c>
      <c r="O6" s="157">
        <v>15.047408792585415</v>
      </c>
      <c r="P6" s="157">
        <v>0.70091118459969781</v>
      </c>
      <c r="Q6" s="157"/>
      <c r="R6" s="157"/>
      <c r="S6" s="157"/>
    </row>
    <row r="7" spans="2:19" x14ac:dyDescent="0.3">
      <c r="B7">
        <f t="shared" si="0"/>
        <v>23040</v>
      </c>
      <c r="C7">
        <v>50</v>
      </c>
      <c r="D7" s="184">
        <v>0.09</v>
      </c>
      <c r="E7" s="184">
        <f t="shared" si="1"/>
        <v>6.4739856241990537E-2</v>
      </c>
      <c r="F7" s="184">
        <v>50</v>
      </c>
      <c r="G7">
        <f t="shared" si="2"/>
        <v>50.000000000000014</v>
      </c>
      <c r="H7" s="146">
        <f t="shared" si="6"/>
        <v>5.6942000900856793E-3</v>
      </c>
      <c r="I7" s="146">
        <f t="shared" si="7"/>
        <v>5.8656653300752638E-7</v>
      </c>
      <c r="J7" s="146">
        <f t="shared" si="8"/>
        <v>6.2763945954223071E-7</v>
      </c>
      <c r="K7" s="146">
        <f t="shared" si="3"/>
        <v>2.4979887676232684E-2</v>
      </c>
      <c r="L7" s="146">
        <f t="shared" si="4"/>
        <v>2.5401337586343957E-3</v>
      </c>
      <c r="M7" s="146">
        <f t="shared" si="5"/>
        <v>1.1143313366134135E-2</v>
      </c>
      <c r="O7" s="157">
        <v>37.649471024806083</v>
      </c>
      <c r="P7" s="157">
        <v>8.8118975354312457E-2</v>
      </c>
      <c r="Q7" s="157">
        <v>18.349332141930159</v>
      </c>
      <c r="R7" s="157">
        <v>0.2622861097452871</v>
      </c>
      <c r="S7" s="157"/>
    </row>
    <row r="8" spans="2:19" x14ac:dyDescent="0.3">
      <c r="B8">
        <f t="shared" si="0"/>
        <v>23961.600000000002</v>
      </c>
      <c r="C8">
        <v>52</v>
      </c>
      <c r="D8" s="184">
        <v>0.08</v>
      </c>
      <c r="E8" s="184">
        <f t="shared" si="1"/>
        <v>6.0849785914015388E-2</v>
      </c>
      <c r="F8" s="184">
        <v>52</v>
      </c>
      <c r="G8">
        <f t="shared" si="2"/>
        <v>52.000000000000036</v>
      </c>
      <c r="H8" s="146">
        <f t="shared" si="6"/>
        <v>6.2877737396375534E-3</v>
      </c>
      <c r="I8" s="146">
        <f t="shared" si="7"/>
        <v>6.4406863015611191E-7</v>
      </c>
      <c r="J8" s="146">
        <f t="shared" si="8"/>
        <v>6.6049780076999385E-7</v>
      </c>
      <c r="K8" s="146">
        <f t="shared" si="3"/>
        <v>2.8687189497277076E-2</v>
      </c>
      <c r="L8" s="146">
        <f t="shared" si="4"/>
        <v>2.8776348033867118E-3</v>
      </c>
      <c r="M8" s="146">
        <f t="shared" si="5"/>
        <v>1.3128852647530663E-2</v>
      </c>
      <c r="O8" s="157">
        <v>48.010895849896535</v>
      </c>
      <c r="P8" s="157">
        <v>6.2906429754981188E-2</v>
      </c>
      <c r="Q8" s="157">
        <v>28.457488763966595</v>
      </c>
      <c r="R8" s="157">
        <v>0.15327768207325029</v>
      </c>
      <c r="S8" s="157"/>
    </row>
    <row r="9" spans="2:19" x14ac:dyDescent="0.3">
      <c r="B9">
        <f t="shared" si="0"/>
        <v>25344</v>
      </c>
      <c r="C9">
        <v>55</v>
      </c>
      <c r="D9" s="184">
        <v>7.0000000000000007E-2</v>
      </c>
      <c r="E9" s="184">
        <f t="shared" si="1"/>
        <v>5.5689239628374895E-2</v>
      </c>
      <c r="F9" s="184">
        <v>55</v>
      </c>
      <c r="G9">
        <f t="shared" si="2"/>
        <v>55.000000000000014</v>
      </c>
      <c r="H9" s="146">
        <f t="shared" si="6"/>
        <v>7.2349134276069376E-3</v>
      </c>
      <c r="I9" s="146">
        <f t="shared" si="7"/>
        <v>6.8514155669081719E-7</v>
      </c>
      <c r="J9" s="146">
        <f t="shared" si="8"/>
        <v>7.0978531261163862E-7</v>
      </c>
      <c r="K9" s="146">
        <f t="shared" si="3"/>
        <v>3.4912727705496999E-2</v>
      </c>
      <c r="L9" s="146">
        <f t="shared" si="4"/>
        <v>3.4295126651130254E-3</v>
      </c>
      <c r="M9" s="146">
        <f t="shared" si="5"/>
        <v>1.6549422883591874E-2</v>
      </c>
      <c r="O9" s="157">
        <v>61.364409667042004</v>
      </c>
      <c r="P9" s="157">
        <v>4.5959283219000051E-2</v>
      </c>
      <c r="Q9" s="157">
        <v>41.484597621753984</v>
      </c>
      <c r="R9" s="157">
        <v>9.3499270545763416E-2</v>
      </c>
      <c r="S9" s="157"/>
    </row>
    <row r="10" spans="2:19" x14ac:dyDescent="0.3">
      <c r="B10">
        <f t="shared" si="0"/>
        <v>28569.600000000002</v>
      </c>
      <c r="C10">
        <v>62</v>
      </c>
      <c r="D10" s="184">
        <v>0.05</v>
      </c>
      <c r="E10" s="184">
        <f t="shared" si="1"/>
        <v>4.6085623567052196E-2</v>
      </c>
      <c r="F10" s="184">
        <v>62</v>
      </c>
      <c r="G10">
        <f t="shared" si="2"/>
        <v>62.000000000000064</v>
      </c>
      <c r="H10" s="146">
        <f t="shared" si="6"/>
        <v>9.7098756965295178E-3</v>
      </c>
      <c r="I10" s="146">
        <f t="shared" si="7"/>
        <v>7.6728740976022404E-7</v>
      </c>
      <c r="J10" s="146">
        <f t="shared" si="8"/>
        <v>8.2478950690880957E-7</v>
      </c>
      <c r="K10" s="146">
        <f t="shared" si="3"/>
        <v>5.2819357330458824E-2</v>
      </c>
      <c r="L10" s="146">
        <f t="shared" si="4"/>
        <v>4.9301503839310357E-3</v>
      </c>
      <c r="M10" s="146">
        <f t="shared" si="5"/>
        <v>2.6818816528704516E-2</v>
      </c>
      <c r="O10" s="157">
        <v>69.444433699664401</v>
      </c>
      <c r="P10" s="157">
        <v>3.9517474546856557E-2</v>
      </c>
      <c r="Q10" s="157">
        <v>49.367118588734272</v>
      </c>
      <c r="R10" s="157">
        <v>8.2313306461443872E-2</v>
      </c>
      <c r="S10" s="157"/>
    </row>
    <row r="11" spans="2:19" x14ac:dyDescent="0.3">
      <c r="D11" s="171" t="s">
        <v>130</v>
      </c>
      <c r="E11" s="170">
        <v>2.0111653701195102E-3</v>
      </c>
      <c r="F11" s="170">
        <v>-3.0709262345742761E-7</v>
      </c>
      <c r="G11" s="169">
        <v>1.4325144135226059E-11</v>
      </c>
      <c r="J11" s="146"/>
      <c r="O11" s="157">
        <v>76.75084997835306</v>
      </c>
      <c r="P11" s="157">
        <v>3.5072283984146982E-2</v>
      </c>
      <c r="Q11" s="157">
        <v>56.494941386998597</v>
      </c>
      <c r="R11" s="157">
        <v>6.3631390354086409E-2</v>
      </c>
      <c r="S11" s="157"/>
    </row>
    <row r="12" spans="2:19" x14ac:dyDescent="0.3">
      <c r="D12" s="167" t="s">
        <v>133</v>
      </c>
      <c r="E12" s="167">
        <v>31.3</v>
      </c>
      <c r="F12" s="167">
        <v>-1.58</v>
      </c>
      <c r="J12" s="146"/>
      <c r="O12" s="157">
        <v>87.210974546743557</v>
      </c>
      <c r="P12" s="157">
        <v>3.0207645977385542E-2</v>
      </c>
      <c r="Q12" s="157">
        <v>66.699385197396992</v>
      </c>
      <c r="R12" s="157">
        <v>4.8062113370621579E-2</v>
      </c>
      <c r="S12" s="157"/>
    </row>
    <row r="13" spans="2:19" x14ac:dyDescent="0.3">
      <c r="D13" s="167" t="s">
        <v>27</v>
      </c>
      <c r="E13" s="167">
        <v>460.8</v>
      </c>
      <c r="J13" s="146"/>
      <c r="O13" s="157">
        <v>93.835177516070971</v>
      </c>
      <c r="P13" s="157">
        <v>2.7768510934620131E-2</v>
      </c>
      <c r="Q13" s="157">
        <v>73.161670282743401</v>
      </c>
      <c r="R13" s="157">
        <v>3.9676981378982325E-2</v>
      </c>
      <c r="S13" s="157"/>
    </row>
    <row r="14" spans="2:19" x14ac:dyDescent="0.3">
      <c r="D14" s="167" t="s">
        <v>92</v>
      </c>
      <c r="E14" s="167">
        <v>6.9658921582847581E-4</v>
      </c>
      <c r="F14" s="167">
        <v>-1.9381907115184841E-7</v>
      </c>
      <c r="G14" s="167">
        <v>1.782679103068748E-11</v>
      </c>
      <c r="J14" s="146"/>
      <c r="O14" s="157">
        <v>95.760447741647312</v>
      </c>
      <c r="P14" s="157">
        <v>2.7131780912102672E-2</v>
      </c>
      <c r="Q14" s="157">
        <v>75.03988040426492</v>
      </c>
      <c r="R14" s="157">
        <v>3.7281900353922377E-2</v>
      </c>
      <c r="S14" s="157"/>
    </row>
    <row r="15" spans="2:19" x14ac:dyDescent="0.3">
      <c r="D15" s="168" t="s">
        <v>202</v>
      </c>
      <c r="E15" s="167">
        <v>-0.65641091051665401</v>
      </c>
      <c r="J15" s="146"/>
      <c r="O15" s="157">
        <v>98.439901626636328</v>
      </c>
      <c r="P15" s="157">
        <v>2.6292721207050156E-2</v>
      </c>
      <c r="Q15" s="157"/>
      <c r="R15" s="157"/>
      <c r="S15" s="157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1"/>
  <sheetViews>
    <sheetView topLeftCell="AA1" workbookViewId="0">
      <pane ySplit="1" topLeftCell="A32" activePane="bottomLeft" state="frozen"/>
      <selection pane="bottomLeft" activeCell="AD42" sqref="AD42"/>
    </sheetView>
  </sheetViews>
  <sheetFormatPr defaultRowHeight="14.4" x14ac:dyDescent="0.3"/>
  <cols>
    <col min="2" max="2" width="7.109375" bestFit="1" customWidth="1"/>
    <col min="3" max="3" width="6.88671875" style="1" customWidth="1"/>
    <col min="4" max="4" width="6.44140625" style="1" customWidth="1"/>
    <col min="5" max="6" width="6.332031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2" width="5.109375" style="1" customWidth="1"/>
    <col min="13" max="13" width="6.6640625" style="1" customWidth="1"/>
    <col min="14" max="14" width="4.6640625" style="1" customWidth="1"/>
    <col min="15" max="15" width="7.33203125" style="1" bestFit="1" customWidth="1"/>
    <col min="16" max="17" width="6.33203125" style="1" customWidth="1"/>
    <col min="18" max="18" width="4.33203125" style="1" customWidth="1"/>
    <col min="19" max="19" width="8" style="1" customWidth="1"/>
    <col min="20" max="20" width="7.6640625" customWidth="1"/>
    <col min="22" max="22" width="9.88671875" bestFit="1" customWidth="1"/>
    <col min="23" max="23" width="10.6640625" customWidth="1"/>
    <col min="24" max="24" width="6.5546875" bestFit="1" customWidth="1"/>
    <col min="25" max="26" width="9.6640625" customWidth="1"/>
    <col min="27" max="27" width="7.88671875" customWidth="1"/>
    <col min="28" max="32" width="10" customWidth="1"/>
    <col min="33" max="34" width="11.5546875" customWidth="1"/>
    <col min="35" max="35" width="8.6640625" customWidth="1"/>
    <col min="36" max="36" width="11.5546875" bestFit="1" customWidth="1"/>
    <col min="37" max="37" width="9.6640625" customWidth="1"/>
    <col min="42" max="42" width="12" bestFit="1" customWidth="1"/>
    <col min="46" max="46" width="12" bestFit="1" customWidth="1"/>
  </cols>
  <sheetData>
    <row r="1" spans="1:49" ht="72" x14ac:dyDescent="0.3">
      <c r="A1" t="s">
        <v>39</v>
      </c>
      <c r="B1" s="74" t="s">
        <v>50</v>
      </c>
      <c r="C1" s="75" t="s">
        <v>0</v>
      </c>
      <c r="D1" s="75" t="s">
        <v>1</v>
      </c>
      <c r="E1" s="75" t="s">
        <v>10</v>
      </c>
      <c r="F1" s="75" t="s">
        <v>11</v>
      </c>
      <c r="G1" s="75" t="s">
        <v>23</v>
      </c>
      <c r="H1" s="75" t="s">
        <v>110</v>
      </c>
      <c r="I1" s="76" t="s">
        <v>2</v>
      </c>
      <c r="J1" s="4" t="s">
        <v>12</v>
      </c>
      <c r="K1" s="4" t="s">
        <v>7</v>
      </c>
      <c r="L1" s="4" t="s">
        <v>61</v>
      </c>
      <c r="M1" s="4" t="s">
        <v>24</v>
      </c>
      <c r="N1" s="4" t="s">
        <v>115</v>
      </c>
      <c r="O1" s="4" t="s">
        <v>25</v>
      </c>
      <c r="P1" s="4" t="s">
        <v>111</v>
      </c>
      <c r="Q1" s="4" t="s">
        <v>26</v>
      </c>
      <c r="R1" s="4" t="s">
        <v>100</v>
      </c>
      <c r="S1" s="4" t="s">
        <v>7</v>
      </c>
      <c r="T1" s="4" t="str">
        <f t="shared" ref="T1:T14" si="0">J1</f>
        <v>Charger Pwr, W</v>
      </c>
      <c r="U1" s="4" t="s">
        <v>45</v>
      </c>
      <c r="V1" s="4" t="s">
        <v>46</v>
      </c>
      <c r="W1" s="4" t="s">
        <v>47</v>
      </c>
      <c r="X1" s="4" t="s">
        <v>78</v>
      </c>
      <c r="Y1" s="4" t="s">
        <v>118</v>
      </c>
      <c r="Z1" s="4" t="s">
        <v>119</v>
      </c>
      <c r="AA1" s="4" t="s">
        <v>120</v>
      </c>
      <c r="AB1" s="4"/>
      <c r="AF1" s="4" t="s">
        <v>66</v>
      </c>
      <c r="AG1" s="4" t="s">
        <v>63</v>
      </c>
      <c r="AH1" s="4" t="s">
        <v>67</v>
      </c>
      <c r="AI1" s="4" t="s">
        <v>64</v>
      </c>
      <c r="AJ1" s="4" t="s">
        <v>107</v>
      </c>
      <c r="AK1" s="4" t="s">
        <v>108</v>
      </c>
      <c r="AL1" s="4" t="s">
        <v>101</v>
      </c>
      <c r="AM1" s="4" t="s">
        <v>102</v>
      </c>
      <c r="AN1" s="4" t="s">
        <v>88</v>
      </c>
      <c r="AO1" s="4" t="s">
        <v>85</v>
      </c>
      <c r="AP1" s="4" t="s">
        <v>84</v>
      </c>
      <c r="AQ1" s="4" t="s">
        <v>81</v>
      </c>
      <c r="AR1" s="4" t="s">
        <v>103</v>
      </c>
      <c r="AS1" s="4" t="s">
        <v>104</v>
      </c>
      <c r="AT1" s="4" t="s">
        <v>105</v>
      </c>
      <c r="AU1" s="4" t="s">
        <v>99</v>
      </c>
      <c r="AV1" s="4" t="s">
        <v>82</v>
      </c>
      <c r="AW1" s="4" t="s">
        <v>83</v>
      </c>
    </row>
    <row r="2" spans="1:49" x14ac:dyDescent="0.3">
      <c r="B2" s="113">
        <f>C2/180+1</f>
        <v>1.0000055555555556</v>
      </c>
      <c r="C2" s="110">
        <v>1E-3</v>
      </c>
      <c r="D2" s="110"/>
      <c r="E2" s="110"/>
      <c r="F2" s="110"/>
      <c r="G2" s="110"/>
      <c r="H2" s="110"/>
      <c r="I2" s="114"/>
      <c r="J2" s="4"/>
      <c r="K2" s="1">
        <f t="shared" ref="K2:K14" si="1">C2</f>
        <v>1E-3</v>
      </c>
      <c r="L2" s="1">
        <f>LN(K2)</f>
        <v>-6.9077552789821368</v>
      </c>
      <c r="M2" s="3"/>
      <c r="N2" s="4"/>
      <c r="O2" s="4">
        <v>0</v>
      </c>
      <c r="P2" s="4">
        <v>0</v>
      </c>
      <c r="Q2" s="3">
        <f t="shared" ref="Q2:Q14" si="2">O2/$W$40*100</f>
        <v>0</v>
      </c>
      <c r="R2" s="3">
        <f t="shared" ref="R2:R14" si="3">P2/$W$40*100</f>
        <v>0</v>
      </c>
      <c r="S2" s="3">
        <f t="shared" ref="S2:S14" si="4">K2</f>
        <v>1E-3</v>
      </c>
      <c r="T2" s="4">
        <f t="shared" si="0"/>
        <v>0</v>
      </c>
      <c r="U2">
        <f>T2*0.001341022</f>
        <v>0</v>
      </c>
      <c r="X2" s="4"/>
      <c r="Y2" s="4"/>
      <c r="Z2" s="4"/>
      <c r="AA2" s="4"/>
      <c r="AB2" s="97"/>
      <c r="AF2" s="95">
        <f t="shared" ref="AF2:AF8" si="5">C2/$AD$32*$AD$27</f>
        <v>2.7777777777777779E-5</v>
      </c>
      <c r="AG2" s="95">
        <f t="shared" ref="AG2:AG14" si="6">AF2/$AD$27*$AD$32</f>
        <v>1E-3</v>
      </c>
      <c r="AH2" s="96">
        <f t="shared" ref="AH2:AH14" si="7">MAX(($AD$35+$AE$35*LN($AG2)),0)</f>
        <v>0</v>
      </c>
      <c r="AI2" s="96">
        <f>MAX(($AD$35+$AE$35*LN($AG2))/$AD$31,0)</f>
        <v>0</v>
      </c>
      <c r="AJ2" s="96">
        <f t="shared" ref="AJ2:AJ14" si="8">($AD$36+$AE$36*AI2*$AD$31)/$AD$31</f>
        <v>-22.202069774198112</v>
      </c>
      <c r="AK2" s="96">
        <f t="shared" ref="AK2:AK14" si="9">($AD$37+$AE$37*AJ2*$AD$31)/$AD$31</f>
        <v>0.53820371820708912</v>
      </c>
      <c r="AM2">
        <f>MAX($AD$36+$AE$36*AH2, 0)</f>
        <v>0</v>
      </c>
      <c r="AN2" s="127">
        <f>MAX($AD$39+$AH2*($AE$39+$AH2*$AF$39), 0)</f>
        <v>0</v>
      </c>
      <c r="AO2" s="127"/>
      <c r="AP2" s="127"/>
      <c r="AR2" s="127">
        <f>MAX($AD$39+$AM2*($AE$39+$AM2*$AF$39), 0)</f>
        <v>0</v>
      </c>
      <c r="AS2" s="127">
        <f>AR2/MAX(AM2,0.00000001)*5252</f>
        <v>0</v>
      </c>
      <c r="AT2" s="127"/>
    </row>
    <row r="3" spans="1:49" x14ac:dyDescent="0.3">
      <c r="B3" s="113">
        <f>C3/180+1</f>
        <v>1.0408972290491105</v>
      </c>
      <c r="C3" s="111">
        <f>EXP((0-$AD$35)/$AE$35)</f>
        <v>7.361501228839896</v>
      </c>
      <c r="D3" s="110"/>
      <c r="E3" s="110"/>
      <c r="F3" s="110"/>
      <c r="G3" s="110"/>
      <c r="H3" s="110"/>
      <c r="I3" s="114"/>
      <c r="J3" s="4"/>
      <c r="K3" s="1">
        <f>C3</f>
        <v>7.361501228839896</v>
      </c>
      <c r="L3" s="1">
        <f>LN(K3)</f>
        <v>1.9962638832512341</v>
      </c>
      <c r="M3" s="3"/>
      <c r="N3" s="4"/>
      <c r="O3" s="4">
        <v>0</v>
      </c>
      <c r="P3" s="4">
        <v>0</v>
      </c>
      <c r="Q3" s="3">
        <f t="shared" si="2"/>
        <v>0</v>
      </c>
      <c r="R3" s="3">
        <f t="shared" si="3"/>
        <v>0</v>
      </c>
      <c r="S3" s="3">
        <f t="shared" si="4"/>
        <v>7.361501228839896</v>
      </c>
      <c r="T3" s="4">
        <f t="shared" si="0"/>
        <v>0</v>
      </c>
      <c r="U3">
        <f>T3*0.001341022</f>
        <v>0</v>
      </c>
      <c r="X3" s="4"/>
      <c r="Y3" s="4"/>
      <c r="Z3" s="4"/>
      <c r="AA3" s="4"/>
      <c r="AB3" s="97"/>
      <c r="AF3" s="95">
        <f t="shared" si="5"/>
        <v>0.20448614524555267</v>
      </c>
      <c r="AG3" s="95">
        <f t="shared" si="6"/>
        <v>7.361501228839896</v>
      </c>
      <c r="AH3" s="96">
        <f t="shared" si="7"/>
        <v>0</v>
      </c>
      <c r="AI3" s="96">
        <f t="shared" ref="AI3:AI14" si="10">MAX(($AD$35+$AE$35*LN(AG3))/$AD$31,0)</f>
        <v>0</v>
      </c>
      <c r="AJ3" s="96">
        <f t="shared" si="8"/>
        <v>-22.202069774198112</v>
      </c>
      <c r="AK3" s="96">
        <f t="shared" si="9"/>
        <v>0.53820371820708912</v>
      </c>
      <c r="AM3">
        <f>MAX($AD$36+$AE$36*AH3, 0)</f>
        <v>0</v>
      </c>
      <c r="AN3" s="127">
        <f t="shared" ref="AN3:AN14" si="11">MAX($AD$39+$AH3*($AE$39+$AH3*$AF$39), 0)</f>
        <v>0</v>
      </c>
      <c r="AO3" s="127"/>
      <c r="AP3" t="e">
        <f>AO3/AH3*2</f>
        <v>#DIV/0!</v>
      </c>
      <c r="AR3" s="127">
        <f t="shared" ref="AR3:AR14" si="12">MAX($AD$39+$AM3*($AE$39+$AM3*$AF$39), 0)</f>
        <v>0</v>
      </c>
      <c r="AS3" s="127">
        <f t="shared" ref="AS3:AS14" si="13">AR3/MAX(AM3,0.00000001)*5252</f>
        <v>0</v>
      </c>
      <c r="AT3" s="127"/>
    </row>
    <row r="4" spans="1:49" x14ac:dyDescent="0.3">
      <c r="B4" s="113">
        <f>C4/180+1</f>
        <v>1.0444444444444445</v>
      </c>
      <c r="C4" s="109">
        <v>8</v>
      </c>
      <c r="D4" s="109">
        <v>3.0000000000000001E-3</v>
      </c>
      <c r="E4" s="109">
        <v>13.8</v>
      </c>
      <c r="F4" s="112">
        <v>0.43</v>
      </c>
      <c r="G4" s="109">
        <v>6700</v>
      </c>
      <c r="H4" s="105">
        <v>100000000</v>
      </c>
      <c r="I4" s="115">
        <v>0</v>
      </c>
      <c r="J4" s="2">
        <f>E4*F4</f>
        <v>5.9340000000000002</v>
      </c>
      <c r="K4" s="1">
        <f t="shared" si="1"/>
        <v>8</v>
      </c>
      <c r="L4" s="1">
        <f>LN(K4)</f>
        <v>2.0794415416798357</v>
      </c>
      <c r="M4" s="3">
        <f t="shared" ref="M4:N13" si="14">1/G4/0.000001</f>
        <v>149.25373134328359</v>
      </c>
      <c r="N4" s="3">
        <f t="shared" si="14"/>
        <v>0.01</v>
      </c>
      <c r="O4" s="3">
        <f t="shared" ref="O4:O13" si="15">M4*60/$W$27</f>
        <v>8955.2238805970155</v>
      </c>
      <c r="P4" s="3">
        <f t="shared" ref="P4:P13" si="16">N4*60/$W$27</f>
        <v>0.6</v>
      </c>
      <c r="Q4" s="3">
        <f t="shared" si="2"/>
        <v>19.434079601990049</v>
      </c>
      <c r="R4" s="3">
        <f t="shared" si="3"/>
        <v>1.3020833333333333E-3</v>
      </c>
      <c r="S4" s="3">
        <f t="shared" si="4"/>
        <v>8</v>
      </c>
      <c r="T4" s="4">
        <f t="shared" si="0"/>
        <v>5.9340000000000002</v>
      </c>
      <c r="U4">
        <f>T4*0.001341022</f>
        <v>7.9576245480000012E-3</v>
      </c>
      <c r="V4" s="127">
        <f t="shared" ref="V4:V13" si="17">U4/O4*5252</f>
        <v>4.6669345940807206E-3</v>
      </c>
      <c r="W4">
        <f t="shared" ref="W4:W13" si="18">-V4/2/O4</f>
        <v>-2.6057051483617353E-7</v>
      </c>
      <c r="X4" s="4"/>
      <c r="Y4" s="4"/>
      <c r="Z4" s="4"/>
      <c r="AA4" s="4"/>
      <c r="AB4" s="97"/>
      <c r="AF4" s="95">
        <f t="shared" si="5"/>
        <v>0.22222222222222224</v>
      </c>
      <c r="AG4" s="95">
        <f t="shared" si="6"/>
        <v>8</v>
      </c>
      <c r="AH4" s="96">
        <f t="shared" si="7"/>
        <v>1180.2918436956534</v>
      </c>
      <c r="AI4" s="96">
        <f t="shared" si="10"/>
        <v>2.5613972302423034</v>
      </c>
      <c r="AJ4" s="96">
        <f t="shared" si="8"/>
        <v>-19.579847910331843</v>
      </c>
      <c r="AK4" s="96">
        <f t="shared" si="9"/>
        <v>3.0771780157392215</v>
      </c>
      <c r="AM4">
        <f>MAX($AD$36+$AE$36*AH4, 0)</f>
        <v>0</v>
      </c>
      <c r="AN4" s="127">
        <f t="shared" si="11"/>
        <v>0</v>
      </c>
      <c r="AO4" s="127">
        <f>AN4/AH4*5252</f>
        <v>0</v>
      </c>
      <c r="AP4">
        <f>AO4/AH4*2</f>
        <v>0</v>
      </c>
      <c r="AQ4" s="95"/>
      <c r="AR4" s="127">
        <f t="shared" si="12"/>
        <v>0</v>
      </c>
      <c r="AS4" s="127">
        <f t="shared" si="13"/>
        <v>0</v>
      </c>
      <c r="AU4" s="95"/>
      <c r="AV4" s="128">
        <f>$W$31/$W$30</f>
        <v>1.0526315789473683E-4</v>
      </c>
      <c r="AW4" t="e">
        <f t="shared" ref="AW4:AW14" si="19">$W$33/$W$30/$W$28/AP4</f>
        <v>#DIV/0!</v>
      </c>
    </row>
    <row r="5" spans="1:49" ht="15" customHeight="1" x14ac:dyDescent="0.3">
      <c r="B5" s="113">
        <f t="shared" ref="B5:B24" si="20">C5/180+1</f>
        <v>1.0722222222222222</v>
      </c>
      <c r="C5" s="73">
        <v>13</v>
      </c>
      <c r="D5" s="109">
        <v>3.0000000000000001E-3</v>
      </c>
      <c r="E5" s="73">
        <v>13.8</v>
      </c>
      <c r="F5" s="106">
        <v>0.53600000000000003</v>
      </c>
      <c r="G5" s="73">
        <v>4620</v>
      </c>
      <c r="H5" s="105">
        <v>100000000</v>
      </c>
      <c r="I5" s="78">
        <v>0</v>
      </c>
      <c r="J5" s="2">
        <f>E5*F5</f>
        <v>7.3968000000000007</v>
      </c>
      <c r="K5" s="1">
        <f t="shared" si="1"/>
        <v>13</v>
      </c>
      <c r="L5" s="1">
        <f t="shared" ref="L5:L14" si="21">LN(K5)</f>
        <v>2.5649493574615367</v>
      </c>
      <c r="M5" s="3">
        <f t="shared" si="14"/>
        <v>216.45021645021646</v>
      </c>
      <c r="N5" s="3">
        <f t="shared" si="14"/>
        <v>0.01</v>
      </c>
      <c r="O5" s="3">
        <f t="shared" si="15"/>
        <v>12987.012987012988</v>
      </c>
      <c r="P5" s="3">
        <f t="shared" si="16"/>
        <v>0.6</v>
      </c>
      <c r="Q5" s="3">
        <f t="shared" si="2"/>
        <v>28.183621933621932</v>
      </c>
      <c r="R5" s="3">
        <f t="shared" si="3"/>
        <v>1.3020833333333333E-3</v>
      </c>
      <c r="S5" s="3">
        <f t="shared" si="4"/>
        <v>13</v>
      </c>
      <c r="T5" s="4">
        <f t="shared" si="0"/>
        <v>7.3968000000000007</v>
      </c>
      <c r="U5">
        <f>T5*0.001341022</f>
        <v>9.9192715296000013E-3</v>
      </c>
      <c r="V5" s="127">
        <f t="shared" si="17"/>
        <v>4.011393083656359E-3</v>
      </c>
      <c r="W5">
        <f t="shared" si="18"/>
        <v>-1.5443863372076981E-7</v>
      </c>
      <c r="AB5" s="97"/>
      <c r="AF5" s="95">
        <f t="shared" si="5"/>
        <v>0.36111111111111105</v>
      </c>
      <c r="AG5" s="95">
        <f t="shared" si="6"/>
        <v>12.999999999999998</v>
      </c>
      <c r="AH5" s="96">
        <f t="shared" si="7"/>
        <v>8069.6528312921109</v>
      </c>
      <c r="AI5" s="96">
        <f t="shared" si="10"/>
        <v>17.512267429019339</v>
      </c>
      <c r="AJ5" s="96">
        <f t="shared" si="8"/>
        <v>-4.2739444541345701</v>
      </c>
      <c r="AK5" s="96">
        <f t="shared" si="9"/>
        <v>17.897165603858483</v>
      </c>
      <c r="AM5">
        <f>MAX($AD$36+$AE$36*AH5, 0)</f>
        <v>0</v>
      </c>
      <c r="AN5" s="127">
        <f t="shared" si="11"/>
        <v>0</v>
      </c>
      <c r="AO5" s="127">
        <f>AN5/AH5*5252</f>
        <v>0</v>
      </c>
      <c r="AP5">
        <f t="shared" ref="AP5:AP14" si="22">AO5/AH5*2</f>
        <v>0</v>
      </c>
      <c r="AQ5" s="95"/>
      <c r="AR5" s="127">
        <f t="shared" si="12"/>
        <v>0</v>
      </c>
      <c r="AS5" s="127">
        <f t="shared" si="13"/>
        <v>0</v>
      </c>
      <c r="AU5" s="95"/>
      <c r="AV5" s="128">
        <f t="shared" ref="AV5:AV14" si="23">$W$31/$W$30</f>
        <v>1.0526315789473683E-4</v>
      </c>
      <c r="AW5" t="e">
        <f t="shared" si="19"/>
        <v>#DIV/0!</v>
      </c>
    </row>
    <row r="6" spans="1:49" ht="15" customHeight="1" x14ac:dyDescent="0.3">
      <c r="B6" s="113">
        <f t="shared" si="20"/>
        <v>1.1388888888888888</v>
      </c>
      <c r="C6" s="73">
        <v>25</v>
      </c>
      <c r="D6" s="109">
        <v>0.66800000000000004</v>
      </c>
      <c r="E6" s="73">
        <v>13.77</v>
      </c>
      <c r="F6" s="106">
        <v>1.48</v>
      </c>
      <c r="G6" s="73">
        <v>3260</v>
      </c>
      <c r="H6" s="105">
        <v>6410</v>
      </c>
      <c r="I6" s="78">
        <v>4.08</v>
      </c>
      <c r="J6" s="2">
        <f>E6*F6</f>
        <v>20.3796</v>
      </c>
      <c r="K6" s="1">
        <f>C6</f>
        <v>25</v>
      </c>
      <c r="L6" s="1">
        <f>LN(K6)</f>
        <v>3.2188758248682006</v>
      </c>
      <c r="M6" s="3">
        <f>1/G6/0.000001</f>
        <v>306.74846625766872</v>
      </c>
      <c r="N6" s="3">
        <f>1/H6/0.000001</f>
        <v>156.00624024960999</v>
      </c>
      <c r="O6" s="3">
        <f t="shared" si="15"/>
        <v>18404.907975460123</v>
      </c>
      <c r="P6" s="3">
        <f t="shared" si="16"/>
        <v>9360.3744149765989</v>
      </c>
      <c r="Q6" s="3">
        <f t="shared" si="2"/>
        <v>39.941206543967276</v>
      </c>
      <c r="R6" s="3">
        <f t="shared" si="3"/>
        <v>20.3133125325013</v>
      </c>
      <c r="S6" s="3">
        <f t="shared" si="4"/>
        <v>25</v>
      </c>
      <c r="T6" s="4">
        <f t="shared" si="0"/>
        <v>20.3796</v>
      </c>
      <c r="U6">
        <f>T6*0.001341022</f>
        <v>2.7329491951200002E-2</v>
      </c>
      <c r="V6" s="127">
        <f t="shared" si="17"/>
        <v>7.7987073838718312E-3</v>
      </c>
      <c r="W6">
        <f t="shared" si="18"/>
        <v>-2.118648839285181E-7</v>
      </c>
      <c r="AB6" s="97"/>
      <c r="AF6" s="95">
        <f t="shared" si="5"/>
        <v>0.69444444444444442</v>
      </c>
      <c r="AG6" s="95">
        <f t="shared" si="6"/>
        <v>25</v>
      </c>
      <c r="AH6" s="96">
        <f t="shared" si="7"/>
        <v>17348.876248230645</v>
      </c>
      <c r="AI6" s="96">
        <f t="shared" si="10"/>
        <v>37.649471024806083</v>
      </c>
      <c r="AJ6" s="96">
        <f t="shared" si="8"/>
        <v>16.341450503953713</v>
      </c>
      <c r="AK6" s="96">
        <f t="shared" si="9"/>
        <v>37.858084492272184</v>
      </c>
      <c r="AM6">
        <f>MAX($AD$36+$AE$36*AH6, 0)</f>
        <v>7530.1403922218742</v>
      </c>
      <c r="AN6" s="127">
        <f t="shared" si="11"/>
        <v>1.4843385324309564E-2</v>
      </c>
      <c r="AO6" s="127">
        <f>AN6/AH6*5252</f>
        <v>4.4935163873351426E-3</v>
      </c>
      <c r="AP6">
        <f t="shared" si="22"/>
        <v>5.1801814976845215E-7</v>
      </c>
      <c r="AQ6" s="95">
        <f t="shared" ref="AQ6:AQ13" si="24">$W$34/AP6</f>
        <v>8.6869543123372139E-2</v>
      </c>
      <c r="AR6" s="127">
        <f t="shared" si="12"/>
        <v>0</v>
      </c>
      <c r="AS6" s="127">
        <f t="shared" si="13"/>
        <v>0</v>
      </c>
      <c r="AT6">
        <f t="shared" ref="AT6:AT14" si="25">AS6/AM6*2</f>
        <v>0</v>
      </c>
      <c r="AU6" s="95"/>
      <c r="AV6" s="128">
        <f t="shared" si="23"/>
        <v>1.0526315789473683E-4</v>
      </c>
      <c r="AW6">
        <f t="shared" si="19"/>
        <v>140.36831132451306</v>
      </c>
    </row>
    <row r="7" spans="1:49" ht="13.95" customHeight="1" x14ac:dyDescent="0.3">
      <c r="B7" s="113">
        <f t="shared" si="20"/>
        <v>1.1944444444444444</v>
      </c>
      <c r="C7" s="73">
        <v>35</v>
      </c>
      <c r="D7" s="73">
        <v>0.98599999999999999</v>
      </c>
      <c r="E7" s="73">
        <v>13.69</v>
      </c>
      <c r="F7" s="73">
        <v>2.19</v>
      </c>
      <c r="G7" s="73">
        <v>2680</v>
      </c>
      <c r="H7" s="73">
        <v>4532</v>
      </c>
      <c r="I7" s="78">
        <v>6.04</v>
      </c>
      <c r="J7" s="2">
        <f t="shared" ref="J7:J13" si="26">E7*F7</f>
        <v>29.981099999999998</v>
      </c>
      <c r="K7" s="1">
        <f t="shared" si="1"/>
        <v>35</v>
      </c>
      <c r="L7" s="1">
        <f t="shared" si="21"/>
        <v>3.5553480614894135</v>
      </c>
      <c r="M7" s="3">
        <f t="shared" si="14"/>
        <v>373.13432835820896</v>
      </c>
      <c r="N7" s="3">
        <f t="shared" si="14"/>
        <v>220.65313327449252</v>
      </c>
      <c r="O7" s="3">
        <f t="shared" si="15"/>
        <v>22388.059701492537</v>
      </c>
      <c r="P7" s="3">
        <f t="shared" si="16"/>
        <v>13239.187996469551</v>
      </c>
      <c r="Q7" s="3">
        <f t="shared" si="2"/>
        <v>48.585199004975124</v>
      </c>
      <c r="R7" s="3">
        <f t="shared" si="3"/>
        <v>28.730876728449545</v>
      </c>
      <c r="S7" s="3">
        <f t="shared" si="4"/>
        <v>35</v>
      </c>
      <c r="T7" s="4">
        <f t="shared" si="0"/>
        <v>29.981099999999998</v>
      </c>
      <c r="U7">
        <f t="shared" ref="U7:U13" si="27">T7*0.001341022</f>
        <v>4.0205314684200001E-2</v>
      </c>
      <c r="V7" s="127">
        <f t="shared" si="17"/>
        <v>9.4317379682233565E-3</v>
      </c>
      <c r="W7">
        <f t="shared" si="18"/>
        <v>-2.106421479569883E-7</v>
      </c>
      <c r="X7">
        <v>0.18</v>
      </c>
      <c r="Y7">
        <f t="shared" ref="Y7:Y12" si="28">-X7*W7</f>
        <v>3.7915586632257891E-8</v>
      </c>
      <c r="Z7">
        <f t="shared" ref="Z7:Z12" si="29">Y7/6.66*2048.5</f>
        <v>1.1662174056483527E-5</v>
      </c>
      <c r="AA7">
        <f t="shared" ref="AA7:AA12" si="30">Z7*144</f>
        <v>1.6793530641336278E-3</v>
      </c>
      <c r="AB7" s="97"/>
      <c r="AF7" s="95">
        <f t="shared" si="5"/>
        <v>0.97222222222222221</v>
      </c>
      <c r="AG7" s="95">
        <f t="shared" si="6"/>
        <v>35</v>
      </c>
      <c r="AH7" s="96">
        <f t="shared" si="7"/>
        <v>22123.420807632323</v>
      </c>
      <c r="AI7" s="96">
        <f t="shared" si="10"/>
        <v>48.010895849896535</v>
      </c>
      <c r="AJ7" s="96">
        <f t="shared" si="8"/>
        <v>26.948924579573251</v>
      </c>
      <c r="AK7" s="96">
        <f t="shared" si="9"/>
        <v>48.128803538153008</v>
      </c>
      <c r="AM7">
        <f t="shared" ref="AM7:AM14" si="31">MAX($AD$36+$AE$36*AH7, 0)</f>
        <v>12418.064446267355</v>
      </c>
      <c r="AN7" s="127">
        <f t="shared" si="11"/>
        <v>3.8056725878256127E-2</v>
      </c>
      <c r="AO7" s="127">
        <f>AN7/AH7*5252</f>
        <v>9.0344945318604156E-3</v>
      </c>
      <c r="AP7">
        <f t="shared" si="22"/>
        <v>8.1673576707844562E-7</v>
      </c>
      <c r="AQ7" s="95">
        <f t="shared" si="24"/>
        <v>5.5097378875630716E-2</v>
      </c>
      <c r="AR7" s="127">
        <f t="shared" si="12"/>
        <v>0</v>
      </c>
      <c r="AS7" s="127">
        <f t="shared" si="13"/>
        <v>0</v>
      </c>
      <c r="AT7">
        <f t="shared" si="25"/>
        <v>0</v>
      </c>
      <c r="AU7" s="95"/>
      <c r="AV7" s="128">
        <f t="shared" si="23"/>
        <v>1.0526315789473683E-4</v>
      </c>
      <c r="AW7">
        <f t="shared" si="19"/>
        <v>89.02920118038908</v>
      </c>
    </row>
    <row r="8" spans="1:49" ht="13.95" customHeight="1" x14ac:dyDescent="0.3">
      <c r="B8" s="113">
        <f>C8/180+1</f>
        <v>1.3</v>
      </c>
      <c r="C8" s="73">
        <v>54</v>
      </c>
      <c r="D8" s="73">
        <v>1.375</v>
      </c>
      <c r="E8" s="73">
        <v>13.62</v>
      </c>
      <c r="F8" s="73">
        <v>3.93</v>
      </c>
      <c r="G8" s="73">
        <v>2150</v>
      </c>
      <c r="H8" s="73">
        <v>3180</v>
      </c>
      <c r="I8" s="78">
        <v>8.24</v>
      </c>
      <c r="J8" s="2">
        <f>E8*F8</f>
        <v>53.526600000000002</v>
      </c>
      <c r="K8" s="1">
        <f>C8</f>
        <v>54</v>
      </c>
      <c r="L8" s="1">
        <f>LN(K8)</f>
        <v>3.9889840465642745</v>
      </c>
      <c r="M8" s="3">
        <f>1/G8/0.000001</f>
        <v>465.11627906976747</v>
      </c>
      <c r="N8" s="3">
        <f>1/H8/0.000001</f>
        <v>314.46540880503147</v>
      </c>
      <c r="O8" s="3">
        <f t="shared" si="15"/>
        <v>27906.976744186049</v>
      </c>
      <c r="P8" s="3">
        <f t="shared" si="16"/>
        <v>18867.92452830189</v>
      </c>
      <c r="Q8" s="3">
        <f t="shared" si="2"/>
        <v>60.562015503875976</v>
      </c>
      <c r="R8" s="3">
        <f t="shared" si="3"/>
        <v>40.946016771488473</v>
      </c>
      <c r="S8" s="3">
        <f t="shared" si="4"/>
        <v>54</v>
      </c>
      <c r="T8" s="4">
        <f t="shared" si="0"/>
        <v>53.526600000000002</v>
      </c>
      <c r="U8">
        <f>T8*0.001341022</f>
        <v>7.1780348185200002E-2</v>
      </c>
      <c r="V8" s="127">
        <f t="shared" si="17"/>
        <v>1.3508822260627353E-2</v>
      </c>
      <c r="W8">
        <f t="shared" si="18"/>
        <v>-2.4203306550290671E-7</v>
      </c>
      <c r="X8">
        <v>0.18</v>
      </c>
      <c r="Y8">
        <f>-X8*W8</f>
        <v>4.3565951790523206E-8</v>
      </c>
      <c r="Z8">
        <f>Y8/6.66*2048.5</f>
        <v>1.3400127964397415E-5</v>
      </c>
      <c r="AA8">
        <f>Z8*144</f>
        <v>1.9296184268732279E-3</v>
      </c>
      <c r="AB8" s="97"/>
      <c r="AF8" s="95">
        <f t="shared" si="5"/>
        <v>1.5</v>
      </c>
      <c r="AG8" s="95">
        <f t="shared" si="6"/>
        <v>54</v>
      </c>
      <c r="AH8" s="96">
        <f t="shared" si="7"/>
        <v>28276.719974572956</v>
      </c>
      <c r="AI8" s="96">
        <f t="shared" si="10"/>
        <v>61.364409667042004</v>
      </c>
      <c r="AJ8" s="96">
        <f t="shared" si="8"/>
        <v>40.619539772456378</v>
      </c>
      <c r="AK8" s="96">
        <f t="shared" si="9"/>
        <v>61.365418290119948</v>
      </c>
      <c r="AM8">
        <f t="shared" si="31"/>
        <v>18717.4839271479</v>
      </c>
      <c r="AN8" s="127">
        <f t="shared" si="11"/>
        <v>8.0150286593492603E-2</v>
      </c>
      <c r="AO8" s="127">
        <f>AN8/AH8*5252</f>
        <v>1.488677985167834E-2</v>
      </c>
      <c r="AP8">
        <f t="shared" si="22"/>
        <v>1.0529354087082843E-6</v>
      </c>
      <c r="AQ8" s="95">
        <f t="shared" si="24"/>
        <v>4.2737664274397333E-2</v>
      </c>
      <c r="AR8" s="127">
        <f t="shared" si="12"/>
        <v>2.0653285932688642E-2</v>
      </c>
      <c r="AS8" s="127">
        <f t="shared" si="13"/>
        <v>5.7951730126052873E-3</v>
      </c>
      <c r="AT8">
        <f t="shared" si="25"/>
        <v>6.1922564327141741E-7</v>
      </c>
      <c r="AU8" s="95">
        <f t="shared" ref="AU8:AU13" si="32">$W$34/AT8</f>
        <v>7.2671409023472425E-2</v>
      </c>
      <c r="AV8" s="128">
        <f t="shared" si="23"/>
        <v>1.0526315789473683E-4</v>
      </c>
      <c r="AW8">
        <f t="shared" si="19"/>
        <v>69.057733567578751</v>
      </c>
    </row>
    <row r="9" spans="1:49" ht="13.95" customHeight="1" x14ac:dyDescent="0.3">
      <c r="B9" s="113">
        <f>C9/180+1</f>
        <v>1.3555555555555556</v>
      </c>
      <c r="C9" s="73">
        <v>64</v>
      </c>
      <c r="D9" s="73">
        <v>1.49</v>
      </c>
      <c r="E9" s="73">
        <v>13.54</v>
      </c>
      <c r="F9" s="73">
        <v>4.6100000000000003</v>
      </c>
      <c r="G9" s="73">
        <v>2020</v>
      </c>
      <c r="H9" s="73">
        <v>2850</v>
      </c>
      <c r="I9" s="78">
        <v>8.8000000000000007</v>
      </c>
      <c r="J9" s="2">
        <f>E9*F9</f>
        <v>62.419400000000003</v>
      </c>
      <c r="K9" s="1">
        <f>C9</f>
        <v>64</v>
      </c>
      <c r="L9" s="1">
        <f>LN(K9)</f>
        <v>4.1588830833596715</v>
      </c>
      <c r="M9" s="3">
        <f>1/G9/0.000001</f>
        <v>495.04950495049508</v>
      </c>
      <c r="N9" s="3">
        <f>1/H9/0.000001</f>
        <v>350.87719298245611</v>
      </c>
      <c r="O9" s="3">
        <f t="shared" si="15"/>
        <v>29702.970297029704</v>
      </c>
      <c r="P9" s="3">
        <f t="shared" si="16"/>
        <v>21052.631578947367</v>
      </c>
      <c r="Q9" s="3">
        <f t="shared" si="2"/>
        <v>64.459570957095707</v>
      </c>
      <c r="R9" s="3">
        <f t="shared" si="3"/>
        <v>45.687134502923968</v>
      </c>
      <c r="S9" s="3">
        <f t="shared" si="4"/>
        <v>64</v>
      </c>
      <c r="T9" s="4">
        <f t="shared" si="0"/>
        <v>62.419400000000003</v>
      </c>
      <c r="U9">
        <f>T9*0.001341022</f>
        <v>8.3705788626800004E-2</v>
      </c>
      <c r="V9" s="127">
        <f t="shared" si="17"/>
        <v>1.4800634329554439E-2</v>
      </c>
      <c r="W9">
        <f t="shared" si="18"/>
        <v>-2.4914401121416636E-7</v>
      </c>
      <c r="X9">
        <v>0.18</v>
      </c>
      <c r="Y9">
        <f>-X9*W9</f>
        <v>4.484592201854994E-8</v>
      </c>
      <c r="Z9">
        <f>Y9/6.66*2048.5</f>
        <v>1.3793824512762695E-5</v>
      </c>
      <c r="AA9">
        <f>Z9*144</f>
        <v>1.986310729837828E-3</v>
      </c>
      <c r="AB9" s="97"/>
      <c r="AF9" s="95"/>
      <c r="AG9" s="134">
        <v>70.201599999999999</v>
      </c>
      <c r="AH9" s="135">
        <f t="shared" si="7"/>
        <v>31999.995048805355</v>
      </c>
      <c r="AI9" s="135">
        <f t="shared" si="10"/>
        <v>69.444433699664401</v>
      </c>
      <c r="AJ9" s="135">
        <f t="shared" si="8"/>
        <v>48.891437402681838</v>
      </c>
      <c r="AK9" s="135">
        <f t="shared" si="9"/>
        <v>69.374708336993905</v>
      </c>
      <c r="AL9" s="136"/>
      <c r="AM9" s="136">
        <f t="shared" si="31"/>
        <v>22529.174355155788</v>
      </c>
      <c r="AN9" s="137">
        <f t="shared" si="11"/>
        <v>0.11227974297099894</v>
      </c>
      <c r="AO9" s="137">
        <f t="shared" ref="AO9:AO14" si="33">AN9/AH9*5252</f>
        <v>1.8427915666371371E-2</v>
      </c>
      <c r="AP9" s="136">
        <f t="shared" si="22"/>
        <v>1.1517449073517487E-6</v>
      </c>
      <c r="AQ9" s="134">
        <f t="shared" si="24"/>
        <v>3.9071151704477884E-2</v>
      </c>
      <c r="AR9" s="137">
        <f t="shared" si="12"/>
        <v>4.0410093517432376E-2</v>
      </c>
      <c r="AS9" s="137">
        <f t="shared" si="13"/>
        <v>9.4203989816868394E-3</v>
      </c>
      <c r="AT9" s="136">
        <f t="shared" si="25"/>
        <v>8.3628444018242383E-7</v>
      </c>
      <c r="AU9" s="134">
        <f t="shared" si="32"/>
        <v>5.3809443100703722E-2</v>
      </c>
      <c r="AV9" s="138">
        <f t="shared" si="23"/>
        <v>1.0526315789473683E-4</v>
      </c>
      <c r="AW9" s="136">
        <f t="shared" si="19"/>
        <v>63.133192475440495</v>
      </c>
    </row>
    <row r="10" spans="1:49" ht="13.95" customHeight="1" x14ac:dyDescent="0.3">
      <c r="B10" s="113">
        <f t="shared" si="20"/>
        <v>1.4944444444444445</v>
      </c>
      <c r="C10" s="73">
        <v>89</v>
      </c>
      <c r="D10" s="73">
        <v>1.81</v>
      </c>
      <c r="E10" s="73">
        <v>13.45</v>
      </c>
      <c r="F10" s="73">
        <v>6.61</v>
      </c>
      <c r="G10" s="73">
        <v>1770</v>
      </c>
      <c r="H10" s="73">
        <v>2400</v>
      </c>
      <c r="I10" s="78">
        <v>10.8</v>
      </c>
      <c r="J10" s="2">
        <f t="shared" si="26"/>
        <v>88.904499999999999</v>
      </c>
      <c r="K10" s="1">
        <f t="shared" si="1"/>
        <v>89</v>
      </c>
      <c r="L10" s="1">
        <f t="shared" si="21"/>
        <v>4.4886363697321396</v>
      </c>
      <c r="M10" s="3">
        <f t="shared" si="14"/>
        <v>564.9717514124294</v>
      </c>
      <c r="N10" s="3">
        <f t="shared" si="14"/>
        <v>416.66666666666669</v>
      </c>
      <c r="O10" s="3">
        <f t="shared" si="15"/>
        <v>33898.305084745763</v>
      </c>
      <c r="P10" s="3">
        <f t="shared" si="16"/>
        <v>25000</v>
      </c>
      <c r="Q10" s="3">
        <f t="shared" si="2"/>
        <v>73.56403013182674</v>
      </c>
      <c r="R10" s="3">
        <f t="shared" si="3"/>
        <v>54.253472222222221</v>
      </c>
      <c r="S10" s="3">
        <f t="shared" si="4"/>
        <v>89</v>
      </c>
      <c r="T10" s="4">
        <f t="shared" si="0"/>
        <v>88.904499999999999</v>
      </c>
      <c r="U10">
        <f t="shared" si="27"/>
        <v>0.11922289039900001</v>
      </c>
      <c r="V10" s="127">
        <f t="shared" si="17"/>
        <v>1.8471679301078667E-2</v>
      </c>
      <c r="W10">
        <f t="shared" si="18"/>
        <v>-2.7245726969091031E-7</v>
      </c>
      <c r="X10">
        <v>0.18</v>
      </c>
      <c r="Y10">
        <f t="shared" si="28"/>
        <v>4.9042308544363851E-8</v>
      </c>
      <c r="Z10">
        <f t="shared" si="29"/>
        <v>1.508455991788729E-5</v>
      </c>
      <c r="AA10">
        <f t="shared" si="30"/>
        <v>2.1721766281757697E-3</v>
      </c>
      <c r="AB10" s="97"/>
      <c r="AF10" s="95">
        <f>C10/$AD$32*$AD$27</f>
        <v>2.4722222222222223</v>
      </c>
      <c r="AG10" s="95">
        <f t="shared" si="6"/>
        <v>89</v>
      </c>
      <c r="AH10" s="96">
        <f t="shared" si="7"/>
        <v>35366.791670025093</v>
      </c>
      <c r="AI10" s="96">
        <f t="shared" si="10"/>
        <v>76.75084997835306</v>
      </c>
      <c r="AJ10" s="96">
        <f t="shared" si="8"/>
        <v>56.37135667731674</v>
      </c>
      <c r="AK10" s="96">
        <f t="shared" si="9"/>
        <v>76.617162931553622</v>
      </c>
      <c r="AM10">
        <f t="shared" si="31"/>
        <v>25975.921156907556</v>
      </c>
      <c r="AN10" s="127">
        <f t="shared" si="11"/>
        <v>0.14565577213038161</v>
      </c>
      <c r="AO10" s="127">
        <f t="shared" si="33"/>
        <v>2.1630011632554215E-2</v>
      </c>
      <c r="AP10">
        <f t="shared" si="22"/>
        <v>1.2231820083859401E-6</v>
      </c>
      <c r="AQ10" s="95">
        <f t="shared" si="24"/>
        <v>3.6789291938147554E-2</v>
      </c>
      <c r="AR10" s="127">
        <f t="shared" si="12"/>
        <v>6.2805810923551059E-2</v>
      </c>
      <c r="AS10" s="127">
        <f t="shared" si="13"/>
        <v>1.2698534037657191E-2</v>
      </c>
      <c r="AT10">
        <f t="shared" si="25"/>
        <v>9.7771578231637638E-7</v>
      </c>
      <c r="AU10" s="95">
        <f t="shared" si="32"/>
        <v>4.6025645503427672E-2</v>
      </c>
      <c r="AV10" s="128">
        <f t="shared" si="23"/>
        <v>1.0526315789473683E-4</v>
      </c>
      <c r="AW10">
        <f t="shared" si="19"/>
        <v>59.446045167387481</v>
      </c>
    </row>
    <row r="11" spans="1:49" ht="13.95" customHeight="1" x14ac:dyDescent="0.3">
      <c r="B11" s="113">
        <f>C11/180+1</f>
        <v>1.6944444444444444</v>
      </c>
      <c r="C11" s="73">
        <v>125</v>
      </c>
      <c r="D11" s="73">
        <v>2.16</v>
      </c>
      <c r="E11" s="73">
        <v>13.2</v>
      </c>
      <c r="F11" s="73">
        <v>10.3</v>
      </c>
      <c r="G11" s="73">
        <v>1520</v>
      </c>
      <c r="H11" s="73">
        <v>2000</v>
      </c>
      <c r="I11" s="78">
        <v>14</v>
      </c>
      <c r="J11" s="2">
        <f>E11*F11</f>
        <v>135.96</v>
      </c>
      <c r="K11" s="1">
        <f>C11</f>
        <v>125</v>
      </c>
      <c r="L11" s="1">
        <f>LN(K11)</f>
        <v>4.8283137373023015</v>
      </c>
      <c r="M11" s="3">
        <f>1/G11/0.000001</f>
        <v>657.89473684210532</v>
      </c>
      <c r="N11" s="3">
        <f>1/H11/0.000001</f>
        <v>500.00000000000006</v>
      </c>
      <c r="O11" s="3">
        <f>M11*60/$W$27</f>
        <v>39473.68421052632</v>
      </c>
      <c r="P11" s="3">
        <f>N11*60/$W$27</f>
        <v>30000.000000000004</v>
      </c>
      <c r="Q11" s="3">
        <f t="shared" si="2"/>
        <v>85.663377192982466</v>
      </c>
      <c r="R11" s="3">
        <f t="shared" si="3"/>
        <v>65.104166666666671</v>
      </c>
      <c r="S11" s="3">
        <f>K11</f>
        <v>125</v>
      </c>
      <c r="T11" s="4">
        <f>J11</f>
        <v>135.96</v>
      </c>
      <c r="U11">
        <f>T11*0.001341022</f>
        <v>0.18232535112000003</v>
      </c>
      <c r="V11" s="127">
        <f>U11/O11*5252</f>
        <v>2.4258509516750081E-2</v>
      </c>
      <c r="W11">
        <f>-V11/2/O11</f>
        <v>-3.072744538788343E-7</v>
      </c>
      <c r="X11">
        <v>0.14000000000000001</v>
      </c>
      <c r="Y11">
        <f>-X11*W11</f>
        <v>4.3018423543036807E-8</v>
      </c>
      <c r="Z11">
        <f>Y11/6.66*2048.5</f>
        <v>1.3231717811998633E-5</v>
      </c>
      <c r="AA11">
        <f>Z11*144</f>
        <v>1.9053673649278033E-3</v>
      </c>
      <c r="AB11" s="97"/>
      <c r="AF11" s="95">
        <f>C11/$AD$32*$AD$27</f>
        <v>3.4722222222222223</v>
      </c>
      <c r="AG11" s="95">
        <f t="shared" si="6"/>
        <v>125</v>
      </c>
      <c r="AH11" s="96">
        <f t="shared" si="7"/>
        <v>40186.817071139434</v>
      </c>
      <c r="AI11" s="96">
        <f>MAX(($AD$35+$AE$35*LN(AG11))/$AD$31,0)</f>
        <v>87.210974546743557</v>
      </c>
      <c r="AJ11" s="96">
        <f t="shared" si="8"/>
        <v>67.079874285654896</v>
      </c>
      <c r="AK11" s="96">
        <f t="shared" si="9"/>
        <v>86.985717685403912</v>
      </c>
      <c r="AM11">
        <f t="shared" si="31"/>
        <v>30910.406070829777</v>
      </c>
      <c r="AN11" s="127">
        <f t="shared" si="11"/>
        <v>0.20058398668919561</v>
      </c>
      <c r="AO11" s="127">
        <f t="shared" si="33"/>
        <v>2.621424573702338E-2</v>
      </c>
      <c r="AP11">
        <f t="shared" si="22"/>
        <v>1.3046191585971313E-6</v>
      </c>
      <c r="AQ11" s="95">
        <f t="shared" si="24"/>
        <v>3.4492824747713272E-2</v>
      </c>
      <c r="AR11" s="127">
        <f t="shared" si="12"/>
        <v>0.10235763443239904</v>
      </c>
      <c r="AS11" s="127">
        <f t="shared" si="13"/>
        <v>1.7391628398770127E-2</v>
      </c>
      <c r="AT11">
        <f t="shared" si="25"/>
        <v>1.1252927806200935E-6</v>
      </c>
      <c r="AU11" s="95">
        <f t="shared" si="32"/>
        <v>3.9989592730882637E-2</v>
      </c>
      <c r="AV11" s="128">
        <f t="shared" si="23"/>
        <v>1.0526315789473683E-4</v>
      </c>
      <c r="AW11">
        <f t="shared" si="19"/>
        <v>55.735294426179998</v>
      </c>
    </row>
    <row r="12" spans="1:49" ht="13.95" customHeight="1" x14ac:dyDescent="0.3">
      <c r="B12" s="113">
        <f t="shared" si="20"/>
        <v>1.8611111111111112</v>
      </c>
      <c r="C12" s="73">
        <v>155</v>
      </c>
      <c r="D12" s="73">
        <v>2.5299999999999998</v>
      </c>
      <c r="E12" s="73">
        <v>12.85</v>
      </c>
      <c r="F12" s="73">
        <v>15</v>
      </c>
      <c r="G12" s="73">
        <v>1364</v>
      </c>
      <c r="H12" s="73">
        <v>1740</v>
      </c>
      <c r="I12" s="78">
        <v>15.8</v>
      </c>
      <c r="J12" s="2">
        <f t="shared" si="26"/>
        <v>192.75</v>
      </c>
      <c r="K12" s="1">
        <f t="shared" si="1"/>
        <v>155</v>
      </c>
      <c r="L12" s="1">
        <f t="shared" si="21"/>
        <v>5.0434251169192468</v>
      </c>
      <c r="M12" s="3">
        <f t="shared" si="14"/>
        <v>733.13782991202345</v>
      </c>
      <c r="N12" s="3">
        <f t="shared" si="14"/>
        <v>574.71264367816093</v>
      </c>
      <c r="O12" s="3">
        <f t="shared" si="15"/>
        <v>43988.269794721404</v>
      </c>
      <c r="P12" s="3">
        <f t="shared" si="16"/>
        <v>34482.758620689652</v>
      </c>
      <c r="Q12" s="3">
        <f t="shared" si="2"/>
        <v>95.460654936461381</v>
      </c>
      <c r="R12" s="3">
        <f t="shared" si="3"/>
        <v>74.83237547892719</v>
      </c>
      <c r="S12" s="3">
        <f t="shared" si="4"/>
        <v>155</v>
      </c>
      <c r="T12" s="4">
        <f t="shared" si="0"/>
        <v>192.75</v>
      </c>
      <c r="U12">
        <f t="shared" si="27"/>
        <v>0.25848199050000004</v>
      </c>
      <c r="V12" s="127">
        <f t="shared" si="17"/>
        <v>3.0861577880676404E-2</v>
      </c>
      <c r="W12">
        <f t="shared" si="18"/>
        <v>-3.5079326857702185E-7</v>
      </c>
      <c r="X12">
        <v>0.14000000000000001</v>
      </c>
      <c r="Y12">
        <f t="shared" si="28"/>
        <v>4.9111057600783063E-8</v>
      </c>
      <c r="Z12">
        <f t="shared" si="29"/>
        <v>1.5105705930210826E-5</v>
      </c>
      <c r="AA12">
        <f t="shared" si="30"/>
        <v>2.1752216539503589E-3</v>
      </c>
      <c r="AB12" s="97"/>
      <c r="AF12" s="95">
        <f>C12/$AD$32*$AD$27</f>
        <v>4.3055555555555554</v>
      </c>
      <c r="AG12" s="95">
        <f t="shared" si="6"/>
        <v>155</v>
      </c>
      <c r="AH12" s="96">
        <f t="shared" si="7"/>
        <v>43239.249799405501</v>
      </c>
      <c r="AI12" s="96">
        <f t="shared" si="10"/>
        <v>93.835177516070971</v>
      </c>
      <c r="AJ12" s="96">
        <f t="shared" si="8"/>
        <v>73.861379962232448</v>
      </c>
      <c r="AK12" s="96">
        <f t="shared" si="9"/>
        <v>93.551931188792182</v>
      </c>
      <c r="AM12">
        <f t="shared" si="31"/>
        <v>34035.323886596707</v>
      </c>
      <c r="AN12" s="127">
        <f t="shared" si="11"/>
        <v>0.23972060902426137</v>
      </c>
      <c r="AO12" s="127">
        <f t="shared" si="33"/>
        <v>2.911735620844955E-2</v>
      </c>
      <c r="AP12">
        <f t="shared" si="22"/>
        <v>1.3468020996446561E-6</v>
      </c>
      <c r="AQ12" s="95">
        <f t="shared" si="24"/>
        <v>3.3412481322885462E-2</v>
      </c>
      <c r="AR12" s="127">
        <f t="shared" si="12"/>
        <v>0.13196579932248606</v>
      </c>
      <c r="AS12" s="127">
        <f t="shared" si="13"/>
        <v>2.0363678052572821E-2</v>
      </c>
      <c r="AT12">
        <f t="shared" si="25"/>
        <v>1.1966202008491623E-6</v>
      </c>
      <c r="AU12" s="95">
        <f t="shared" si="32"/>
        <v>3.7605917038728308E-2</v>
      </c>
      <c r="AV12" s="128">
        <f t="shared" si="23"/>
        <v>1.0526315789473683E-4</v>
      </c>
      <c r="AW12">
        <f t="shared" si="19"/>
        <v>53.989619512496461</v>
      </c>
    </row>
    <row r="13" spans="1:49" ht="13.95" customHeight="1" x14ac:dyDescent="0.3">
      <c r="B13" s="113">
        <f t="shared" si="20"/>
        <v>1.9166666666666665</v>
      </c>
      <c r="C13" s="73">
        <v>165</v>
      </c>
      <c r="D13" s="73">
        <v>2.63</v>
      </c>
      <c r="E13" s="73">
        <v>12.75</v>
      </c>
      <c r="F13" s="73">
        <v>16.399999999999999</v>
      </c>
      <c r="G13" s="73">
        <v>1316</v>
      </c>
      <c r="H13" s="73">
        <v>1680</v>
      </c>
      <c r="I13" s="78">
        <v>17.2</v>
      </c>
      <c r="J13" s="2">
        <f t="shared" si="26"/>
        <v>209.1</v>
      </c>
      <c r="K13" s="1">
        <f t="shared" si="1"/>
        <v>165</v>
      </c>
      <c r="L13" s="1">
        <f t="shared" si="21"/>
        <v>5.1059454739005803</v>
      </c>
      <c r="M13" s="3">
        <f t="shared" si="14"/>
        <v>759.87841945288756</v>
      </c>
      <c r="N13" s="3">
        <f t="shared" si="14"/>
        <v>595.2380952380953</v>
      </c>
      <c r="O13" s="3">
        <f t="shared" si="15"/>
        <v>45592.705167173255</v>
      </c>
      <c r="P13" s="3">
        <f t="shared" si="16"/>
        <v>35714.285714285717</v>
      </c>
      <c r="Q13" s="3">
        <f t="shared" si="2"/>
        <v>98.942502532928074</v>
      </c>
      <c r="R13" s="3">
        <f t="shared" si="3"/>
        <v>77.504960317460331</v>
      </c>
      <c r="S13" s="3">
        <f t="shared" si="4"/>
        <v>165</v>
      </c>
      <c r="T13" s="4">
        <f t="shared" si="0"/>
        <v>209.1</v>
      </c>
      <c r="U13">
        <f t="shared" si="27"/>
        <v>0.2804077002</v>
      </c>
      <c r="V13" s="127">
        <f t="shared" si="17"/>
        <v>3.2301247229145437E-2</v>
      </c>
      <c r="W13">
        <f t="shared" si="18"/>
        <v>-3.5423701127962827E-7</v>
      </c>
      <c r="AB13" s="97"/>
      <c r="AF13" s="95">
        <f>C13/$AD$32*$AD$27</f>
        <v>4.583333333333333</v>
      </c>
      <c r="AG13" s="95">
        <f t="shared" si="6"/>
        <v>165</v>
      </c>
      <c r="AH13" s="96">
        <f t="shared" si="7"/>
        <v>44126.414319351083</v>
      </c>
      <c r="AI13" s="96">
        <f t="shared" si="10"/>
        <v>95.760447741647312</v>
      </c>
      <c r="AJ13" s="96">
        <f t="shared" si="8"/>
        <v>75.832368928625399</v>
      </c>
      <c r="AK13" s="96">
        <f t="shared" si="9"/>
        <v>95.460347252035845</v>
      </c>
      <c r="AM13">
        <f t="shared" si="31"/>
        <v>34943.555602310582</v>
      </c>
      <c r="AN13" s="127">
        <f t="shared" si="11"/>
        <v>0.2517282669713366</v>
      </c>
      <c r="AO13" s="127">
        <f t="shared" si="33"/>
        <v>2.996112143999155E-2</v>
      </c>
      <c r="AP13">
        <f t="shared" si="22"/>
        <v>1.3579676437408819E-6</v>
      </c>
      <c r="AQ13" s="95">
        <f t="shared" si="24"/>
        <v>3.3137755680272003E-2</v>
      </c>
      <c r="AR13" s="127">
        <f t="shared" si="12"/>
        <v>0.14123450569139354</v>
      </c>
      <c r="AS13" s="127">
        <f t="shared" si="13"/>
        <v>2.1227479891661367E-2</v>
      </c>
      <c r="AT13">
        <f t="shared" si="25"/>
        <v>1.2149582105066456E-6</v>
      </c>
      <c r="AU13" s="95">
        <f t="shared" si="32"/>
        <v>3.7038310956584011E-2</v>
      </c>
      <c r="AV13" s="128">
        <f t="shared" si="23"/>
        <v>1.0526315789473683E-4</v>
      </c>
      <c r="AW13">
        <f t="shared" si="19"/>
        <v>53.545703576661204</v>
      </c>
    </row>
    <row r="14" spans="1:49" ht="13.95" customHeight="1" thickBot="1" x14ac:dyDescent="0.35">
      <c r="B14" s="116">
        <f t="shared" si="20"/>
        <v>2</v>
      </c>
      <c r="C14" s="117">
        <v>180</v>
      </c>
      <c r="D14" s="117"/>
      <c r="E14" s="117"/>
      <c r="F14" s="117"/>
      <c r="G14" s="117"/>
      <c r="H14" s="117"/>
      <c r="I14" s="118"/>
      <c r="K14" s="1">
        <f t="shared" si="1"/>
        <v>180</v>
      </c>
      <c r="L14" s="1">
        <f t="shared" si="21"/>
        <v>5.1929568508902104</v>
      </c>
      <c r="O14" s="3">
        <f>AI14*$AD$31</f>
        <v>45361.106669554021</v>
      </c>
      <c r="P14" s="3">
        <f>N14*60/$W$27</f>
        <v>0</v>
      </c>
      <c r="Q14" s="3">
        <f t="shared" si="2"/>
        <v>98.439901626636328</v>
      </c>
      <c r="R14" s="3">
        <f t="shared" si="3"/>
        <v>0</v>
      </c>
      <c r="S14" s="1">
        <f t="shared" si="4"/>
        <v>180</v>
      </c>
      <c r="T14" s="4">
        <f t="shared" si="0"/>
        <v>0</v>
      </c>
      <c r="U14">
        <f>T14*0.001341022</f>
        <v>0</v>
      </c>
      <c r="AB14" s="97"/>
      <c r="AF14" s="95">
        <f>C14/$AD$32*$AD$27</f>
        <v>5</v>
      </c>
      <c r="AG14" s="95">
        <f t="shared" si="6"/>
        <v>180</v>
      </c>
      <c r="AH14" s="96">
        <f t="shared" si="7"/>
        <v>45361.106669554021</v>
      </c>
      <c r="AI14" s="96">
        <f t="shared" si="10"/>
        <v>98.439901626636328</v>
      </c>
      <c r="AJ14" s="96">
        <f t="shared" si="8"/>
        <v>78.575450898685531</v>
      </c>
      <c r="AK14" s="96">
        <f t="shared" si="9"/>
        <v>98.116344715094769</v>
      </c>
      <c r="AM14">
        <f t="shared" si="31"/>
        <v>36207.567774114286</v>
      </c>
      <c r="AN14" s="127">
        <f t="shared" si="11"/>
        <v>0.26891409453189768</v>
      </c>
      <c r="AO14" s="127">
        <f t="shared" si="33"/>
        <v>3.1135413753683283E-2</v>
      </c>
      <c r="AP14">
        <f t="shared" si="22"/>
        <v>1.3727801651973849E-6</v>
      </c>
      <c r="AR14" s="127">
        <f t="shared" si="12"/>
        <v>0.15463125520306809</v>
      </c>
      <c r="AS14" s="127">
        <f t="shared" si="13"/>
        <v>2.2429657727717388E-2</v>
      </c>
      <c r="AT14">
        <f t="shared" si="25"/>
        <v>1.2389486014441944E-6</v>
      </c>
      <c r="AV14" s="128">
        <f t="shared" si="23"/>
        <v>1.0526315789473683E-4</v>
      </c>
      <c r="AW14">
        <f t="shared" si="19"/>
        <v>52.967936718397489</v>
      </c>
    </row>
    <row r="15" spans="1:49" ht="13.95" customHeight="1" x14ac:dyDescent="0.3"/>
    <row r="16" spans="1:49" ht="13.95" customHeight="1" x14ac:dyDescent="0.3">
      <c r="B16" s="120">
        <f t="shared" si="20"/>
        <v>1.05</v>
      </c>
      <c r="C16" s="73">
        <v>9</v>
      </c>
      <c r="D16" s="119"/>
      <c r="E16" s="73">
        <v>13.8</v>
      </c>
      <c r="F16" s="73">
        <v>0.42399999999999999</v>
      </c>
      <c r="G16" s="73">
        <v>6160</v>
      </c>
      <c r="H16" s="119"/>
      <c r="I16" s="119"/>
      <c r="J16" s="2">
        <f>E16*F16</f>
        <v>5.8512000000000004</v>
      </c>
      <c r="K16" s="1">
        <f>C16</f>
        <v>9</v>
      </c>
      <c r="L16" s="1">
        <f>LN(K16)</f>
        <v>2.1972245773362196</v>
      </c>
      <c r="M16" s="3">
        <f>1/G16/0.000001</f>
        <v>162.33766233766235</v>
      </c>
      <c r="N16" s="3"/>
      <c r="O16" s="3">
        <f>M16*60/$W$27</f>
        <v>9740.2597402597403</v>
      </c>
      <c r="P16" s="3"/>
      <c r="Q16" s="3">
        <f t="shared" ref="Q16:Q24" si="34">O16/$W$40*100</f>
        <v>21.137716450216452</v>
      </c>
      <c r="R16" s="3"/>
      <c r="S16" s="3">
        <f>K16</f>
        <v>9</v>
      </c>
      <c r="T16" s="4">
        <f>J16</f>
        <v>5.8512000000000004</v>
      </c>
      <c r="U16">
        <f>T16*0.001341022</f>
        <v>7.8465879264000005E-3</v>
      </c>
      <c r="V16">
        <f>U16/O16*5252</f>
        <v>4.230922058383821E-3</v>
      </c>
      <c r="W16">
        <f>-V16/2/O16</f>
        <v>-2.1718733233036949E-7</v>
      </c>
      <c r="X16">
        <v>0.18</v>
      </c>
      <c r="Y16">
        <f>-X16*W16</f>
        <v>3.9093719819466504E-8</v>
      </c>
      <c r="Z16">
        <f>Y16/6.66*2048.5</f>
        <v>1.2024547304831401E-5</v>
      </c>
      <c r="AA16">
        <f>Z16*144</f>
        <v>1.7315348118957217E-3</v>
      </c>
    </row>
    <row r="17" spans="1:32" ht="13.95" customHeight="1" x14ac:dyDescent="0.3">
      <c r="B17" s="120">
        <f t="shared" si="20"/>
        <v>1.0722222222222222</v>
      </c>
      <c r="C17" s="73">
        <v>13</v>
      </c>
      <c r="D17" s="119"/>
      <c r="E17" s="73">
        <v>13.8</v>
      </c>
      <c r="F17" s="73">
        <v>0.56499999999999995</v>
      </c>
      <c r="G17" s="73">
        <v>5080</v>
      </c>
      <c r="H17" s="119"/>
      <c r="I17" s="119"/>
      <c r="J17" s="2">
        <f t="shared" ref="J17:J24" si="35">E17*F17</f>
        <v>7.7969999999999997</v>
      </c>
      <c r="K17" s="1">
        <f t="shared" ref="K17:K24" si="36">C17</f>
        <v>13</v>
      </c>
      <c r="L17" s="1">
        <f t="shared" ref="L17:L24" si="37">LN(K17)</f>
        <v>2.5649493574615367</v>
      </c>
      <c r="M17" s="3">
        <f t="shared" ref="M17:M24" si="38">1/G17/0.000001</f>
        <v>196.85039370078741</v>
      </c>
      <c r="N17" s="3"/>
      <c r="O17" s="3">
        <f t="shared" ref="O17:O24" si="39">M17*60/$W$27</f>
        <v>11811.023622047245</v>
      </c>
      <c r="P17" s="3"/>
      <c r="Q17" s="3">
        <f t="shared" si="34"/>
        <v>25.631561679790028</v>
      </c>
      <c r="R17" s="3"/>
      <c r="S17" s="3">
        <f t="shared" ref="S17:S24" si="40">K17</f>
        <v>13</v>
      </c>
      <c r="T17" s="4">
        <f t="shared" ref="T17:T24" si="41">J17</f>
        <v>7.7969999999999997</v>
      </c>
      <c r="U17">
        <f t="shared" ref="U17:U24" si="42">T17*0.001341022</f>
        <v>1.0455948534E-2</v>
      </c>
      <c r="V17">
        <f t="shared" ref="V17:V24" si="43">U17/O17*5252</f>
        <v>4.6494396639814237E-3</v>
      </c>
      <c r="W17">
        <f t="shared" ref="W17:W24" si="44">-V17/2/O17</f>
        <v>-1.9682627910854693E-7</v>
      </c>
      <c r="X17">
        <v>0.18</v>
      </c>
      <c r="Y17">
        <f t="shared" ref="Y17:Y24" si="45">-X17*W17</f>
        <v>3.5428730239538448E-8</v>
      </c>
      <c r="Z17">
        <f t="shared" ref="Z17:Z24" si="46">Y17/6.66*2048.5</f>
        <v>1.0897260344698876E-5</v>
      </c>
      <c r="AA17">
        <f t="shared" ref="AA17:AA24" si="47">Z17*144</f>
        <v>1.569205489636638E-3</v>
      </c>
    </row>
    <row r="18" spans="1:32" ht="13.95" customHeight="1" x14ac:dyDescent="0.3">
      <c r="B18" s="120">
        <f t="shared" si="20"/>
        <v>1.1444444444444444</v>
      </c>
      <c r="C18" s="73">
        <v>26</v>
      </c>
      <c r="D18" s="119"/>
      <c r="E18" s="73">
        <v>13.75</v>
      </c>
      <c r="F18" s="73">
        <v>1.32</v>
      </c>
      <c r="G18" s="73">
        <v>3180</v>
      </c>
      <c r="H18" s="119"/>
      <c r="I18" s="119"/>
      <c r="J18" s="2">
        <f t="shared" si="35"/>
        <v>18.150000000000002</v>
      </c>
      <c r="K18" s="1">
        <f t="shared" si="36"/>
        <v>26</v>
      </c>
      <c r="L18" s="1">
        <f t="shared" si="37"/>
        <v>3.2580965380214821</v>
      </c>
      <c r="M18" s="3">
        <f t="shared" si="38"/>
        <v>314.46540880503147</v>
      </c>
      <c r="N18" s="3"/>
      <c r="O18" s="3">
        <f t="shared" si="39"/>
        <v>18867.92452830189</v>
      </c>
      <c r="P18" s="3"/>
      <c r="Q18" s="3">
        <f t="shared" si="34"/>
        <v>40.946016771488473</v>
      </c>
      <c r="R18" s="3"/>
      <c r="S18" s="3">
        <f t="shared" si="40"/>
        <v>26</v>
      </c>
      <c r="T18" s="4">
        <f t="shared" si="41"/>
        <v>18.150000000000002</v>
      </c>
      <c r="U18">
        <f t="shared" si="42"/>
        <v>2.4339549300000006E-2</v>
      </c>
      <c r="V18">
        <f t="shared" si="43"/>
        <v>6.7750595849508004E-3</v>
      </c>
      <c r="W18">
        <f t="shared" si="44"/>
        <v>-1.7953907900119617E-7</v>
      </c>
      <c r="X18">
        <v>0.18</v>
      </c>
      <c r="Y18">
        <f t="shared" si="45"/>
        <v>3.2317034220215307E-8</v>
      </c>
      <c r="Z18">
        <f t="shared" si="46"/>
        <v>9.9401568468635218E-6</v>
      </c>
      <c r="AA18">
        <f t="shared" si="47"/>
        <v>1.4313825859483471E-3</v>
      </c>
    </row>
    <row r="19" spans="1:32" ht="13.95" customHeight="1" x14ac:dyDescent="0.3">
      <c r="B19" s="120">
        <f t="shared" si="20"/>
        <v>1.2</v>
      </c>
      <c r="C19" s="73">
        <v>36</v>
      </c>
      <c r="D19" s="119"/>
      <c r="E19" s="73">
        <v>13.71</v>
      </c>
      <c r="F19" s="73">
        <v>2.08</v>
      </c>
      <c r="G19" s="73">
        <v>2650</v>
      </c>
      <c r="H19" s="119"/>
      <c r="I19" s="119"/>
      <c r="J19" s="2">
        <f t="shared" si="35"/>
        <v>28.516800000000003</v>
      </c>
      <c r="K19" s="1">
        <f t="shared" si="36"/>
        <v>36</v>
      </c>
      <c r="L19" s="1">
        <f t="shared" si="37"/>
        <v>3.5835189384561099</v>
      </c>
      <c r="M19" s="3">
        <f t="shared" si="38"/>
        <v>377.35849056603774</v>
      </c>
      <c r="N19" s="3"/>
      <c r="O19" s="3">
        <f t="shared" si="39"/>
        <v>22641.509433962266</v>
      </c>
      <c r="P19" s="3"/>
      <c r="Q19" s="3">
        <f t="shared" si="34"/>
        <v>49.135220125786169</v>
      </c>
      <c r="R19" s="3"/>
      <c r="S19" s="3">
        <f t="shared" si="40"/>
        <v>36</v>
      </c>
      <c r="T19" s="4">
        <f t="shared" si="41"/>
        <v>28.516800000000003</v>
      </c>
      <c r="U19">
        <f t="shared" si="42"/>
        <v>3.8241656169600007E-2</v>
      </c>
      <c r="V19">
        <f t="shared" si="43"/>
        <v>8.8706620372876483E-3</v>
      </c>
      <c r="W19">
        <f t="shared" si="44"/>
        <v>-1.9589378665676887E-7</v>
      </c>
      <c r="X19">
        <v>0.18</v>
      </c>
      <c r="Y19">
        <f t="shared" si="45"/>
        <v>3.5260881598218394E-8</v>
      </c>
      <c r="Z19">
        <f t="shared" si="46"/>
        <v>1.0845633026118675E-5</v>
      </c>
      <c r="AA19">
        <f t="shared" si="47"/>
        <v>1.5617711557610891E-3</v>
      </c>
    </row>
    <row r="20" spans="1:32" ht="13.95" customHeight="1" x14ac:dyDescent="0.3">
      <c r="B20" s="120">
        <f t="shared" si="20"/>
        <v>1.3111111111111111</v>
      </c>
      <c r="C20" s="73">
        <v>56</v>
      </c>
      <c r="D20" s="119"/>
      <c r="E20" s="73">
        <v>13.6</v>
      </c>
      <c r="F20" s="73">
        <v>3.8</v>
      </c>
      <c r="G20" s="73">
        <v>2070</v>
      </c>
      <c r="H20" s="119"/>
      <c r="I20" s="119"/>
      <c r="J20" s="2">
        <f t="shared" si="35"/>
        <v>51.68</v>
      </c>
      <c r="K20" s="1">
        <f t="shared" si="36"/>
        <v>56</v>
      </c>
      <c r="L20" s="1">
        <f t="shared" si="37"/>
        <v>4.0253516907351496</v>
      </c>
      <c r="M20" s="3">
        <f t="shared" si="38"/>
        <v>483.09178743961354</v>
      </c>
      <c r="N20" s="3"/>
      <c r="O20" s="3">
        <f t="shared" si="39"/>
        <v>28985.507246376812</v>
      </c>
      <c r="P20" s="3"/>
      <c r="Q20" s="3">
        <f t="shared" si="34"/>
        <v>62.902576489533011</v>
      </c>
      <c r="R20" s="3"/>
      <c r="S20" s="3">
        <f t="shared" si="40"/>
        <v>56</v>
      </c>
      <c r="T20" s="4">
        <f t="shared" si="41"/>
        <v>51.68</v>
      </c>
      <c r="U20">
        <f t="shared" si="42"/>
        <v>6.9304016960000006E-2</v>
      </c>
      <c r="V20">
        <f t="shared" si="43"/>
        <v>1.255747204905024E-2</v>
      </c>
      <c r="W20">
        <f t="shared" si="44"/>
        <v>-2.1661639284611662E-7</v>
      </c>
      <c r="X20">
        <v>0.18</v>
      </c>
      <c r="Y20">
        <f t="shared" si="45"/>
        <v>3.8990950712300994E-8</v>
      </c>
      <c r="Z20">
        <f t="shared" si="46"/>
        <v>1.1992937317439727E-5</v>
      </c>
      <c r="AA20">
        <f t="shared" si="47"/>
        <v>1.7269829737113207E-3</v>
      </c>
    </row>
    <row r="21" spans="1:32" ht="13.95" customHeight="1" x14ac:dyDescent="0.3">
      <c r="B21" s="120">
        <f t="shared" si="20"/>
        <v>1.3555555555555556</v>
      </c>
      <c r="C21" s="73">
        <v>64</v>
      </c>
      <c r="D21" s="119"/>
      <c r="E21" s="73">
        <v>13.55</v>
      </c>
      <c r="F21" s="73">
        <v>4.38</v>
      </c>
      <c r="G21" s="73">
        <v>2000</v>
      </c>
      <c r="H21" s="119"/>
      <c r="I21" s="119"/>
      <c r="J21" s="2">
        <f t="shared" si="35"/>
        <v>59.349000000000004</v>
      </c>
      <c r="K21" s="1">
        <f t="shared" si="36"/>
        <v>64</v>
      </c>
      <c r="L21" s="1">
        <f t="shared" si="37"/>
        <v>4.1588830833596715</v>
      </c>
      <c r="M21" s="3">
        <f t="shared" si="38"/>
        <v>500.00000000000006</v>
      </c>
      <c r="N21" s="3"/>
      <c r="O21" s="3">
        <f t="shared" si="39"/>
        <v>30000.000000000004</v>
      </c>
      <c r="P21" s="3"/>
      <c r="Q21" s="3">
        <f t="shared" si="34"/>
        <v>65.104166666666671</v>
      </c>
      <c r="R21" s="3"/>
      <c r="S21" s="3">
        <f t="shared" si="40"/>
        <v>64</v>
      </c>
      <c r="T21" s="4">
        <f t="shared" si="41"/>
        <v>59.349000000000004</v>
      </c>
      <c r="U21">
        <f t="shared" si="42"/>
        <v>7.9588314678000011E-2</v>
      </c>
      <c r="V21">
        <f t="shared" si="43"/>
        <v>1.39332609562952E-2</v>
      </c>
      <c r="W21">
        <f t="shared" si="44"/>
        <v>-2.3222101593825331E-7</v>
      </c>
      <c r="X21">
        <v>0.18</v>
      </c>
      <c r="Y21">
        <f t="shared" si="45"/>
        <v>4.1799782868885597E-8</v>
      </c>
      <c r="Z21">
        <f t="shared" si="46"/>
        <v>1.2856885166203024E-5</v>
      </c>
      <c r="AA21">
        <f t="shared" si="47"/>
        <v>1.8513914639332356E-3</v>
      </c>
    </row>
    <row r="22" spans="1:32" ht="13.95" customHeight="1" x14ac:dyDescent="0.3">
      <c r="B22" s="120">
        <f t="shared" si="20"/>
        <v>1.4944444444444445</v>
      </c>
      <c r="C22" s="73">
        <v>89</v>
      </c>
      <c r="D22" s="119"/>
      <c r="E22" s="73">
        <v>13.42</v>
      </c>
      <c r="F22" s="73">
        <v>6.3</v>
      </c>
      <c r="G22" s="73">
        <v>1760</v>
      </c>
      <c r="H22" s="119"/>
      <c r="I22" s="119"/>
      <c r="J22" s="2">
        <f t="shared" si="35"/>
        <v>84.545999999999992</v>
      </c>
      <c r="K22" s="1">
        <f t="shared" si="36"/>
        <v>89</v>
      </c>
      <c r="L22" s="1">
        <f t="shared" si="37"/>
        <v>4.4886363697321396</v>
      </c>
      <c r="M22" s="3">
        <f t="shared" si="38"/>
        <v>568.18181818181813</v>
      </c>
      <c r="N22" s="3"/>
      <c r="O22" s="3">
        <f t="shared" si="39"/>
        <v>34090.909090909088</v>
      </c>
      <c r="P22" s="3"/>
      <c r="Q22" s="3">
        <f t="shared" si="34"/>
        <v>73.982007575757564</v>
      </c>
      <c r="R22" s="3"/>
      <c r="S22" s="3">
        <f t="shared" si="40"/>
        <v>89</v>
      </c>
      <c r="T22" s="4">
        <f t="shared" si="41"/>
        <v>84.545999999999992</v>
      </c>
      <c r="U22">
        <f t="shared" si="42"/>
        <v>0.11337804601199999</v>
      </c>
      <c r="V22">
        <f t="shared" si="43"/>
        <v>1.7466870597880702E-2</v>
      </c>
      <c r="W22">
        <f t="shared" si="44"/>
        <v>-2.5618076876891696E-7</v>
      </c>
      <c r="X22">
        <v>0.18</v>
      </c>
      <c r="Y22">
        <f t="shared" si="45"/>
        <v>4.611253837840505E-8</v>
      </c>
      <c r="Z22">
        <f t="shared" si="46"/>
        <v>1.4183413643868279E-5</v>
      </c>
      <c r="AA22">
        <f t="shared" si="47"/>
        <v>2.0424115647170323E-3</v>
      </c>
    </row>
    <row r="23" spans="1:32" ht="13.95" customHeight="1" x14ac:dyDescent="0.3">
      <c r="B23" s="120">
        <f t="shared" si="20"/>
        <v>1.7944444444444443</v>
      </c>
      <c r="C23" s="73">
        <v>143</v>
      </c>
      <c r="D23" s="119"/>
      <c r="E23" s="73">
        <v>13.1</v>
      </c>
      <c r="F23" s="73">
        <v>11.7</v>
      </c>
      <c r="G23" s="73">
        <v>1430</v>
      </c>
      <c r="H23" s="119"/>
      <c r="I23" s="119"/>
      <c r="J23" s="2">
        <f t="shared" si="35"/>
        <v>153.26999999999998</v>
      </c>
      <c r="K23" s="1">
        <f t="shared" si="36"/>
        <v>143</v>
      </c>
      <c r="L23" s="1">
        <f t="shared" si="37"/>
        <v>4.962844630259907</v>
      </c>
      <c r="M23" s="3">
        <f t="shared" si="38"/>
        <v>699.30069930069931</v>
      </c>
      <c r="N23" s="3"/>
      <c r="O23" s="3">
        <f t="shared" si="39"/>
        <v>41958.041958041955</v>
      </c>
      <c r="P23" s="3"/>
      <c r="Q23" s="3">
        <f t="shared" si="34"/>
        <v>91.054778554778551</v>
      </c>
      <c r="R23" s="3"/>
      <c r="S23" s="3">
        <f t="shared" si="40"/>
        <v>143</v>
      </c>
      <c r="T23" s="4">
        <f t="shared" si="41"/>
        <v>153.26999999999998</v>
      </c>
      <c r="U23">
        <f t="shared" si="42"/>
        <v>0.20553844193999998</v>
      </c>
      <c r="V23">
        <f t="shared" si="43"/>
        <v>2.5727794880141638E-2</v>
      </c>
      <c r="W23">
        <f t="shared" si="44"/>
        <v>-3.0658955565502124E-7</v>
      </c>
      <c r="X23">
        <v>0.18</v>
      </c>
      <c r="Y23">
        <f t="shared" si="45"/>
        <v>5.5186120017903822E-8</v>
      </c>
      <c r="Z23">
        <f t="shared" si="46"/>
        <v>1.6974289317819214E-5</v>
      </c>
      <c r="AA23">
        <f t="shared" si="47"/>
        <v>2.4442976617659669E-3</v>
      </c>
      <c r="AB23" s="97"/>
      <c r="AC23" s="97"/>
      <c r="AD23" s="97"/>
      <c r="AE23" s="97"/>
      <c r="AF23" s="97"/>
    </row>
    <row r="24" spans="1:32" ht="13.95" customHeight="1" x14ac:dyDescent="0.3">
      <c r="B24" s="120">
        <f t="shared" si="20"/>
        <v>1.9166666666666665</v>
      </c>
      <c r="C24" s="73">
        <v>165</v>
      </c>
      <c r="D24" s="119"/>
      <c r="E24" s="73">
        <v>12.72</v>
      </c>
      <c r="F24" s="73">
        <v>16.86</v>
      </c>
      <c r="G24" s="73">
        <v>1280</v>
      </c>
      <c r="H24" s="119"/>
      <c r="I24" s="119"/>
      <c r="J24" s="2">
        <f t="shared" si="35"/>
        <v>214.45920000000001</v>
      </c>
      <c r="K24" s="1">
        <f t="shared" si="36"/>
        <v>165</v>
      </c>
      <c r="L24" s="1">
        <f t="shared" si="37"/>
        <v>5.1059454739005803</v>
      </c>
      <c r="M24" s="3">
        <f t="shared" si="38"/>
        <v>781.25000000000011</v>
      </c>
      <c r="N24" s="3"/>
      <c r="O24" s="3">
        <f t="shared" si="39"/>
        <v>46875.000000000007</v>
      </c>
      <c r="P24" s="3"/>
      <c r="Q24" s="3">
        <f t="shared" si="34"/>
        <v>101.72526041666667</v>
      </c>
      <c r="R24" s="3"/>
      <c r="S24" s="3">
        <f t="shared" si="40"/>
        <v>165</v>
      </c>
      <c r="T24" s="4">
        <f t="shared" si="41"/>
        <v>214.45920000000001</v>
      </c>
      <c r="U24">
        <f t="shared" si="42"/>
        <v>0.28759450530240005</v>
      </c>
      <c r="V24">
        <f t="shared" si="43"/>
        <v>3.2222855292761705E-2</v>
      </c>
      <c r="W24">
        <f t="shared" si="44"/>
        <v>-3.4371045645612482E-7</v>
      </c>
      <c r="X24">
        <v>0.18</v>
      </c>
      <c r="Y24">
        <f t="shared" si="45"/>
        <v>6.1867882162102469E-8</v>
      </c>
      <c r="Z24">
        <f t="shared" si="46"/>
        <v>1.9029482974334368E-5</v>
      </c>
      <c r="AA24">
        <f t="shared" si="47"/>
        <v>2.7402455483041491E-3</v>
      </c>
    </row>
    <row r="25" spans="1:32" ht="13.95" customHeight="1" x14ac:dyDescent="0.3">
      <c r="B25" s="5"/>
      <c r="C25" s="6"/>
      <c r="D25" s="6"/>
      <c r="E25" s="6"/>
      <c r="F25" s="6"/>
      <c r="G25" s="6"/>
      <c r="H25" s="6"/>
      <c r="I25" s="6"/>
      <c r="J25" s="2"/>
      <c r="M25" s="3"/>
      <c r="N25" s="3"/>
      <c r="O25" s="3"/>
      <c r="P25" s="3"/>
      <c r="Q25" s="3"/>
      <c r="R25" s="3"/>
      <c r="S25" s="3"/>
      <c r="T25" s="4"/>
    </row>
    <row r="26" spans="1:32" ht="13.95" customHeight="1" thickBot="1" x14ac:dyDescent="0.35">
      <c r="B26" s="5"/>
      <c r="C26" s="6"/>
      <c r="D26" s="6"/>
      <c r="E26" s="6"/>
      <c r="F26" s="6"/>
      <c r="G26" s="6"/>
      <c r="H26" s="6"/>
      <c r="I26" s="6"/>
      <c r="J26" s="2"/>
      <c r="M26" s="3"/>
      <c r="N26" s="3"/>
      <c r="O26" s="3"/>
      <c r="P26" s="3"/>
      <c r="Q26" s="3"/>
      <c r="R26" s="3"/>
      <c r="S26" s="3"/>
      <c r="T26" s="3"/>
      <c r="V26" t="s">
        <v>32</v>
      </c>
      <c r="Y26" t="s">
        <v>33</v>
      </c>
      <c r="AB26" s="30"/>
      <c r="AC26" s="5" t="s">
        <v>56</v>
      </c>
      <c r="AD26" s="5"/>
      <c r="AE26" s="5"/>
      <c r="AF26" s="5"/>
    </row>
    <row r="27" spans="1:32" ht="13.95" customHeight="1" x14ac:dyDescent="0.3">
      <c r="A27" s="3" t="s">
        <v>28</v>
      </c>
      <c r="B27" s="11" t="s">
        <v>29</v>
      </c>
      <c r="C27" s="12"/>
      <c r="D27" s="12"/>
      <c r="E27" s="6"/>
      <c r="F27" s="6"/>
      <c r="G27" s="6"/>
      <c r="H27" s="6"/>
      <c r="I27" s="6"/>
      <c r="J27" s="2"/>
      <c r="M27" s="3"/>
      <c r="N27" s="3"/>
      <c r="O27" s="3"/>
      <c r="P27" s="3"/>
      <c r="Q27" s="3"/>
      <c r="R27" s="3"/>
      <c r="S27" s="3"/>
      <c r="T27" s="3"/>
      <c r="V27" s="17" t="s">
        <v>3</v>
      </c>
      <c r="W27" s="18">
        <v>1</v>
      </c>
      <c r="Y27" s="17"/>
      <c r="Z27" s="23" t="s">
        <v>22</v>
      </c>
      <c r="AA27" s="7"/>
      <c r="AB27" s="30"/>
      <c r="AC27" s="62" t="s">
        <v>15</v>
      </c>
      <c r="AD27" s="63">
        <f>W45</f>
        <v>5</v>
      </c>
      <c r="AE27" s="64"/>
      <c r="AF27" s="29"/>
    </row>
    <row r="28" spans="1:32" x14ac:dyDescent="0.3">
      <c r="A28" s="3"/>
      <c r="B28" s="13" t="s">
        <v>30</v>
      </c>
      <c r="C28" s="14"/>
      <c r="D28" s="14"/>
      <c r="E28" s="6"/>
      <c r="F28" s="6"/>
      <c r="G28" s="6"/>
      <c r="H28" s="6"/>
      <c r="I28" s="6"/>
      <c r="J28" s="2"/>
      <c r="M28" s="3"/>
      <c r="N28" s="3"/>
      <c r="O28" s="3"/>
      <c r="P28" s="3"/>
      <c r="Q28" s="3"/>
      <c r="R28" s="3"/>
      <c r="S28" s="3"/>
      <c r="T28" s="3"/>
      <c r="V28" s="19" t="s">
        <v>4</v>
      </c>
      <c r="W28" s="20">
        <v>4800</v>
      </c>
      <c r="X28" t="s">
        <v>77</v>
      </c>
      <c r="Y28" s="24" t="s">
        <v>16</v>
      </c>
      <c r="Z28" s="25">
        <v>0</v>
      </c>
      <c r="AB28" s="30"/>
      <c r="AC28" s="65" t="s">
        <v>14</v>
      </c>
      <c r="AD28" s="66">
        <f>W44</f>
        <v>0</v>
      </c>
      <c r="AE28" s="45"/>
      <c r="AF28" s="31"/>
    </row>
    <row r="29" spans="1:32" ht="13.95" customHeight="1" thickBot="1" x14ac:dyDescent="0.35">
      <c r="A29" s="3"/>
      <c r="B29" s="15" t="s">
        <v>31</v>
      </c>
      <c r="C29" s="16"/>
      <c r="D29" s="16"/>
      <c r="E29" s="6"/>
      <c r="F29" s="6"/>
      <c r="G29" s="6"/>
      <c r="H29" s="6"/>
      <c r="I29" s="6"/>
      <c r="J29" s="2"/>
      <c r="M29" s="3"/>
      <c r="N29" s="3"/>
      <c r="O29" s="3"/>
      <c r="P29" s="2"/>
      <c r="Q29" s="3"/>
      <c r="R29" s="3"/>
      <c r="S29" s="3"/>
      <c r="T29" s="3"/>
      <c r="V29" s="19" t="s">
        <v>5</v>
      </c>
      <c r="W29" s="20">
        <v>12</v>
      </c>
      <c r="Y29" s="26" t="s">
        <v>17</v>
      </c>
      <c r="Z29" s="27">
        <v>5</v>
      </c>
      <c r="AB29" s="30"/>
      <c r="AC29" s="65" t="s">
        <v>17</v>
      </c>
      <c r="AD29" s="66">
        <f>Z29</f>
        <v>5</v>
      </c>
      <c r="AE29" s="30"/>
      <c r="AF29" s="31"/>
    </row>
    <row r="30" spans="1:32" ht="13.95" customHeight="1" x14ac:dyDescent="0.3">
      <c r="B30" s="5"/>
      <c r="C30" s="6"/>
      <c r="D30" s="6"/>
      <c r="E30" s="6"/>
      <c r="F30" s="6"/>
      <c r="G30" s="6"/>
      <c r="H30" s="6"/>
      <c r="I30" s="6"/>
      <c r="J30" s="2"/>
      <c r="M30" s="3"/>
      <c r="N30" s="3"/>
      <c r="O30" s="3"/>
      <c r="P30" s="3"/>
      <c r="Q30" s="3"/>
      <c r="R30" s="3"/>
      <c r="S30" s="3"/>
      <c r="T30" s="3"/>
      <c r="V30" s="57" t="s">
        <v>69</v>
      </c>
      <c r="W30" s="20">
        <v>3.9899999999999998E-2</v>
      </c>
      <c r="X30" t="s">
        <v>76</v>
      </c>
      <c r="AB30" s="30"/>
      <c r="AC30" s="65" t="s">
        <v>16</v>
      </c>
      <c r="AD30" s="66">
        <f>Z28</f>
        <v>0</v>
      </c>
      <c r="AE30" s="30"/>
      <c r="AF30" s="31"/>
    </row>
    <row r="31" spans="1:32" ht="23.4" x14ac:dyDescent="0.45">
      <c r="B31" s="5"/>
      <c r="C31" s="6"/>
      <c r="D31" s="6"/>
      <c r="E31" s="6"/>
      <c r="F31" s="6"/>
      <c r="G31" s="6"/>
      <c r="H31" s="6"/>
      <c r="I31" s="6"/>
      <c r="J31" s="2"/>
      <c r="M31" s="3"/>
      <c r="N31" s="3"/>
      <c r="O31" s="3"/>
      <c r="P31" s="3"/>
      <c r="Q31" s="3"/>
      <c r="R31" s="3"/>
      <c r="S31" s="3"/>
      <c r="T31" s="3"/>
      <c r="V31" s="57" t="s">
        <v>70</v>
      </c>
      <c r="W31" s="129">
        <v>4.1999999999999996E-6</v>
      </c>
      <c r="X31" t="s">
        <v>75</v>
      </c>
      <c r="AB31" s="94" t="s">
        <v>54</v>
      </c>
      <c r="AC31" s="65" t="s">
        <v>27</v>
      </c>
      <c r="AD31" s="66">
        <f>W40/100</f>
        <v>460.8</v>
      </c>
      <c r="AE31" s="30"/>
      <c r="AF31" s="31"/>
    </row>
    <row r="32" spans="1:32" x14ac:dyDescent="0.3">
      <c r="B32" s="5"/>
      <c r="C32" s="6"/>
      <c r="D32" s="6"/>
      <c r="E32" s="6"/>
      <c r="F32" s="6"/>
      <c r="G32" s="6"/>
      <c r="H32" s="6"/>
      <c r="I32" s="6"/>
      <c r="J32" s="2"/>
      <c r="M32" s="3"/>
      <c r="N32" s="3"/>
      <c r="O32" s="3"/>
      <c r="P32" s="3"/>
      <c r="Q32" s="3"/>
      <c r="R32" s="3"/>
      <c r="S32" s="3"/>
      <c r="T32" s="3"/>
      <c r="V32" s="57" t="s">
        <v>71</v>
      </c>
      <c r="W32" s="130">
        <f>W28*2*PI()/60</f>
        <v>502.6548245743669</v>
      </c>
      <c r="X32" t="s">
        <v>73</v>
      </c>
      <c r="AC32" s="65" t="s">
        <v>18</v>
      </c>
      <c r="AD32" s="66">
        <f>Y45</f>
        <v>180</v>
      </c>
      <c r="AE32" s="30"/>
      <c r="AF32" s="31"/>
    </row>
    <row r="33" spans="2:48" x14ac:dyDescent="0.3">
      <c r="B33" s="5"/>
      <c r="C33" s="6"/>
      <c r="D33" s="6"/>
      <c r="E33" s="6"/>
      <c r="F33" s="6"/>
      <c r="G33" s="6"/>
      <c r="H33" s="6"/>
      <c r="I33" s="6"/>
      <c r="J33" s="2"/>
      <c r="M33" s="3"/>
      <c r="N33" s="3"/>
      <c r="O33" s="3"/>
      <c r="P33" s="3"/>
      <c r="Q33" s="3"/>
      <c r="R33" s="3"/>
      <c r="S33" s="3"/>
      <c r="T33" s="3"/>
      <c r="V33" s="57" t="s">
        <v>72</v>
      </c>
      <c r="W33" s="132">
        <f>7/W32</f>
        <v>1.3926057520540842E-2</v>
      </c>
      <c r="X33" t="s">
        <v>74</v>
      </c>
      <c r="AC33" s="65" t="s">
        <v>13</v>
      </c>
      <c r="AD33" s="66">
        <f>Y44</f>
        <v>0</v>
      </c>
      <c r="AE33" s="30"/>
      <c r="AF33" s="31"/>
    </row>
    <row r="34" spans="2:48" ht="15" thickBot="1" x14ac:dyDescent="0.35">
      <c r="C34" s="6"/>
      <c r="D34" s="6"/>
      <c r="E34" s="6"/>
      <c r="F34" s="6"/>
      <c r="G34" s="6"/>
      <c r="H34" s="6"/>
      <c r="I34" s="6"/>
      <c r="J34" s="2"/>
      <c r="M34" s="3"/>
      <c r="N34" s="3"/>
      <c r="O34" s="3"/>
      <c r="P34" s="3"/>
      <c r="Q34" s="3"/>
      <c r="R34" s="3"/>
      <c r="S34" s="3"/>
      <c r="T34" s="3"/>
      <c r="V34" s="131" t="s">
        <v>79</v>
      </c>
      <c r="W34" s="133">
        <v>4.4999999999999999E-8</v>
      </c>
      <c r="X34" t="s">
        <v>80</v>
      </c>
      <c r="Z34" t="s">
        <v>112</v>
      </c>
      <c r="AC34" s="65" t="s">
        <v>121</v>
      </c>
      <c r="AD34" s="66">
        <f>W53</f>
        <v>0</v>
      </c>
      <c r="AE34" s="67">
        <f>W52</f>
        <v>14097.688046345114</v>
      </c>
      <c r="AF34" s="68">
        <f>W51</f>
        <v>-170.6101401015417</v>
      </c>
    </row>
    <row r="35" spans="2:48" x14ac:dyDescent="0.3">
      <c r="AC35" s="65" t="s">
        <v>21</v>
      </c>
      <c r="AD35" s="66">
        <f>W55</f>
        <v>-28327.005397586898</v>
      </c>
      <c r="AE35" s="67">
        <f>W54</f>
        <v>14190.01046667831</v>
      </c>
      <c r="AF35" s="31"/>
    </row>
    <row r="36" spans="2:48" ht="15" thickBot="1" x14ac:dyDescent="0.35">
      <c r="V36" t="s">
        <v>35</v>
      </c>
      <c r="AC36" s="65" t="s">
        <v>122</v>
      </c>
      <c r="AD36" s="66">
        <f>Z54</f>
        <v>-10230.71375195049</v>
      </c>
      <c r="AE36" s="69">
        <f>Z53</f>
        <v>1.0237466617461022</v>
      </c>
      <c r="AF36" s="31"/>
    </row>
    <row r="37" spans="2:48" ht="15" thickBot="1" x14ac:dyDescent="0.35">
      <c r="C37" s="6"/>
      <c r="D37" s="6"/>
      <c r="E37" s="6"/>
      <c r="F37" s="6"/>
      <c r="G37" s="6"/>
      <c r="H37" s="6"/>
      <c r="I37" s="6"/>
      <c r="J37" s="9"/>
      <c r="K37" s="6"/>
      <c r="L37" s="6"/>
      <c r="M37" s="10"/>
      <c r="N37" s="10"/>
      <c r="O37" s="10"/>
      <c r="P37" s="10"/>
      <c r="Q37" s="10"/>
      <c r="R37" s="10"/>
      <c r="S37" s="10"/>
      <c r="T37" s="10"/>
      <c r="V37" s="34">
        <v>240</v>
      </c>
      <c r="W37" s="35" t="s">
        <v>34</v>
      </c>
      <c r="X37" s="36"/>
      <c r="Y37" s="35"/>
      <c r="Z37" s="35"/>
      <c r="AA37" s="37"/>
      <c r="AC37" s="65" t="s">
        <v>123</v>
      </c>
      <c r="AD37" s="66">
        <f>Z52</f>
        <v>10153.923989583083</v>
      </c>
      <c r="AE37" s="69">
        <f>Z51</f>
        <v>0.96825304239840437</v>
      </c>
      <c r="AF37" s="31"/>
    </row>
    <row r="38" spans="2:48" x14ac:dyDescent="0.3">
      <c r="C38" s="6"/>
      <c r="D38" s="6"/>
      <c r="E38" s="6"/>
      <c r="F38" s="6"/>
      <c r="G38" s="6"/>
      <c r="H38" s="6"/>
      <c r="I38" s="6"/>
      <c r="J38" s="9"/>
      <c r="K38" s="6"/>
      <c r="L38" s="6"/>
      <c r="M38" s="10"/>
      <c r="N38" s="10"/>
      <c r="O38" s="10"/>
      <c r="P38" s="10"/>
      <c r="Q38" s="10"/>
      <c r="R38" s="10"/>
      <c r="S38" s="10"/>
      <c r="T38" s="10"/>
      <c r="V38" s="8"/>
      <c r="X38" s="8"/>
      <c r="Y38" s="8"/>
      <c r="AC38" s="65" t="s">
        <v>68</v>
      </c>
      <c r="AD38" s="124">
        <f>W61</f>
        <v>0</v>
      </c>
      <c r="AE38" s="124">
        <f>W60</f>
        <v>1.7497144954938875E-7</v>
      </c>
      <c r="AF38" s="139">
        <f>W59</f>
        <v>1.1535982759687281E-11</v>
      </c>
    </row>
    <row r="39" spans="2:48" ht="15" thickBot="1" x14ac:dyDescent="0.35">
      <c r="C39" s="6"/>
      <c r="D39" s="6"/>
      <c r="E39" s="6"/>
      <c r="F39" s="6"/>
      <c r="G39" s="6"/>
      <c r="H39" s="6"/>
      <c r="I39" s="6"/>
      <c r="J39" s="9"/>
      <c r="K39" s="6"/>
      <c r="L39" s="6"/>
      <c r="M39" s="10"/>
      <c r="N39" s="10"/>
      <c r="O39" s="10"/>
      <c r="P39" s="10"/>
      <c r="Q39" s="10"/>
      <c r="R39" s="10"/>
      <c r="S39" s="10"/>
      <c r="T39" s="10"/>
      <c r="V39" t="s">
        <v>36</v>
      </c>
      <c r="AC39" s="70" t="s">
        <v>86</v>
      </c>
      <c r="AD39" s="125">
        <f>Z61</f>
        <v>0</v>
      </c>
      <c r="AE39" s="125">
        <f>Z60</f>
        <v>-2.2861135714873372E-6</v>
      </c>
      <c r="AF39" s="126">
        <f>Z59</f>
        <v>1.8108928058840401E-10</v>
      </c>
    </row>
    <row r="40" spans="2:48" ht="15" thickBot="1" x14ac:dyDescent="0.35">
      <c r="B40" t="s">
        <v>55</v>
      </c>
      <c r="C40" s="6"/>
      <c r="D40" s="6"/>
      <c r="E40" s="6"/>
      <c r="F40" s="6"/>
      <c r="G40" s="6"/>
      <c r="H40" s="6"/>
      <c r="I40" s="6"/>
      <c r="J40" s="9"/>
      <c r="K40" s="6"/>
      <c r="L40" s="6"/>
      <c r="M40" s="10"/>
      <c r="N40" s="10"/>
      <c r="O40" s="10"/>
      <c r="P40" s="10"/>
      <c r="Q40" s="10"/>
      <c r="R40" s="10"/>
      <c r="S40" s="10"/>
      <c r="T40" s="10"/>
      <c r="V40" s="38" t="s">
        <v>6</v>
      </c>
      <c r="W40" s="39">
        <f>W28*W29/X40</f>
        <v>46080</v>
      </c>
      <c r="X40" s="40">
        <v>1.25</v>
      </c>
      <c r="Y40" s="35" t="s">
        <v>9</v>
      </c>
      <c r="Z40" s="41"/>
      <c r="AA40">
        <f>V37</f>
        <v>240</v>
      </c>
    </row>
    <row r="41" spans="2:48" x14ac:dyDescent="0.3">
      <c r="B41" t="s">
        <v>51</v>
      </c>
      <c r="C41" s="6" t="s">
        <v>52</v>
      </c>
      <c r="D41" s="6" t="s">
        <v>53</v>
      </c>
      <c r="E41" s="6"/>
      <c r="F41" s="6"/>
      <c r="G41" s="6"/>
      <c r="H41" s="6"/>
      <c r="I41" s="6"/>
      <c r="J41" s="9"/>
      <c r="K41" s="6"/>
      <c r="L41" s="6"/>
      <c r="M41" s="10"/>
      <c r="N41" s="10"/>
      <c r="O41" s="10"/>
      <c r="P41" s="10"/>
      <c r="Q41" s="10"/>
      <c r="R41" s="10"/>
      <c r="S41" s="10"/>
      <c r="T41" s="10"/>
    </row>
    <row r="42" spans="2:48" ht="15" thickBot="1" x14ac:dyDescent="0.35">
      <c r="B42" s="73">
        <v>87</v>
      </c>
      <c r="C42" s="6">
        <f>B42/180*(2.4-0.53)+0.53</f>
        <v>1.4338333333333333</v>
      </c>
      <c r="D42" s="88">
        <f>(C42-1)*180</f>
        <v>78.089999999999989</v>
      </c>
      <c r="E42" s="6"/>
      <c r="F42" s="6"/>
      <c r="G42" s="6"/>
      <c r="H42" s="6"/>
      <c r="I42" s="6"/>
      <c r="J42" s="9"/>
      <c r="K42" s="6"/>
      <c r="L42" s="6"/>
      <c r="M42" s="10"/>
      <c r="N42" s="10"/>
      <c r="O42" s="10"/>
      <c r="P42" s="10"/>
      <c r="Q42" s="10"/>
      <c r="R42" s="10"/>
      <c r="S42" s="10"/>
      <c r="T42" s="10"/>
      <c r="V42" t="s">
        <v>37</v>
      </c>
    </row>
    <row r="43" spans="2:48" ht="28.8" x14ac:dyDescent="0.3">
      <c r="B43" s="73">
        <v>90</v>
      </c>
      <c r="C43" s="6">
        <f t="shared" ref="C43:C48" si="48">B43/180*(2.4-0.53)+0.53</f>
        <v>1.4649999999999999</v>
      </c>
      <c r="D43" s="88">
        <f t="shared" ref="D43:D48" si="49">(C43-1)*180</f>
        <v>83.699999999999974</v>
      </c>
      <c r="E43" s="6"/>
      <c r="F43" s="6"/>
      <c r="G43" s="6"/>
      <c r="H43" s="6"/>
      <c r="I43" s="6"/>
      <c r="J43" s="9"/>
      <c r="K43" s="6"/>
      <c r="L43" s="6"/>
      <c r="M43" s="10"/>
      <c r="N43" s="10"/>
      <c r="O43" s="10"/>
      <c r="P43" s="10"/>
      <c r="Q43" s="10"/>
      <c r="R43" s="10"/>
      <c r="S43" s="10"/>
      <c r="T43" s="10"/>
      <c r="V43" s="17"/>
      <c r="W43" s="42" t="s">
        <v>19</v>
      </c>
      <c r="X43" s="28"/>
      <c r="Y43" s="42" t="s">
        <v>20</v>
      </c>
      <c r="Z43" s="29" t="s">
        <v>109</v>
      </c>
    </row>
    <row r="44" spans="2:48" x14ac:dyDescent="0.3">
      <c r="B44" s="73">
        <v>100</v>
      </c>
      <c r="C44" s="6">
        <f t="shared" si="48"/>
        <v>1.568888888888889</v>
      </c>
      <c r="D44" s="88">
        <f t="shared" si="49"/>
        <v>102.40000000000002</v>
      </c>
      <c r="E44" s="6"/>
      <c r="F44" s="6"/>
      <c r="G44" s="6"/>
      <c r="H44" s="6"/>
      <c r="I44" s="6"/>
      <c r="J44" s="9"/>
      <c r="K44" s="6"/>
      <c r="L44" s="6"/>
      <c r="M44" s="10"/>
      <c r="N44" s="10"/>
      <c r="O44" s="10"/>
      <c r="P44" s="10"/>
      <c r="Q44" s="10"/>
      <c r="R44" s="10"/>
      <c r="S44" s="10"/>
      <c r="T44" s="10"/>
      <c r="V44" s="57" t="s">
        <v>14</v>
      </c>
      <c r="W44" s="58">
        <v>0</v>
      </c>
      <c r="X44" s="45" t="s">
        <v>13</v>
      </c>
      <c r="Y44" s="59">
        <v>0</v>
      </c>
      <c r="Z44" s="89">
        <f>Z54/W40*100</f>
        <v>-22.202069774198112</v>
      </c>
      <c r="AA44" t="s">
        <v>106</v>
      </c>
    </row>
    <row r="45" spans="2:48" x14ac:dyDescent="0.3">
      <c r="B45" s="73">
        <v>110</v>
      </c>
      <c r="C45" s="6">
        <f t="shared" si="48"/>
        <v>1.6727777777777779</v>
      </c>
      <c r="D45" s="88">
        <f t="shared" si="49"/>
        <v>121.10000000000002</v>
      </c>
      <c r="E45" s="6"/>
      <c r="F45" s="6"/>
      <c r="G45" s="6"/>
      <c r="H45" s="6"/>
      <c r="I45" s="6"/>
      <c r="J45" s="2"/>
      <c r="M45" s="3"/>
      <c r="N45" s="3"/>
      <c r="O45" s="3"/>
      <c r="P45" s="3"/>
      <c r="Q45" s="3"/>
      <c r="R45" s="3"/>
      <c r="S45" s="3"/>
      <c r="T45" s="3"/>
      <c r="V45" s="57" t="s">
        <v>15</v>
      </c>
      <c r="W45" s="58">
        <v>5</v>
      </c>
      <c r="X45" s="45" t="s">
        <v>18</v>
      </c>
      <c r="Y45" s="59">
        <v>180</v>
      </c>
      <c r="Z45" s="60">
        <v>77</v>
      </c>
    </row>
    <row r="46" spans="2:48" x14ac:dyDescent="0.3">
      <c r="B46" s="73">
        <v>114</v>
      </c>
      <c r="C46" s="6">
        <f t="shared" si="48"/>
        <v>1.7143333333333333</v>
      </c>
      <c r="D46" s="88">
        <f t="shared" si="49"/>
        <v>128.57999999999998</v>
      </c>
      <c r="V46" s="19"/>
      <c r="W46" s="30" t="s">
        <v>40</v>
      </c>
      <c r="X46" s="30"/>
      <c r="Y46" s="61"/>
      <c r="Z46" s="89">
        <f>(Z45-Z44)/(W45-W44)</f>
        <v>19.840413954839622</v>
      </c>
      <c r="AG46" s="104"/>
      <c r="AH46" s="104"/>
      <c r="AQ46" s="3"/>
      <c r="AR46" s="3"/>
      <c r="AU46" s="3"/>
      <c r="AV46" s="3"/>
    </row>
    <row r="47" spans="2:48" x14ac:dyDescent="0.3">
      <c r="B47" s="73">
        <v>127.5</v>
      </c>
      <c r="C47" s="6">
        <f t="shared" si="48"/>
        <v>1.8545833333333333</v>
      </c>
      <c r="D47" s="88">
        <f t="shared" si="49"/>
        <v>153.82499999999999</v>
      </c>
      <c r="V47" s="19"/>
      <c r="W47" s="30"/>
      <c r="X47" s="30"/>
      <c r="Y47" s="61"/>
      <c r="Z47" s="89">
        <f>Z45-Z46*(W45-W44)</f>
        <v>-22.202069774198108</v>
      </c>
    </row>
    <row r="48" spans="2:48" ht="15" thickBot="1" x14ac:dyDescent="0.35">
      <c r="B48" s="80">
        <v>136.4</v>
      </c>
      <c r="C48" s="6">
        <f t="shared" si="48"/>
        <v>1.9470444444444444</v>
      </c>
      <c r="D48" s="88">
        <f t="shared" si="49"/>
        <v>170.46799999999999</v>
      </c>
      <c r="V48" s="21"/>
      <c r="W48" s="32"/>
      <c r="X48" s="32"/>
      <c r="Y48" s="47"/>
      <c r="Z48" s="48" t="s">
        <v>124</v>
      </c>
    </row>
    <row r="50" spans="22:27" ht="15" thickBot="1" x14ac:dyDescent="0.35">
      <c r="V50" t="s">
        <v>38</v>
      </c>
    </row>
    <row r="51" spans="22:27" x14ac:dyDescent="0.3">
      <c r="V51" s="49" t="s">
        <v>121</v>
      </c>
      <c r="W51" s="50">
        <f>INDEX(LINEST($P$4:$P$13,$D$4:$D$13^{1,2},FALSE,FALSE),1)</f>
        <v>-170.6101401015417</v>
      </c>
      <c r="X51" s="28"/>
      <c r="Y51" s="51" t="s">
        <v>123</v>
      </c>
      <c r="Z51" s="52">
        <f>INDEX(LINEST($O$4:$O$13,$P$4:$P$13),1)</f>
        <v>0.96825304239840437</v>
      </c>
    </row>
    <row r="52" spans="22:27" x14ac:dyDescent="0.3">
      <c r="V52" s="43"/>
      <c r="W52" s="54">
        <f>INDEX(LINEST($P$4:$P$13,$D$4:$D$13^{1,2},FALSE,FALSE),2)</f>
        <v>14097.688046345114</v>
      </c>
      <c r="X52" s="30"/>
      <c r="Y52" s="44"/>
      <c r="Z52" s="46">
        <f>INDEX(LINEST($O$4:$O$13,$P$4:$P$13),2)</f>
        <v>10153.923989583083</v>
      </c>
    </row>
    <row r="53" spans="22:27" x14ac:dyDescent="0.3">
      <c r="V53" s="43"/>
      <c r="W53" s="54">
        <f>INDEX(LINEST($P$4:$P$13,$D$4:$D$13^{1,2},FALSE,FALSE),3)</f>
        <v>0</v>
      </c>
      <c r="X53" s="30"/>
      <c r="Y53" s="44" t="s">
        <v>122</v>
      </c>
      <c r="Z53" s="46">
        <f>INDEX(LINEST($P$4:$P$13,$O$4:$O$13),1)</f>
        <v>1.0237466617461022</v>
      </c>
    </row>
    <row r="54" spans="22:27" x14ac:dyDescent="0.3">
      <c r="V54" s="43" t="s">
        <v>21</v>
      </c>
      <c r="W54" s="54">
        <f>INDEX(LINEST($O$6:$O$13,$L$6:$L$13),1)</f>
        <v>14190.01046667831</v>
      </c>
      <c r="X54" s="30"/>
      <c r="Y54" s="44"/>
      <c r="Z54" s="46">
        <f>INDEX(LINEST($P$4:$P$13,$O$4:$O$13),2)</f>
        <v>-10230.71375195049</v>
      </c>
      <c r="AA54" t="s">
        <v>60</v>
      </c>
    </row>
    <row r="55" spans="22:27" x14ac:dyDescent="0.3">
      <c r="V55" s="43"/>
      <c r="W55" s="54">
        <f>INDEX(LINEST($O$6:$O$13,$L$6:$L$13),2)</f>
        <v>-28327.005397586898</v>
      </c>
      <c r="X55" s="30"/>
      <c r="Y55" s="30"/>
      <c r="Z55" s="31"/>
    </row>
    <row r="56" spans="22:27" x14ac:dyDescent="0.3">
      <c r="V56" s="19"/>
      <c r="W56" s="30"/>
      <c r="X56" s="30"/>
      <c r="Y56" s="30"/>
      <c r="Z56" s="31"/>
    </row>
    <row r="57" spans="22:27" ht="15" thickBot="1" x14ac:dyDescent="0.35">
      <c r="V57" s="107" t="s">
        <v>62</v>
      </c>
      <c r="W57" s="108">
        <f>EXP((0-$AD$35)/$AE$35)</f>
        <v>7.361501228839896</v>
      </c>
      <c r="X57" s="32"/>
      <c r="Y57" s="32"/>
      <c r="Z57" s="33"/>
      <c r="AA57" t="s">
        <v>65</v>
      </c>
    </row>
    <row r="58" spans="22:27" ht="15" thickBot="1" x14ac:dyDescent="0.35"/>
    <row r="59" spans="22:27" x14ac:dyDescent="0.3">
      <c r="V59" s="49" t="s">
        <v>87</v>
      </c>
      <c r="W59" s="121">
        <f>INDEX(LINEST($V$4:$V$13,$O$4:$O$13^{1,2},FALSE,FALSE),1)</f>
        <v>1.1535982759687281E-11</v>
      </c>
      <c r="Y59" s="49" t="s">
        <v>86</v>
      </c>
      <c r="Z59" s="121">
        <f>INDEX(LINEST($U$4:$U$13,$O$4:$O$13^{1,2},FALSE,FALSE),1)</f>
        <v>1.8108928058840401E-10</v>
      </c>
    </row>
    <row r="60" spans="22:27" x14ac:dyDescent="0.3">
      <c r="V60" s="43"/>
      <c r="W60" s="122">
        <f>INDEX(LINEST($V$4:$V$13,$O$4:$O$13^{1,2},FALSE,FALSE),2)</f>
        <v>1.7497144954938875E-7</v>
      </c>
      <c r="Y60" s="43"/>
      <c r="Z60" s="122">
        <f>INDEX(LINEST($U$4:$U$13,$O$4:$O$13^{1,2},FALSE,FALSE),2)</f>
        <v>-2.2861135714873372E-6</v>
      </c>
    </row>
    <row r="61" spans="22:27" ht="15" thickBot="1" x14ac:dyDescent="0.35">
      <c r="V61" s="55"/>
      <c r="W61" s="123">
        <f>INDEX(LINEST($V$4:$V$13,$O$4:$O$13^{1,2},FALSE,FALSE),3)</f>
        <v>0</v>
      </c>
      <c r="Y61" s="55"/>
      <c r="Z61" s="123">
        <f>INDEX(LINEST($U$4:$U$13,$O$4:$O$13^{1,2},FALSE,FALSE),3)</f>
        <v>0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"/>
  <sheetViews>
    <sheetView workbookViewId="0">
      <pane ySplit="3" topLeftCell="A4" activePane="bottomLeft" state="frozen"/>
      <selection pane="bottomLeft" activeCell="P11" sqref="P11"/>
    </sheetView>
  </sheetViews>
  <sheetFormatPr defaultRowHeight="14.4" x14ac:dyDescent="0.3"/>
  <cols>
    <col min="2" max="2" width="7.109375" bestFit="1" customWidth="1"/>
    <col min="3" max="3" width="6.88671875" style="1" customWidth="1"/>
    <col min="4" max="4" width="6.44140625" style="1" customWidth="1"/>
    <col min="5" max="5" width="5.6640625" style="1" bestFit="1" customWidth="1"/>
    <col min="6" max="6" width="4.66406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1" width="5.109375" style="1" customWidth="1"/>
    <col min="12" max="12" width="6.6640625" style="1" customWidth="1"/>
    <col min="13" max="13" width="4.6640625" style="1" customWidth="1"/>
    <col min="14" max="14" width="7.33203125" style="1" bestFit="1" customWidth="1"/>
    <col min="15" max="16" width="6.33203125" style="1" customWidth="1"/>
    <col min="17" max="17" width="4.33203125" style="1" customWidth="1"/>
    <col min="18" max="18" width="7.6640625" style="1" customWidth="1"/>
    <col min="19" max="19" width="8" style="1" customWidth="1"/>
    <col min="20" max="20" width="6.33203125" style="1" customWidth="1"/>
    <col min="21" max="21" width="8.109375" style="1" bestFit="1" customWidth="1"/>
    <col min="22" max="23" width="6.109375" customWidth="1"/>
    <col min="24" max="24" width="5.88671875" customWidth="1"/>
    <col min="26" max="26" width="9.88671875" bestFit="1" customWidth="1"/>
    <col min="27" max="27" width="10.6640625" customWidth="1"/>
    <col min="28" max="28" width="6.5546875" bestFit="1" customWidth="1"/>
    <col min="29" max="30" width="9.6640625" customWidth="1"/>
    <col min="31" max="31" width="7.88671875" customWidth="1"/>
    <col min="32" max="32" width="10" customWidth="1"/>
    <col min="33" max="33" width="11.5546875" customWidth="1"/>
    <col min="34" max="34" width="11.109375" customWidth="1"/>
    <col min="36" max="36" width="9.6640625" customWidth="1"/>
  </cols>
  <sheetData>
    <row r="1" spans="1:32" ht="57.6" x14ac:dyDescent="0.3">
      <c r="A1" t="s">
        <v>39</v>
      </c>
      <c r="B1" s="74" t="s">
        <v>50</v>
      </c>
      <c r="C1" s="75" t="s">
        <v>0</v>
      </c>
      <c r="D1" s="75" t="s">
        <v>1</v>
      </c>
      <c r="E1" s="75" t="s">
        <v>10</v>
      </c>
      <c r="F1" s="75" t="s">
        <v>11</v>
      </c>
      <c r="G1" s="75" t="s">
        <v>23</v>
      </c>
      <c r="H1" s="75" t="s">
        <v>110</v>
      </c>
      <c r="I1" s="76" t="s">
        <v>2</v>
      </c>
      <c r="J1" s="4" t="s">
        <v>12</v>
      </c>
      <c r="K1" s="4" t="s">
        <v>7</v>
      </c>
      <c r="L1" s="4" t="s">
        <v>24</v>
      </c>
      <c r="M1" s="4" t="s">
        <v>115</v>
      </c>
      <c r="N1" s="4" t="s">
        <v>25</v>
      </c>
      <c r="O1" s="4" t="s">
        <v>111</v>
      </c>
      <c r="P1" s="4" t="s">
        <v>26</v>
      </c>
      <c r="Q1" s="4" t="s">
        <v>100</v>
      </c>
      <c r="R1" s="4" t="s">
        <v>113</v>
      </c>
      <c r="S1" s="4" t="s">
        <v>7</v>
      </c>
      <c r="T1" s="4" t="s">
        <v>114</v>
      </c>
      <c r="U1" s="4" t="s">
        <v>8</v>
      </c>
      <c r="V1" s="4" t="s">
        <v>125</v>
      </c>
      <c r="W1" s="4" t="s">
        <v>126</v>
      </c>
      <c r="X1" s="4" t="str">
        <f t="shared" ref="X1:X9" si="0">J1</f>
        <v>Charger Pwr, W</v>
      </c>
      <c r="Y1" s="4" t="s">
        <v>45</v>
      </c>
      <c r="Z1" s="4" t="s">
        <v>46</v>
      </c>
      <c r="AA1" s="4" t="s">
        <v>47</v>
      </c>
      <c r="AB1" s="4" t="s">
        <v>48</v>
      </c>
      <c r="AC1" s="4" t="s">
        <v>118</v>
      </c>
      <c r="AD1" s="4" t="s">
        <v>119</v>
      </c>
      <c r="AE1" s="4" t="s">
        <v>120</v>
      </c>
      <c r="AF1" s="4" t="s">
        <v>58</v>
      </c>
    </row>
    <row r="2" spans="1:32" x14ac:dyDescent="0.3">
      <c r="B2" s="98">
        <f>C2/180+1</f>
        <v>1.2611111111111111</v>
      </c>
      <c r="C2" s="99">
        <v>47</v>
      </c>
      <c r="D2" s="99"/>
      <c r="E2" s="99">
        <v>12</v>
      </c>
      <c r="F2" s="99">
        <v>0.43</v>
      </c>
      <c r="G2" s="99">
        <v>4980</v>
      </c>
      <c r="H2" s="101">
        <v>1E+16</v>
      </c>
      <c r="I2" s="100"/>
      <c r="J2" s="2">
        <f>E2*F2</f>
        <v>5.16</v>
      </c>
      <c r="K2" s="1">
        <f>C2</f>
        <v>47</v>
      </c>
      <c r="L2" s="3">
        <f t="shared" ref="L2:M9" si="1">1/G2/0.000001</f>
        <v>200.80321285140565</v>
      </c>
      <c r="M2" s="3">
        <f t="shared" si="1"/>
        <v>1E-10</v>
      </c>
      <c r="N2" s="3">
        <f t="shared" ref="N2:O9" si="2">L2*60/$AA$16</f>
        <v>6024.0963855421696</v>
      </c>
      <c r="O2" s="3">
        <f t="shared" si="2"/>
        <v>3E-9</v>
      </c>
      <c r="P2" s="3">
        <f t="shared" ref="P2:Q9" si="3">N2/$AA$24*100</f>
        <v>27.192101740294518</v>
      </c>
      <c r="Q2" s="3">
        <f t="shared" si="3"/>
        <v>1.3541666666666668E-11</v>
      </c>
      <c r="R2" s="3">
        <f t="shared" ref="R2:R9" si="4">O2*$AD$35+$AD$36</f>
        <v>4180.4182204543986</v>
      </c>
      <c r="S2" s="3">
        <f t="shared" ref="S2:S9" si="5">K2</f>
        <v>47</v>
      </c>
      <c r="T2" s="3">
        <f t="shared" ref="T2:T9" si="6">R2/$AA$24*100</f>
        <v>18.869943356217771</v>
      </c>
      <c r="U2" s="3">
        <f t="shared" ref="U2:U9" si="7">$AA$38*LN(C2)+$AA$39</f>
        <v>464.32038932937508</v>
      </c>
      <c r="V2" s="3">
        <f t="shared" ref="V2:V9" si="8">D2*D2*$AA$35+D2*$AA$36+$AA$37</f>
        <v>0</v>
      </c>
      <c r="W2" s="3">
        <f t="shared" ref="W2:W9" si="9">V2/$AA$24*100</f>
        <v>0</v>
      </c>
      <c r="X2" s="4">
        <f t="shared" si="0"/>
        <v>5.16</v>
      </c>
      <c r="Y2">
        <f>X2*0.001341022</f>
        <v>6.9196735200000008E-3</v>
      </c>
      <c r="Z2">
        <f>Y2/N2*5252</f>
        <v>6.0327928042886395E-3</v>
      </c>
      <c r="AA2">
        <f>-Z2/2/N2</f>
        <v>-5.0072180275595703E-7</v>
      </c>
      <c r="AB2" s="4"/>
      <c r="AC2" s="4"/>
      <c r="AD2" s="4"/>
      <c r="AE2" s="4"/>
      <c r="AF2" s="97">
        <f t="shared" ref="AF2:AF9" si="10">(N2-$AH$29)/$AI$29</f>
        <v>49.951845286752039</v>
      </c>
    </row>
    <row r="3" spans="1:32" ht="15" customHeight="1" x14ac:dyDescent="0.3">
      <c r="B3" s="77">
        <v>1.4338333333333333</v>
      </c>
      <c r="C3" s="73">
        <v>78.089999999999989</v>
      </c>
      <c r="D3" s="73">
        <v>0.5</v>
      </c>
      <c r="E3" s="73">
        <v>12</v>
      </c>
      <c r="F3" s="73">
        <v>0.97</v>
      </c>
      <c r="G3" s="73">
        <v>3840</v>
      </c>
      <c r="H3" s="73">
        <v>9150</v>
      </c>
      <c r="I3" s="78">
        <v>3.2</v>
      </c>
      <c r="J3" s="2">
        <f>E3*F3</f>
        <v>11.64</v>
      </c>
      <c r="K3" s="1">
        <f t="shared" ref="K3:K9" si="11">C3</f>
        <v>78.089999999999989</v>
      </c>
      <c r="L3" s="3">
        <f t="shared" si="1"/>
        <v>260.41666666666669</v>
      </c>
      <c r="M3" s="3">
        <f t="shared" si="1"/>
        <v>109.2896174863388</v>
      </c>
      <c r="N3" s="3">
        <f t="shared" si="2"/>
        <v>7812.5000000000009</v>
      </c>
      <c r="O3" s="3">
        <f t="shared" si="2"/>
        <v>3278.688524590164</v>
      </c>
      <c r="P3" s="3">
        <f t="shared" si="3"/>
        <v>35.26475694444445</v>
      </c>
      <c r="Q3" s="3">
        <f t="shared" si="3"/>
        <v>14.799635701275045</v>
      </c>
      <c r="R3" s="3">
        <f t="shared" si="4"/>
        <v>7656.5024245703744</v>
      </c>
      <c r="S3" s="3">
        <f t="shared" si="5"/>
        <v>78.089999999999989</v>
      </c>
      <c r="T3" s="3">
        <f t="shared" si="6"/>
        <v>34.560601222019052</v>
      </c>
      <c r="U3" s="3">
        <f t="shared" si="7"/>
        <v>525.54976935129287</v>
      </c>
      <c r="V3" s="3">
        <f t="shared" si="8"/>
        <v>3494.6201834301496</v>
      </c>
      <c r="W3" s="3">
        <f t="shared" si="9"/>
        <v>15.774327216872205</v>
      </c>
      <c r="X3" s="4">
        <f t="shared" si="0"/>
        <v>11.64</v>
      </c>
      <c r="Y3">
        <f>X3*0.001341022</f>
        <v>1.5609496080000002E-2</v>
      </c>
      <c r="Z3">
        <f>Y3/N3*5252</f>
        <v>1.0493577396756479E-2</v>
      </c>
      <c r="AA3">
        <f>-Z3/2/N3</f>
        <v>-6.715889533924146E-7</v>
      </c>
      <c r="AF3" s="97">
        <f t="shared" si="10"/>
        <v>64.781299356256554</v>
      </c>
    </row>
    <row r="4" spans="1:32" ht="13.95" customHeight="1" x14ac:dyDescent="0.3">
      <c r="B4" s="77">
        <v>1.4649999999999999</v>
      </c>
      <c r="C4" s="73">
        <v>83.699999999999974</v>
      </c>
      <c r="D4" s="73">
        <v>0.74199999999999999</v>
      </c>
      <c r="E4" s="73">
        <v>12</v>
      </c>
      <c r="F4" s="73">
        <v>1.51</v>
      </c>
      <c r="G4" s="73">
        <v>3180</v>
      </c>
      <c r="H4" s="73">
        <v>6060</v>
      </c>
      <c r="I4" s="78">
        <v>4.5999999999999996</v>
      </c>
      <c r="J4" s="2">
        <f t="shared" ref="J4:J9" si="12">E4*F4</f>
        <v>18.12</v>
      </c>
      <c r="K4" s="1">
        <f t="shared" si="11"/>
        <v>83.699999999999974</v>
      </c>
      <c r="L4" s="3">
        <f t="shared" si="1"/>
        <v>314.46540880503147</v>
      </c>
      <c r="M4" s="3">
        <f t="shared" si="1"/>
        <v>165.01650165016503</v>
      </c>
      <c r="N4" s="3">
        <f t="shared" si="2"/>
        <v>9433.962264150945</v>
      </c>
      <c r="O4" s="3">
        <f t="shared" si="2"/>
        <v>4950.4950495049507</v>
      </c>
      <c r="P4" s="3">
        <f t="shared" si="3"/>
        <v>42.58385744234802</v>
      </c>
      <c r="Q4" s="3">
        <f t="shared" si="3"/>
        <v>22.345984598459847</v>
      </c>
      <c r="R4" s="3">
        <f t="shared" si="4"/>
        <v>9428.9612019182605</v>
      </c>
      <c r="S4" s="3">
        <f t="shared" si="5"/>
        <v>83.699999999999974</v>
      </c>
      <c r="T4" s="3">
        <f t="shared" si="6"/>
        <v>42.561283203103258</v>
      </c>
      <c r="U4" s="3">
        <f t="shared" si="7"/>
        <v>533.91649836277281</v>
      </c>
      <c r="V4" s="3">
        <f t="shared" si="8"/>
        <v>5100.5484588755035</v>
      </c>
      <c r="W4" s="3">
        <f t="shared" si="9"/>
        <v>23.02330901575748</v>
      </c>
      <c r="X4" s="4">
        <f t="shared" si="0"/>
        <v>18.12</v>
      </c>
      <c r="Y4">
        <f t="shared" ref="Y4:Y9" si="13">X4*0.001341022</f>
        <v>2.4299318640000005E-2</v>
      </c>
      <c r="Z4">
        <f t="shared" ref="Z4:Z9" si="14">Y4/N4*5252</f>
        <v>1.3527722278711681E-2</v>
      </c>
      <c r="AA4">
        <f t="shared" ref="AA4:AA9" si="15">-Z4/2/N4</f>
        <v>-7.1696928077171894E-7</v>
      </c>
      <c r="AB4">
        <v>0.18</v>
      </c>
      <c r="AC4">
        <f>-AB4*AA4</f>
        <v>1.2905447053890941E-7</v>
      </c>
      <c r="AD4">
        <f>AC4/6.66*2048.5</f>
        <v>3.9694907342185574E-5</v>
      </c>
      <c r="AE4">
        <f>AD4*144</f>
        <v>5.716066657274723E-3</v>
      </c>
      <c r="AF4" s="97">
        <f t="shared" si="10"/>
        <v>78.22647469434753</v>
      </c>
    </row>
    <row r="5" spans="1:32" ht="13.95" customHeight="1" x14ac:dyDescent="0.3">
      <c r="B5" s="77">
        <v>1.568888888888889</v>
      </c>
      <c r="C5" s="73">
        <v>102.40000000000002</v>
      </c>
      <c r="D5" s="73">
        <v>1.17</v>
      </c>
      <c r="E5" s="73">
        <v>12</v>
      </c>
      <c r="F5" s="73">
        <v>3</v>
      </c>
      <c r="G5" s="73">
        <v>2450</v>
      </c>
      <c r="H5" s="73">
        <v>3840</v>
      </c>
      <c r="I5" s="78">
        <v>7.4</v>
      </c>
      <c r="J5" s="2">
        <f t="shared" si="12"/>
        <v>36</v>
      </c>
      <c r="K5" s="1">
        <f t="shared" si="11"/>
        <v>102.40000000000002</v>
      </c>
      <c r="L5" s="3">
        <f t="shared" si="1"/>
        <v>408.16326530612247</v>
      </c>
      <c r="M5" s="3">
        <f t="shared" si="1"/>
        <v>260.41666666666669</v>
      </c>
      <c r="N5" s="3">
        <f t="shared" si="2"/>
        <v>12244.897959183674</v>
      </c>
      <c r="O5" s="3">
        <f t="shared" si="2"/>
        <v>7812.5000000000009</v>
      </c>
      <c r="P5" s="3">
        <f t="shared" si="3"/>
        <v>55.272108843537424</v>
      </c>
      <c r="Q5" s="3">
        <f t="shared" si="3"/>
        <v>35.26475694444445</v>
      </c>
      <c r="R5" s="3">
        <f t="shared" si="4"/>
        <v>12463.275113078895</v>
      </c>
      <c r="S5" s="3">
        <f t="shared" si="5"/>
        <v>102.40000000000002</v>
      </c>
      <c r="T5" s="3">
        <f t="shared" si="6"/>
        <v>56.257839052092237</v>
      </c>
      <c r="U5" s="3">
        <f t="shared" si="7"/>
        <v>558.23482705024071</v>
      </c>
      <c r="V5" s="3">
        <f t="shared" si="8"/>
        <v>7804.2947828053293</v>
      </c>
      <c r="W5" s="3">
        <f t="shared" si="9"/>
        <v>35.227719505718504</v>
      </c>
      <c r="X5" s="4">
        <f t="shared" si="0"/>
        <v>36</v>
      </c>
      <c r="Y5">
        <f t="shared" si="13"/>
        <v>4.8276792000000006E-2</v>
      </c>
      <c r="Z5">
        <f t="shared" si="14"/>
        <v>2.070655977936E-2</v>
      </c>
      <c r="AA5">
        <f t="shared" si="15"/>
        <v>-8.4551785765719992E-7</v>
      </c>
      <c r="AB5">
        <v>0.18</v>
      </c>
      <c r="AC5">
        <f>-AB5*AA5</f>
        <v>1.5219321437829598E-7</v>
      </c>
      <c r="AD5">
        <f>AC5/6.66*2048.5</f>
        <v>4.6811981930020919E-5</v>
      </c>
      <c r="AE5">
        <f>AD5*144</f>
        <v>6.7409253979230123E-3</v>
      </c>
      <c r="AF5" s="97">
        <f t="shared" si="10"/>
        <v>101.53477123592863</v>
      </c>
    </row>
    <row r="6" spans="1:32" ht="13.95" customHeight="1" x14ac:dyDescent="0.3">
      <c r="B6" s="77">
        <v>1.6727777777777779</v>
      </c>
      <c r="C6" s="73">
        <v>121.10000000000002</v>
      </c>
      <c r="D6" s="73">
        <v>1.52</v>
      </c>
      <c r="E6" s="73">
        <v>12</v>
      </c>
      <c r="F6" s="73">
        <v>4.5999999999999996</v>
      </c>
      <c r="G6" s="73">
        <v>2000</v>
      </c>
      <c r="H6" s="73">
        <v>2980</v>
      </c>
      <c r="I6" s="78">
        <v>9.4</v>
      </c>
      <c r="J6" s="2">
        <f t="shared" si="12"/>
        <v>55.199999999999996</v>
      </c>
      <c r="K6" s="1">
        <f t="shared" si="11"/>
        <v>121.10000000000002</v>
      </c>
      <c r="L6" s="3">
        <f t="shared" si="1"/>
        <v>500.00000000000006</v>
      </c>
      <c r="M6" s="3">
        <f t="shared" si="1"/>
        <v>335.57046979865771</v>
      </c>
      <c r="N6" s="3">
        <f t="shared" si="2"/>
        <v>15000.000000000002</v>
      </c>
      <c r="O6" s="3">
        <f t="shared" si="2"/>
        <v>10067.114093959732</v>
      </c>
      <c r="P6" s="3">
        <f t="shared" si="3"/>
        <v>67.708333333333343</v>
      </c>
      <c r="Q6" s="3">
        <f t="shared" si="3"/>
        <v>45.44183445190157</v>
      </c>
      <c r="R6" s="3">
        <f t="shared" si="4"/>
        <v>14853.629786790238</v>
      </c>
      <c r="S6" s="3">
        <f t="shared" si="5"/>
        <v>121.10000000000002</v>
      </c>
      <c r="T6" s="3">
        <f t="shared" si="6"/>
        <v>67.047634454261498</v>
      </c>
      <c r="U6" s="3">
        <f t="shared" si="7"/>
        <v>578.46273469155688</v>
      </c>
      <c r="V6" s="3">
        <f t="shared" si="8"/>
        <v>9885.6944218814369</v>
      </c>
      <c r="W6" s="3">
        <f t="shared" si="9"/>
        <v>44.622926209881491</v>
      </c>
      <c r="X6" s="4">
        <f t="shared" si="0"/>
        <v>55.199999999999996</v>
      </c>
      <c r="Y6">
        <f t="shared" si="13"/>
        <v>7.4024414400000002E-2</v>
      </c>
      <c r="Z6">
        <f t="shared" si="14"/>
        <v>2.5918414961919996E-2</v>
      </c>
      <c r="AA6">
        <f t="shared" si="15"/>
        <v>-8.6394716539733309E-7</v>
      </c>
      <c r="AB6">
        <v>0.14000000000000001</v>
      </c>
      <c r="AC6">
        <f>-AB6*AA6</f>
        <v>1.2095260315562663E-7</v>
      </c>
      <c r="AD6">
        <f>AC6/6.66*2048.5</f>
        <v>3.7202914048693865E-5</v>
      </c>
      <c r="AE6">
        <f>AD6*144</f>
        <v>5.3572196230119162E-3</v>
      </c>
      <c r="AF6" s="97">
        <f t="shared" si="10"/>
        <v>124.38009476401257</v>
      </c>
    </row>
    <row r="7" spans="1:32" ht="13.95" customHeight="1" x14ac:dyDescent="0.3">
      <c r="B7" s="77">
        <v>1.7143333333333333</v>
      </c>
      <c r="C7" s="73">
        <v>128.57999999999998</v>
      </c>
      <c r="D7" s="73">
        <v>1.7</v>
      </c>
      <c r="E7" s="73">
        <v>12</v>
      </c>
      <c r="F7" s="73">
        <v>5.4</v>
      </c>
      <c r="G7" s="73">
        <v>1930</v>
      </c>
      <c r="H7" s="73">
        <v>2760</v>
      </c>
      <c r="I7" s="78">
        <v>10.4</v>
      </c>
      <c r="J7" s="2">
        <f t="shared" si="12"/>
        <v>64.800000000000011</v>
      </c>
      <c r="K7" s="1">
        <f t="shared" si="11"/>
        <v>128.57999999999998</v>
      </c>
      <c r="L7" s="3">
        <f t="shared" si="1"/>
        <v>518.13471502590676</v>
      </c>
      <c r="M7" s="3">
        <f t="shared" si="1"/>
        <v>362.31884057971018</v>
      </c>
      <c r="N7" s="3">
        <f t="shared" si="2"/>
        <v>15544.041450777202</v>
      </c>
      <c r="O7" s="3">
        <f t="shared" si="2"/>
        <v>10869.565217391306</v>
      </c>
      <c r="P7" s="3">
        <f t="shared" si="3"/>
        <v>70.164075993091544</v>
      </c>
      <c r="Q7" s="3">
        <f t="shared" si="3"/>
        <v>49.064009661835762</v>
      </c>
      <c r="R7" s="3">
        <f t="shared" si="4"/>
        <v>15704.393027585378</v>
      </c>
      <c r="S7" s="3">
        <f t="shared" si="5"/>
        <v>128.57999999999998</v>
      </c>
      <c r="T7" s="3">
        <f t="shared" si="6"/>
        <v>70.887885193961779</v>
      </c>
      <c r="U7" s="3">
        <f t="shared" si="7"/>
        <v>585.69073547434391</v>
      </c>
      <c r="V7" s="3">
        <f t="shared" si="8"/>
        <v>10910.72055031222</v>
      </c>
      <c r="W7" s="3">
        <f t="shared" si="9"/>
        <v>49.249780261825997</v>
      </c>
      <c r="X7" s="4">
        <f t="shared" si="0"/>
        <v>64.800000000000011</v>
      </c>
      <c r="Y7">
        <f t="shared" si="13"/>
        <v>8.6898225600000017E-2</v>
      </c>
      <c r="Z7">
        <f t="shared" si="14"/>
        <v>2.9361056601427207E-2</v>
      </c>
      <c r="AA7">
        <f t="shared" si="15"/>
        <v>-9.4444732067924179E-7</v>
      </c>
      <c r="AB7">
        <v>0.12</v>
      </c>
      <c r="AC7">
        <f>-AB7*AA7</f>
        <v>1.1333367848150901E-7</v>
      </c>
      <c r="AD7">
        <f>AC7/6.66*2048.5</f>
        <v>3.4859465520926602E-5</v>
      </c>
      <c r="AE7">
        <f>AD7*144</f>
        <v>5.0197630350134305E-3</v>
      </c>
      <c r="AF7" s="97">
        <f t="shared" si="10"/>
        <v>128.89128991089385</v>
      </c>
    </row>
    <row r="8" spans="1:32" ht="13.95" customHeight="1" x14ac:dyDescent="0.3">
      <c r="B8" s="77">
        <v>1.8545833333333333</v>
      </c>
      <c r="C8" s="73">
        <v>153.82499999999999</v>
      </c>
      <c r="D8" s="73">
        <v>2.2000000000000002</v>
      </c>
      <c r="E8" s="73">
        <v>12</v>
      </c>
      <c r="F8" s="73">
        <v>8.6999999999999993</v>
      </c>
      <c r="G8" s="73">
        <v>1610</v>
      </c>
      <c r="H8" s="73">
        <v>2180</v>
      </c>
      <c r="I8" s="78">
        <v>13</v>
      </c>
      <c r="J8" s="2">
        <f t="shared" si="12"/>
        <v>104.39999999999999</v>
      </c>
      <c r="K8" s="1">
        <f t="shared" si="11"/>
        <v>153.82499999999999</v>
      </c>
      <c r="L8" s="3">
        <f t="shared" si="1"/>
        <v>621.11801242236027</v>
      </c>
      <c r="M8" s="3">
        <f t="shared" si="1"/>
        <v>458.71559633027528</v>
      </c>
      <c r="N8" s="3">
        <f t="shared" si="2"/>
        <v>18633.540372670806</v>
      </c>
      <c r="O8" s="3">
        <f t="shared" si="2"/>
        <v>13761.467889908257</v>
      </c>
      <c r="P8" s="3">
        <f t="shared" si="3"/>
        <v>84.10973084886129</v>
      </c>
      <c r="Q8" s="3">
        <f t="shared" si="3"/>
        <v>62.117737003058117</v>
      </c>
      <c r="R8" s="3">
        <f t="shared" si="4"/>
        <v>18770.404673520155</v>
      </c>
      <c r="S8" s="3">
        <f t="shared" si="5"/>
        <v>153.82499999999999</v>
      </c>
      <c r="T8" s="3">
        <f t="shared" si="6"/>
        <v>84.727521095750703</v>
      </c>
      <c r="U8" s="3">
        <f t="shared" si="7"/>
        <v>607.30966665297819</v>
      </c>
      <c r="V8" s="3">
        <f t="shared" si="8"/>
        <v>13596.184005950465</v>
      </c>
      <c r="W8" s="3">
        <f t="shared" si="9"/>
        <v>61.371663915748634</v>
      </c>
      <c r="X8" s="4">
        <f t="shared" si="0"/>
        <v>104.39999999999999</v>
      </c>
      <c r="Y8">
        <f t="shared" si="13"/>
        <v>0.14000269679999999</v>
      </c>
      <c r="Z8">
        <f t="shared" si="14"/>
        <v>3.9460786779523201E-2</v>
      </c>
      <c r="AA8">
        <f t="shared" si="15"/>
        <v>-1.0588644452505392E-6</v>
      </c>
      <c r="AF8" s="97">
        <f t="shared" si="10"/>
        <v>154.50943448945659</v>
      </c>
    </row>
    <row r="9" spans="1:32" ht="13.95" customHeight="1" thickBot="1" x14ac:dyDescent="0.35">
      <c r="B9" s="79">
        <v>1.9470444444444444</v>
      </c>
      <c r="C9" s="80">
        <v>170.46799999999999</v>
      </c>
      <c r="D9" s="80">
        <v>2.71</v>
      </c>
      <c r="E9" s="80">
        <v>12</v>
      </c>
      <c r="F9" s="80">
        <v>13</v>
      </c>
      <c r="G9" s="80">
        <v>1408</v>
      </c>
      <c r="H9" s="80">
        <v>1880</v>
      </c>
      <c r="I9" s="81">
        <v>15</v>
      </c>
      <c r="J9" s="2">
        <f t="shared" si="12"/>
        <v>156</v>
      </c>
      <c r="K9" s="1">
        <f t="shared" si="11"/>
        <v>170.46799999999999</v>
      </c>
      <c r="L9" s="3">
        <f t="shared" si="1"/>
        <v>710.22727272727275</v>
      </c>
      <c r="M9" s="3">
        <f t="shared" si="1"/>
        <v>531.91489361702133</v>
      </c>
      <c r="N9" s="3">
        <f t="shared" si="2"/>
        <v>21306.818181818184</v>
      </c>
      <c r="O9" s="3">
        <f t="shared" si="2"/>
        <v>15957.44680851064</v>
      </c>
      <c r="P9" s="3">
        <f t="shared" si="3"/>
        <v>96.176609848484858</v>
      </c>
      <c r="Q9" s="3">
        <f t="shared" si="3"/>
        <v>72.030141843971634</v>
      </c>
      <c r="R9" s="3">
        <f t="shared" si="4"/>
        <v>21098.594001137539</v>
      </c>
      <c r="S9" s="3">
        <f t="shared" si="5"/>
        <v>170.46799999999999</v>
      </c>
      <c r="T9" s="3">
        <f t="shared" si="6"/>
        <v>95.236709032912501</v>
      </c>
      <c r="U9" s="3">
        <f t="shared" si="7"/>
        <v>619.69894848212812</v>
      </c>
      <c r="V9" s="3">
        <f t="shared" si="8"/>
        <v>16090.182242180526</v>
      </c>
      <c r="W9" s="3">
        <f t="shared" si="9"/>
        <v>72.629294843175998</v>
      </c>
      <c r="X9" s="4">
        <f t="shared" si="0"/>
        <v>156</v>
      </c>
      <c r="Y9">
        <f t="shared" si="13"/>
        <v>0.20919943200000002</v>
      </c>
      <c r="Z9">
        <f t="shared" si="14"/>
        <v>5.1566376898150398E-2</v>
      </c>
      <c r="AA9">
        <f t="shared" si="15"/>
        <v>-1.2100909778765959E-6</v>
      </c>
      <c r="AF9" s="97">
        <f t="shared" si="10"/>
        <v>176.67627097160877</v>
      </c>
    </row>
    <row r="10" spans="1:32" ht="13.95" customHeight="1" x14ac:dyDescent="0.3">
      <c r="N10" s="1">
        <v>9.34</v>
      </c>
      <c r="AB10" t="s">
        <v>49</v>
      </c>
      <c r="AC10">
        <f>AVERAGE(AC4:AC7)</f>
        <v>1.2888349163858527E-7</v>
      </c>
      <c r="AD10">
        <f>AVERAGE(AD4:AD7)</f>
        <v>3.9642317210456738E-5</v>
      </c>
      <c r="AE10">
        <f>AVERAGE(AE4:AE7)</f>
        <v>5.7084936783057703E-3</v>
      </c>
      <c r="AF10" s="97"/>
    </row>
    <row r="11" spans="1:32" ht="13.95" customHeight="1" x14ac:dyDescent="0.3">
      <c r="V11" s="3">
        <f>D11*D11*$AA$35+D11*$AA$36+$AA$37</f>
        <v>0</v>
      </c>
      <c r="W11" s="3"/>
    </row>
    <row r="12" spans="1:32" ht="13.95" customHeight="1" x14ac:dyDescent="0.3"/>
    <row r="13" spans="1:32" ht="13.95" customHeight="1" x14ac:dyDescent="0.3"/>
    <row r="14" spans="1:32" ht="13.95" customHeight="1" x14ac:dyDescent="0.3">
      <c r="B14" s="5"/>
      <c r="C14" s="6"/>
      <c r="D14" s="6"/>
      <c r="E14" s="6"/>
      <c r="F14" s="6"/>
      <c r="G14" s="6"/>
      <c r="H14" s="6"/>
      <c r="I14" s="6"/>
      <c r="J14" s="2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32" ht="13.95" customHeight="1" thickBot="1" x14ac:dyDescent="0.35">
      <c r="B15" s="5"/>
      <c r="C15" s="6"/>
      <c r="D15" s="6"/>
      <c r="E15" s="6"/>
      <c r="F15" s="6"/>
      <c r="G15" s="6"/>
      <c r="H15" s="6"/>
      <c r="I15" s="6"/>
      <c r="J15" s="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Z15" t="s">
        <v>32</v>
      </c>
      <c r="AC15" t="s">
        <v>33</v>
      </c>
      <c r="AF15" s="30"/>
    </row>
    <row r="16" spans="1:32" ht="13.95" customHeight="1" x14ac:dyDescent="0.3">
      <c r="A16" s="3" t="s">
        <v>28</v>
      </c>
      <c r="B16" s="11" t="s">
        <v>29</v>
      </c>
      <c r="C16" s="12"/>
      <c r="D16" s="12"/>
      <c r="E16" s="6"/>
      <c r="F16" s="6"/>
      <c r="G16" s="6"/>
      <c r="H16" s="6"/>
      <c r="I16" s="6"/>
      <c r="J16" s="2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Z16" s="17" t="s">
        <v>3</v>
      </c>
      <c r="AA16" s="18">
        <v>2</v>
      </c>
      <c r="AC16" s="17"/>
      <c r="AD16" s="23" t="s">
        <v>22</v>
      </c>
      <c r="AE16" s="7"/>
      <c r="AF16" s="30"/>
    </row>
    <row r="17" spans="1:36" x14ac:dyDescent="0.3">
      <c r="A17" s="3"/>
      <c r="B17" s="13" t="s">
        <v>30</v>
      </c>
      <c r="C17" s="14"/>
      <c r="D17" s="14"/>
      <c r="E17" s="6"/>
      <c r="F17" s="6"/>
      <c r="G17" s="6"/>
      <c r="H17" s="6"/>
      <c r="I17" s="6"/>
      <c r="J17" s="2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Z17" s="19" t="s">
        <v>4</v>
      </c>
      <c r="AA17" s="20">
        <v>4800</v>
      </c>
      <c r="AC17" s="24" t="s">
        <v>16</v>
      </c>
      <c r="AD17" s="25">
        <v>0</v>
      </c>
      <c r="AF17" s="30"/>
    </row>
    <row r="18" spans="1:36" ht="13.95" customHeight="1" thickBot="1" x14ac:dyDescent="0.35">
      <c r="A18" s="3"/>
      <c r="B18" s="15" t="s">
        <v>31</v>
      </c>
      <c r="C18" s="16"/>
      <c r="D18" s="16"/>
      <c r="E18" s="6"/>
      <c r="F18" s="6"/>
      <c r="G18" s="6"/>
      <c r="H18" s="6"/>
      <c r="I18" s="6"/>
      <c r="J18" s="2"/>
      <c r="L18" s="3"/>
      <c r="M18" s="3"/>
      <c r="N18" s="3"/>
      <c r="O18" s="2"/>
      <c r="P18" s="3"/>
      <c r="Q18" s="3"/>
      <c r="R18" s="3"/>
      <c r="S18" s="3"/>
      <c r="X18" s="3"/>
      <c r="Z18" s="21" t="s">
        <v>5</v>
      </c>
      <c r="AA18" s="22">
        <v>12</v>
      </c>
      <c r="AC18" s="26" t="s">
        <v>17</v>
      </c>
      <c r="AD18" s="27">
        <v>5</v>
      </c>
      <c r="AF18" s="30"/>
    </row>
    <row r="19" spans="1:36" ht="13.95" customHeight="1" x14ac:dyDescent="0.3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/>
      <c r="O19" s="3"/>
      <c r="P19" s="3"/>
      <c r="Q19" s="3"/>
      <c r="R19" s="3"/>
      <c r="S19" s="3"/>
      <c r="X19" s="3"/>
      <c r="AF19" s="30"/>
    </row>
    <row r="20" spans="1:36" ht="24" thickBot="1" x14ac:dyDescent="0.5">
      <c r="B20" s="5"/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X20" s="3"/>
      <c r="Z20" t="s">
        <v>35</v>
      </c>
      <c r="AF20" s="94" t="s">
        <v>54</v>
      </c>
      <c r="AG20" s="5" t="s">
        <v>56</v>
      </c>
      <c r="AH20" s="5"/>
      <c r="AI20" s="5"/>
    </row>
    <row r="21" spans="1:36" ht="15" thickBot="1" x14ac:dyDescent="0.35">
      <c r="B21" s="5"/>
      <c r="C21" s="6"/>
      <c r="D21" s="6"/>
      <c r="E21" s="6"/>
      <c r="F21" s="6"/>
      <c r="G21" s="6"/>
      <c r="H21" s="6"/>
      <c r="I21" s="6"/>
      <c r="J21" s="2"/>
      <c r="L21" s="3"/>
      <c r="M21" s="3"/>
      <c r="N21" s="3"/>
      <c r="O21" s="3"/>
      <c r="P21" s="3"/>
      <c r="Q21" s="3"/>
      <c r="R21" s="3"/>
      <c r="S21" s="3"/>
      <c r="T21" s="3"/>
      <c r="V21" s="3"/>
      <c r="W21" s="3"/>
      <c r="X21" s="3"/>
      <c r="Z21" s="34">
        <v>210</v>
      </c>
      <c r="AA21" s="35" t="s">
        <v>34</v>
      </c>
      <c r="AB21" s="36"/>
      <c r="AC21" s="35"/>
      <c r="AD21" s="35"/>
      <c r="AE21" s="37"/>
      <c r="AG21" s="62" t="s">
        <v>15</v>
      </c>
      <c r="AH21" s="63">
        <f>AA29</f>
        <v>5</v>
      </c>
      <c r="AI21" s="64"/>
      <c r="AJ21" s="29"/>
    </row>
    <row r="22" spans="1:36" x14ac:dyDescent="0.3">
      <c r="B22" s="5"/>
      <c r="C22" s="6"/>
      <c r="D22" s="6"/>
      <c r="E22" s="6"/>
      <c r="F22" s="6"/>
      <c r="G22" s="6"/>
      <c r="H22" s="6"/>
      <c r="I22" s="6"/>
      <c r="J22" s="2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Z22" s="8"/>
      <c r="AB22" s="8"/>
      <c r="AC22" s="8"/>
      <c r="AG22" s="65" t="s">
        <v>14</v>
      </c>
      <c r="AH22" s="66">
        <f>AA28</f>
        <v>0</v>
      </c>
      <c r="AI22" s="45"/>
      <c r="AJ22" s="31"/>
    </row>
    <row r="23" spans="1:36" ht="15" thickBot="1" x14ac:dyDescent="0.35">
      <c r="C23" s="6"/>
      <c r="D23" s="6"/>
      <c r="E23" s="6"/>
      <c r="F23" s="6"/>
      <c r="G23" s="6"/>
      <c r="H23" s="6"/>
      <c r="I23" s="6"/>
      <c r="J23" s="2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Z23" t="s">
        <v>36</v>
      </c>
      <c r="AG23" s="65" t="s">
        <v>17</v>
      </c>
      <c r="AH23" s="66">
        <f>AD18</f>
        <v>5</v>
      </c>
      <c r="AI23" s="30"/>
      <c r="AJ23" s="31"/>
    </row>
    <row r="24" spans="1:36" ht="15" thickBot="1" x14ac:dyDescent="0.35">
      <c r="Z24" s="38" t="s">
        <v>6</v>
      </c>
      <c r="AA24" s="39">
        <f>AA17*AA18/AB24</f>
        <v>22153.846153846152</v>
      </c>
      <c r="AB24" s="40">
        <v>2.6</v>
      </c>
      <c r="AC24" s="35" t="s">
        <v>9</v>
      </c>
      <c r="AD24" s="41"/>
      <c r="AG24" s="65" t="s">
        <v>16</v>
      </c>
      <c r="AH24" s="66">
        <f>AD17</f>
        <v>0</v>
      </c>
      <c r="AI24" s="30"/>
      <c r="AJ24" s="31"/>
    </row>
    <row r="25" spans="1:36" x14ac:dyDescent="0.3">
      <c r="AG25" s="65" t="s">
        <v>27</v>
      </c>
      <c r="AH25" s="66">
        <f>AA24/100</f>
        <v>221.53846153846152</v>
      </c>
      <c r="AI25" s="30"/>
      <c r="AJ25" s="31"/>
    </row>
    <row r="26" spans="1:36" ht="15" thickBot="1" x14ac:dyDescent="0.35"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t="s">
        <v>37</v>
      </c>
      <c r="AG26" s="65" t="s">
        <v>18</v>
      </c>
      <c r="AH26" s="66">
        <f>AC29</f>
        <v>180</v>
      </c>
      <c r="AI26" s="30"/>
      <c r="AJ26" s="31"/>
    </row>
    <row r="27" spans="1:36" ht="28.8" x14ac:dyDescent="0.3">
      <c r="C27" s="6"/>
      <c r="D27" s="6"/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7"/>
      <c r="AA27" s="42" t="s">
        <v>19</v>
      </c>
      <c r="AB27" s="28"/>
      <c r="AC27" s="42" t="s">
        <v>20</v>
      </c>
      <c r="AD27" s="29" t="s">
        <v>109</v>
      </c>
      <c r="AG27" s="65" t="s">
        <v>13</v>
      </c>
      <c r="AH27" s="66">
        <f>AC28</f>
        <v>0</v>
      </c>
      <c r="AI27" s="30"/>
      <c r="AJ27" s="31"/>
    </row>
    <row r="28" spans="1:36" x14ac:dyDescent="0.3">
      <c r="C28" s="6"/>
      <c r="D28" s="6"/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57" t="s">
        <v>14</v>
      </c>
      <c r="AA28" s="58">
        <v>0</v>
      </c>
      <c r="AB28" s="45" t="s">
        <v>13</v>
      </c>
      <c r="AC28" s="59">
        <v>0</v>
      </c>
      <c r="AD28" s="89">
        <f>AD38/AA24*100</f>
        <v>-17.719588605194325</v>
      </c>
      <c r="AE28" t="s">
        <v>106</v>
      </c>
      <c r="AG28" s="65" t="s">
        <v>121</v>
      </c>
      <c r="AH28" s="66">
        <f>AA37</f>
        <v>0</v>
      </c>
      <c r="AI28" s="67">
        <f>AA36</f>
        <v>7227.227639740272</v>
      </c>
      <c r="AJ28" s="68">
        <f>AA35</f>
        <v>-475.97454575994487</v>
      </c>
    </row>
    <row r="29" spans="1:36" x14ac:dyDescent="0.3">
      <c r="B29" t="s">
        <v>55</v>
      </c>
      <c r="C29" s="6"/>
      <c r="D29" s="6"/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57" t="s">
        <v>15</v>
      </c>
      <c r="AA29" s="58">
        <v>5</v>
      </c>
      <c r="AB29" s="45" t="s">
        <v>18</v>
      </c>
      <c r="AC29" s="59">
        <v>180</v>
      </c>
      <c r="AD29" s="60">
        <v>77</v>
      </c>
      <c r="AG29" s="65" t="s">
        <v>59</v>
      </c>
      <c r="AH29" s="66">
        <f>AA39</f>
        <v>0</v>
      </c>
      <c r="AI29" s="67">
        <f>AA38</f>
        <v>120.59807502526535</v>
      </c>
      <c r="AJ29" s="31"/>
    </row>
    <row r="30" spans="1:36" x14ac:dyDescent="0.3">
      <c r="B30" t="s">
        <v>51</v>
      </c>
      <c r="C30" s="6" t="s">
        <v>52</v>
      </c>
      <c r="D30" s="6" t="s">
        <v>53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Z30" s="19"/>
      <c r="AA30" s="30" t="s">
        <v>40</v>
      </c>
      <c r="AB30" s="30"/>
      <c r="AC30" s="61"/>
      <c r="AD30" s="89">
        <f>(AD29-AD28)/(AA29-AA28)</f>
        <v>18.943917721038865</v>
      </c>
      <c r="AG30" s="65" t="s">
        <v>124</v>
      </c>
      <c r="AH30" s="91">
        <f>AD31</f>
        <v>-17.719588605194332</v>
      </c>
      <c r="AI30" s="92">
        <f>AD30</f>
        <v>18.943917721038865</v>
      </c>
      <c r="AJ30" s="31"/>
    </row>
    <row r="31" spans="1:36" x14ac:dyDescent="0.3">
      <c r="B31" s="73">
        <v>87</v>
      </c>
      <c r="C31" s="6">
        <f>B31/180*(2.4-0.53)+0.53</f>
        <v>1.4338333333333333</v>
      </c>
      <c r="D31" s="88">
        <f>(C31-1)*180</f>
        <v>78.089999999999989</v>
      </c>
      <c r="E31" s="6"/>
      <c r="F31" s="6"/>
      <c r="G31" s="6"/>
      <c r="H31" s="6"/>
      <c r="I31" s="6"/>
      <c r="J31" s="9"/>
      <c r="K31" s="6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Z31" s="19"/>
      <c r="AA31" s="30"/>
      <c r="AB31" s="30"/>
      <c r="AC31" s="61"/>
      <c r="AD31" s="89">
        <f>AD29-AD30*(AA29-AA28)</f>
        <v>-17.719588605194332</v>
      </c>
      <c r="AG31" s="65" t="s">
        <v>122</v>
      </c>
      <c r="AH31" s="66">
        <f>AD38</f>
        <v>-3925.570398689204</v>
      </c>
      <c r="AI31" s="69">
        <f>AD37</f>
        <v>0.94199104022164515</v>
      </c>
      <c r="AJ31" s="31"/>
    </row>
    <row r="32" spans="1:36" ht="15" thickBot="1" x14ac:dyDescent="0.35">
      <c r="B32" s="73">
        <v>90</v>
      </c>
      <c r="C32" s="6">
        <f t="shared" ref="C32:C37" si="16">B32/180*(2.4-0.53)+0.53</f>
        <v>1.4649999999999999</v>
      </c>
      <c r="D32" s="88">
        <f t="shared" ref="D32:D37" si="17">(C32-1)*180</f>
        <v>83.699999999999974</v>
      </c>
      <c r="E32" s="6"/>
      <c r="F32" s="6"/>
      <c r="G32" s="6"/>
      <c r="H32" s="6"/>
      <c r="I32" s="6"/>
      <c r="J32" s="9"/>
      <c r="K32" s="6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Z32" s="21"/>
      <c r="AA32" s="32"/>
      <c r="AB32" s="32"/>
      <c r="AC32" s="47"/>
      <c r="AD32" s="48" t="s">
        <v>124</v>
      </c>
      <c r="AG32" s="70" t="s">
        <v>123</v>
      </c>
      <c r="AH32" s="71">
        <f>AD36</f>
        <v>4180.4182204512181</v>
      </c>
      <c r="AI32" s="72">
        <f>AD35</f>
        <v>1.0602056822563426</v>
      </c>
      <c r="AJ32" s="33"/>
    </row>
    <row r="33" spans="2:40" x14ac:dyDescent="0.3">
      <c r="B33" s="73">
        <v>100</v>
      </c>
      <c r="C33" s="6">
        <f t="shared" si="16"/>
        <v>1.568888888888889</v>
      </c>
      <c r="D33" s="88">
        <f t="shared" si="17"/>
        <v>102.40000000000002</v>
      </c>
      <c r="E33" s="6"/>
      <c r="F33" s="6"/>
      <c r="G33" s="6"/>
      <c r="H33" s="6"/>
      <c r="I33" s="6"/>
      <c r="J33" s="9"/>
      <c r="K33" s="6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2:40" ht="15" thickBot="1" x14ac:dyDescent="0.35">
      <c r="B34" s="73">
        <v>110</v>
      </c>
      <c r="C34" s="6">
        <f t="shared" si="16"/>
        <v>1.6727777777777779</v>
      </c>
      <c r="D34" s="88">
        <f t="shared" si="17"/>
        <v>121.10000000000002</v>
      </c>
      <c r="E34" s="6"/>
      <c r="F34" s="6"/>
      <c r="G34" s="6"/>
      <c r="H34" s="6"/>
      <c r="I34" s="6"/>
      <c r="J34" s="2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Z34" t="s">
        <v>38</v>
      </c>
    </row>
    <row r="35" spans="2:40" x14ac:dyDescent="0.3">
      <c r="B35" s="73">
        <v>114</v>
      </c>
      <c r="C35" s="6">
        <f t="shared" si="16"/>
        <v>1.7143333333333333</v>
      </c>
      <c r="D35" s="88">
        <f t="shared" si="17"/>
        <v>128.57999999999998</v>
      </c>
      <c r="Z35" s="49" t="s">
        <v>121</v>
      </c>
      <c r="AA35" s="50">
        <f>INDEX(LINEST($O$3:$O$9,$D$3:$D$9^{1,2},FALSE,FALSE),1)</f>
        <v>-475.97454575994487</v>
      </c>
      <c r="AB35" s="28"/>
      <c r="AC35" s="51" t="s">
        <v>123</v>
      </c>
      <c r="AD35" s="52">
        <f>INDEX(LINEST($N$3:$N$9,$O$3:$O$9),1)</f>
        <v>1.0602056822563426</v>
      </c>
      <c r="AG35" s="104"/>
      <c r="AM35" s="3"/>
      <c r="AN35" s="3"/>
    </row>
    <row r="36" spans="2:40" x14ac:dyDescent="0.3">
      <c r="B36" s="73">
        <v>127.5</v>
      </c>
      <c r="C36" s="6">
        <f t="shared" si="16"/>
        <v>1.8545833333333333</v>
      </c>
      <c r="D36" s="88">
        <f t="shared" si="17"/>
        <v>153.82499999999999</v>
      </c>
      <c r="Z36" s="43"/>
      <c r="AA36" s="53">
        <f>INDEX(LINEST($O$3:$O$9,$D$3:$D$9^{1,2},FALSE,FALSE),2)</f>
        <v>7227.227639740272</v>
      </c>
      <c r="AB36" s="30"/>
      <c r="AC36" s="44"/>
      <c r="AD36" s="46">
        <f>INDEX(LINEST($N$3:$N$9,$O$3:$O$9),2)</f>
        <v>4180.4182204512181</v>
      </c>
    </row>
    <row r="37" spans="2:40" ht="15" thickBot="1" x14ac:dyDescent="0.35">
      <c r="B37" s="80">
        <v>136.4</v>
      </c>
      <c r="C37" s="6">
        <f t="shared" si="16"/>
        <v>1.9470444444444444</v>
      </c>
      <c r="D37" s="88">
        <f t="shared" si="17"/>
        <v>170.46799999999999</v>
      </c>
      <c r="Z37" s="43"/>
      <c r="AA37" s="44">
        <f>INDEX(LINEST($O$3:$O$9,$D$3:$D$9^{1,2},FALSE,FALSE),3)</f>
        <v>0</v>
      </c>
      <c r="AB37" s="30"/>
      <c r="AC37" s="44" t="s">
        <v>122</v>
      </c>
      <c r="AD37" s="46">
        <f>INDEX(LINEST($O$3:$O$9,$N$3:$N$9),1)</f>
        <v>0.94199104022164515</v>
      </c>
    </row>
    <row r="38" spans="2:40" x14ac:dyDescent="0.3">
      <c r="Z38" s="43" t="s">
        <v>59</v>
      </c>
      <c r="AA38" s="54">
        <f>INDEX(LINEST($R$3:$R$9,$K$3:$K$9,FALSE),1)</f>
        <v>120.59807502526535</v>
      </c>
      <c r="AB38" s="30"/>
      <c r="AC38" s="44"/>
      <c r="AD38" s="46">
        <f>INDEX(LINEST($O$3:$O$9,$N$3:$N$9),2)</f>
        <v>-3925.570398689204</v>
      </c>
      <c r="AE38" t="s">
        <v>60</v>
      </c>
    </row>
    <row r="39" spans="2:40" ht="15" thickBot="1" x14ac:dyDescent="0.35">
      <c r="Z39" s="55"/>
      <c r="AA39" s="102">
        <f>INDEX(LINEST($R$3:$R$9,$K$3:$K$9,FALSE),2)</f>
        <v>0</v>
      </c>
      <c r="AB39" s="32"/>
      <c r="AC39" s="32"/>
      <c r="AD39" s="33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6"/>
  <sheetViews>
    <sheetView workbookViewId="0">
      <pane ySplit="2" topLeftCell="A3" activePane="bottomLeft" state="frozen"/>
      <selection pane="bottomLeft" activeCell="G10" sqref="G10"/>
    </sheetView>
  </sheetViews>
  <sheetFormatPr defaultRowHeight="14.4" x14ac:dyDescent="0.3"/>
  <cols>
    <col min="2" max="2" width="6" customWidth="1"/>
    <col min="3" max="3" width="6.88671875" style="1" customWidth="1"/>
    <col min="4" max="4" width="6.44140625" style="1" customWidth="1"/>
    <col min="5" max="5" width="6.33203125" style="1" customWidth="1"/>
    <col min="6" max="6" width="4.66406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1" width="5.109375" style="1" customWidth="1"/>
    <col min="12" max="12" width="7.33203125" style="1" bestFit="1" customWidth="1"/>
    <col min="13" max="13" width="4.33203125" style="1" customWidth="1"/>
    <col min="14" max="14" width="7.33203125" style="1" bestFit="1" customWidth="1"/>
    <col min="15" max="16" width="6.33203125" style="1" customWidth="1"/>
    <col min="17" max="17" width="10.5546875" style="1" customWidth="1"/>
    <col min="18" max="19" width="7.6640625" style="1" customWidth="1"/>
    <col min="20" max="20" width="6.33203125" style="1" customWidth="1"/>
    <col min="21" max="21" width="8.109375" style="1" bestFit="1" customWidth="1"/>
    <col min="22" max="24" width="6.109375" customWidth="1"/>
    <col min="26" max="26" width="9.88671875" bestFit="1" customWidth="1"/>
    <col min="27" max="27" width="10.6640625" customWidth="1"/>
    <col min="28" max="28" width="6.5546875" bestFit="1" customWidth="1"/>
    <col min="29" max="29" width="9.6640625" customWidth="1"/>
    <col min="30" max="30" width="8.5546875" bestFit="1" customWidth="1"/>
    <col min="31" max="31" width="7.88671875" customWidth="1"/>
    <col min="32" max="32" width="10" customWidth="1"/>
    <col min="33" max="33" width="11.5546875" customWidth="1"/>
    <col min="34" max="34" width="11.109375" customWidth="1"/>
    <col min="36" max="36" width="9.6640625" customWidth="1"/>
  </cols>
  <sheetData>
    <row r="1" spans="1:39" ht="58.2" thickBot="1" x14ac:dyDescent="0.35">
      <c r="A1" t="s">
        <v>39</v>
      </c>
      <c r="B1" s="82" t="s">
        <v>52</v>
      </c>
      <c r="C1" s="83" t="s">
        <v>0</v>
      </c>
      <c r="D1" s="83" t="s">
        <v>1</v>
      </c>
      <c r="E1" s="83" t="s">
        <v>10</v>
      </c>
      <c r="F1" s="83" t="s">
        <v>11</v>
      </c>
      <c r="G1" s="83" t="s">
        <v>23</v>
      </c>
      <c r="H1" s="83" t="s">
        <v>110</v>
      </c>
      <c r="I1" s="84" t="s">
        <v>2</v>
      </c>
      <c r="J1" s="4" t="s">
        <v>12</v>
      </c>
      <c r="K1" s="4" t="s">
        <v>7</v>
      </c>
      <c r="L1" s="4" t="s">
        <v>24</v>
      </c>
      <c r="M1" s="4" t="s">
        <v>115</v>
      </c>
      <c r="N1" s="4" t="s">
        <v>25</v>
      </c>
      <c r="O1" s="4" t="s">
        <v>111</v>
      </c>
      <c r="P1" s="4" t="s">
        <v>26</v>
      </c>
      <c r="Q1" s="4" t="s">
        <v>127</v>
      </c>
      <c r="R1" s="4" t="s">
        <v>113</v>
      </c>
      <c r="S1" s="4" t="s">
        <v>7</v>
      </c>
      <c r="T1" s="4" t="s">
        <v>114</v>
      </c>
      <c r="U1" s="4" t="s">
        <v>8</v>
      </c>
      <c r="V1" s="4" t="s">
        <v>125</v>
      </c>
      <c r="W1" s="4" t="s">
        <v>126</v>
      </c>
      <c r="X1" s="4" t="str">
        <f t="shared" ref="X1:X9" si="0">J1</f>
        <v>Charger Pwr, W</v>
      </c>
    </row>
    <row r="2" spans="1:39" ht="15" thickBot="1" x14ac:dyDescent="0.35">
      <c r="B2" s="74">
        <f>C2/180+1</f>
        <v>1</v>
      </c>
      <c r="C2" s="85"/>
      <c r="D2" s="85"/>
      <c r="E2" s="85">
        <v>12.15</v>
      </c>
      <c r="F2" s="85"/>
      <c r="G2" s="85"/>
      <c r="H2" s="103">
        <v>100000000</v>
      </c>
      <c r="I2" s="86">
        <v>2.88</v>
      </c>
      <c r="J2" s="2">
        <f t="shared" ref="J2:J8" si="1">E2*F2</f>
        <v>0</v>
      </c>
      <c r="K2" s="1">
        <f t="shared" ref="K2:K9" si="2">C2</f>
        <v>0</v>
      </c>
      <c r="L2" s="3" t="e">
        <f t="shared" ref="L2:M9" si="3">1/G2/0.000001</f>
        <v>#DIV/0!</v>
      </c>
      <c r="M2" s="3">
        <f t="shared" si="3"/>
        <v>0.01</v>
      </c>
      <c r="N2" s="3" t="e">
        <f t="shared" ref="N2:O9" si="4">L2*60/$AA$13</f>
        <v>#DIV/0!</v>
      </c>
      <c r="O2" s="3">
        <f t="shared" si="4"/>
        <v>0.3</v>
      </c>
      <c r="P2" s="3" t="e">
        <f t="shared" ref="P2:Q9" si="5">N2/$AA$21*100</f>
        <v>#DIV/0!</v>
      </c>
      <c r="Q2" s="3">
        <f t="shared" si="5"/>
        <v>1.3541666666666667E-3</v>
      </c>
      <c r="R2" s="3">
        <f t="shared" ref="R2:R9" si="6">O2*$AD$32+$AD$33</f>
        <v>4180.7362821558954</v>
      </c>
      <c r="S2" s="3">
        <f t="shared" ref="S2:S9" si="7">K2</f>
        <v>0</v>
      </c>
      <c r="T2" s="3">
        <f t="shared" ref="T2:T9" si="8">R2/$AA$21*100</f>
        <v>18.87137905139814</v>
      </c>
      <c r="U2" s="3" t="e">
        <f t="shared" ref="U2:U9" si="9">$AA$35*LN(C2)+$AA$36</f>
        <v>#REF!</v>
      </c>
      <c r="V2" s="3">
        <f t="shared" ref="V2:V9" si="10">D2*D2*$AA$32+D2*$AA$33+$AA$34</f>
        <v>0</v>
      </c>
      <c r="W2" s="3">
        <f t="shared" ref="W2:W9" si="11">V2/$AA$21*100</f>
        <v>0</v>
      </c>
      <c r="X2" s="4">
        <f t="shared" si="0"/>
        <v>0</v>
      </c>
    </row>
    <row r="3" spans="1:39" x14ac:dyDescent="0.3">
      <c r="B3" s="74">
        <v>1.1637222222222223</v>
      </c>
      <c r="C3" s="85">
        <v>29.47000000000002</v>
      </c>
      <c r="D3" s="85">
        <v>0.54</v>
      </c>
      <c r="E3" s="85">
        <v>12.15</v>
      </c>
      <c r="F3" s="85">
        <v>1.56</v>
      </c>
      <c r="G3" s="85">
        <v>3810.7961637948006</v>
      </c>
      <c r="H3" s="85">
        <v>8615</v>
      </c>
      <c r="I3" s="86">
        <v>2.88</v>
      </c>
      <c r="J3" s="2">
        <f t="shared" si="1"/>
        <v>18.954000000000001</v>
      </c>
      <c r="K3" s="1">
        <f>C3</f>
        <v>29.47000000000002</v>
      </c>
      <c r="L3" s="3">
        <f t="shared" si="3"/>
        <v>262.41235611095965</v>
      </c>
      <c r="M3" s="3">
        <f t="shared" si="3"/>
        <v>116.07661056297157</v>
      </c>
      <c r="N3" s="3">
        <f>L3*60/$AA$13</f>
        <v>7872.3706833287897</v>
      </c>
      <c r="O3" s="3">
        <f>M3*60/$AA$13</f>
        <v>3482.2983168891469</v>
      </c>
      <c r="P3" s="3">
        <f>N3/$AA$21*100</f>
        <v>35.535006556692458</v>
      </c>
      <c r="Q3" s="3">
        <f>O3/$AA$21*100</f>
        <v>15.7187076804024</v>
      </c>
      <c r="R3" s="3">
        <f>O3*$AD$32+$AD$33</f>
        <v>7872.3706833287897</v>
      </c>
      <c r="S3" s="3">
        <f t="shared" si="7"/>
        <v>29.47000000000002</v>
      </c>
      <c r="T3" s="3">
        <f>R3/$AA$21*100</f>
        <v>35.535006556692458</v>
      </c>
      <c r="U3" s="3" t="e">
        <f t="shared" si="9"/>
        <v>#REF!</v>
      </c>
      <c r="V3" s="3">
        <f t="shared" si="10"/>
        <v>3895.0045670565864</v>
      </c>
      <c r="W3" s="3">
        <f t="shared" si="11"/>
        <v>17.581617837408203</v>
      </c>
      <c r="X3" s="4">
        <f t="shared" si="0"/>
        <v>18.954000000000001</v>
      </c>
    </row>
    <row r="4" spans="1:39" ht="13.95" customHeight="1" x14ac:dyDescent="0.3">
      <c r="B4" s="77">
        <v>1.2052777777777779</v>
      </c>
      <c r="C4" s="73">
        <v>36.950000000000017</v>
      </c>
      <c r="D4" s="73">
        <v>0.68</v>
      </c>
      <c r="E4" s="73">
        <v>12.14</v>
      </c>
      <c r="F4" s="73">
        <v>1.9</v>
      </c>
      <c r="G4" s="73">
        <v>3247.7925769058029</v>
      </c>
      <c r="H4" s="73">
        <v>6290</v>
      </c>
      <c r="I4" s="78">
        <v>4.0199999999999996</v>
      </c>
      <c r="J4" s="2">
        <f t="shared" si="1"/>
        <v>23.065999999999999</v>
      </c>
      <c r="K4" s="1">
        <f t="shared" si="2"/>
        <v>36.950000000000017</v>
      </c>
      <c r="L4" s="3">
        <f t="shared" si="3"/>
        <v>307.90143653592179</v>
      </c>
      <c r="M4" s="3">
        <f t="shared" si="3"/>
        <v>158.98251192368841</v>
      </c>
      <c r="N4" s="3">
        <f t="shared" si="4"/>
        <v>9237.0430960776539</v>
      </c>
      <c r="O4" s="3">
        <f t="shared" si="4"/>
        <v>4769.4753577106521</v>
      </c>
      <c r="P4" s="3">
        <f t="shared" si="5"/>
        <v>41.694986197572746</v>
      </c>
      <c r="Q4" s="3">
        <f t="shared" si="5"/>
        <v>21.528881822999473</v>
      </c>
      <c r="R4" s="3">
        <f t="shared" si="6"/>
        <v>9237.0430960776539</v>
      </c>
      <c r="S4" s="3">
        <f t="shared" si="7"/>
        <v>36.950000000000017</v>
      </c>
      <c r="T4" s="3">
        <f t="shared" si="8"/>
        <v>41.694986197572746</v>
      </c>
      <c r="U4" s="3" t="e">
        <f t="shared" si="9"/>
        <v>#REF!</v>
      </c>
      <c r="V4" s="3">
        <f t="shared" si="10"/>
        <v>4863.4075129077601</v>
      </c>
      <c r="W4" s="3">
        <f t="shared" si="11"/>
        <v>21.952881134653087</v>
      </c>
      <c r="X4" s="4">
        <f t="shared" si="0"/>
        <v>23.065999999999999</v>
      </c>
    </row>
    <row r="5" spans="1:39" ht="13.95" customHeight="1" x14ac:dyDescent="0.3">
      <c r="B5" s="77">
        <v>1.3299444444444444</v>
      </c>
      <c r="C5" s="73">
        <v>59.389999999999986</v>
      </c>
      <c r="D5" s="73">
        <v>1.18</v>
      </c>
      <c r="E5" s="73">
        <v>12.07</v>
      </c>
      <c r="F5" s="73">
        <v>3.66</v>
      </c>
      <c r="G5" s="73">
        <v>2314.9259570838622</v>
      </c>
      <c r="H5" s="73">
        <v>3623</v>
      </c>
      <c r="I5" s="78">
        <v>7.4</v>
      </c>
      <c r="J5" s="2">
        <f t="shared" si="1"/>
        <v>44.176200000000001</v>
      </c>
      <c r="K5" s="1">
        <f t="shared" si="2"/>
        <v>59.389999999999986</v>
      </c>
      <c r="L5" s="3">
        <f t="shared" si="3"/>
        <v>431.97925918101981</v>
      </c>
      <c r="M5" s="3">
        <f t="shared" si="3"/>
        <v>276.01435274634281</v>
      </c>
      <c r="N5" s="3">
        <f t="shared" si="4"/>
        <v>12959.377775430594</v>
      </c>
      <c r="O5" s="3">
        <f t="shared" si="4"/>
        <v>8280.4305823902851</v>
      </c>
      <c r="P5" s="3">
        <f t="shared" si="5"/>
        <v>58.497191347429769</v>
      </c>
      <c r="Q5" s="3">
        <f t="shared" si="5"/>
        <v>37.376943601067261</v>
      </c>
      <c r="R5" s="3">
        <f t="shared" si="6"/>
        <v>12959.377775430594</v>
      </c>
      <c r="S5" s="3">
        <f t="shared" si="7"/>
        <v>59.389999999999986</v>
      </c>
      <c r="T5" s="3">
        <f t="shared" si="8"/>
        <v>58.497191347429769</v>
      </c>
      <c r="U5" s="3" t="e">
        <f t="shared" si="9"/>
        <v>#REF!</v>
      </c>
      <c r="V5" s="3">
        <f t="shared" si="10"/>
        <v>8182.7859228288407</v>
      </c>
      <c r="W5" s="3">
        <f t="shared" si="11"/>
        <v>36.936186457213523</v>
      </c>
      <c r="X5" s="4">
        <f t="shared" si="0"/>
        <v>44.176200000000001</v>
      </c>
    </row>
    <row r="6" spans="1:39" ht="13.95" customHeight="1" x14ac:dyDescent="0.3">
      <c r="B6" s="77">
        <v>1.4442222222222223</v>
      </c>
      <c r="C6" s="73">
        <v>79.960000000000008</v>
      </c>
      <c r="D6" s="73">
        <v>1.57</v>
      </c>
      <c r="E6" s="73">
        <v>11.96</v>
      </c>
      <c r="F6" s="73">
        <v>6.51</v>
      </c>
      <c r="G6" s="73">
        <v>1890.4108937169444</v>
      </c>
      <c r="H6" s="73">
        <v>2721</v>
      </c>
      <c r="I6" s="78">
        <v>9.5</v>
      </c>
      <c r="J6" s="2">
        <f t="shared" si="1"/>
        <v>77.8596</v>
      </c>
      <c r="K6" s="1">
        <f t="shared" si="2"/>
        <v>79.960000000000008</v>
      </c>
      <c r="L6" s="3">
        <f t="shared" si="3"/>
        <v>528.98552548741941</v>
      </c>
      <c r="M6" s="3">
        <f t="shared" si="3"/>
        <v>367.51194413818456</v>
      </c>
      <c r="N6" s="3">
        <f t="shared" si="4"/>
        <v>15869.565764622583</v>
      </c>
      <c r="O6" s="3">
        <f t="shared" si="4"/>
        <v>11025.358324145536</v>
      </c>
      <c r="P6" s="3">
        <f t="shared" si="5"/>
        <v>71.633456576421381</v>
      </c>
      <c r="Q6" s="3">
        <f t="shared" si="5"/>
        <v>49.76724243537916</v>
      </c>
      <c r="R6" s="3">
        <f t="shared" si="6"/>
        <v>15869.565764622583</v>
      </c>
      <c r="S6" s="3">
        <f t="shared" si="7"/>
        <v>79.960000000000008</v>
      </c>
      <c r="T6" s="3">
        <f t="shared" si="8"/>
        <v>71.633456576421381</v>
      </c>
      <c r="U6" s="3" t="e">
        <f t="shared" si="9"/>
        <v>#REF!</v>
      </c>
      <c r="V6" s="3">
        <f t="shared" si="10"/>
        <v>10620.908743264474</v>
      </c>
      <c r="W6" s="3">
        <f t="shared" si="11"/>
        <v>47.941601966124367</v>
      </c>
      <c r="X6" s="4">
        <f t="shared" si="0"/>
        <v>77.8596</v>
      </c>
    </row>
    <row r="7" spans="1:39" ht="13.95" customHeight="1" x14ac:dyDescent="0.3">
      <c r="B7" s="77">
        <v>1.5169444444444444</v>
      </c>
      <c r="C7" s="73">
        <v>93.05</v>
      </c>
      <c r="D7" s="73">
        <v>1.88</v>
      </c>
      <c r="E7" s="73">
        <v>11.86</v>
      </c>
      <c r="F7" s="73">
        <v>8.49</v>
      </c>
      <c r="G7" s="73">
        <v>1735.553038041201</v>
      </c>
      <c r="H7" s="73">
        <v>2427</v>
      </c>
      <c r="I7" s="78">
        <v>10.5</v>
      </c>
      <c r="J7" s="2">
        <f t="shared" si="1"/>
        <v>100.6914</v>
      </c>
      <c r="K7" s="1">
        <f t="shared" si="2"/>
        <v>93.05</v>
      </c>
      <c r="L7" s="3">
        <f t="shared" si="3"/>
        <v>576.18521478815251</v>
      </c>
      <c r="M7" s="3">
        <f t="shared" si="3"/>
        <v>412.03131437989288</v>
      </c>
      <c r="N7" s="3">
        <f t="shared" si="4"/>
        <v>17285.556443644575</v>
      </c>
      <c r="O7" s="3">
        <f t="shared" si="4"/>
        <v>12360.939431396786</v>
      </c>
      <c r="P7" s="3">
        <f t="shared" si="5"/>
        <v>78.025081169228997</v>
      </c>
      <c r="Q7" s="3">
        <f t="shared" si="5"/>
        <v>55.795907155610493</v>
      </c>
      <c r="R7" s="3">
        <f t="shared" si="6"/>
        <v>17285.556443644575</v>
      </c>
      <c r="S7" s="3">
        <f t="shared" si="7"/>
        <v>93.05</v>
      </c>
      <c r="T7" s="3">
        <f t="shared" si="8"/>
        <v>78.025081169228997</v>
      </c>
      <c r="U7" s="3" t="e">
        <f t="shared" si="9"/>
        <v>#REF!</v>
      </c>
      <c r="V7" s="3">
        <f t="shared" si="10"/>
        <v>12464.506405406451</v>
      </c>
      <c r="W7" s="3">
        <f t="shared" si="11"/>
        <v>56.263396968848568</v>
      </c>
      <c r="X7" s="4">
        <f t="shared" si="0"/>
        <v>100.6914</v>
      </c>
    </row>
    <row r="8" spans="1:39" ht="13.95" customHeight="1" x14ac:dyDescent="0.3">
      <c r="B8" s="77">
        <v>1.6208333333333333</v>
      </c>
      <c r="C8" s="73">
        <v>111.75</v>
      </c>
      <c r="D8" s="73">
        <v>2.2400000000000002</v>
      </c>
      <c r="E8" s="73">
        <v>11.55</v>
      </c>
      <c r="F8" s="73">
        <v>13.48</v>
      </c>
      <c r="G8" s="73">
        <v>1544.1739275824405</v>
      </c>
      <c r="H8" s="73">
        <v>2086</v>
      </c>
      <c r="I8" s="78">
        <v>12.4</v>
      </c>
      <c r="J8" s="2">
        <f t="shared" si="1"/>
        <v>155.69400000000002</v>
      </c>
      <c r="K8" s="1">
        <f t="shared" si="2"/>
        <v>111.75</v>
      </c>
      <c r="L8" s="3">
        <f t="shared" si="3"/>
        <v>647.59544384070819</v>
      </c>
      <c r="M8" s="3">
        <f t="shared" si="3"/>
        <v>479.38638542665387</v>
      </c>
      <c r="N8" s="3">
        <f t="shared" si="4"/>
        <v>19427.863315221246</v>
      </c>
      <c r="O8" s="3">
        <f t="shared" si="4"/>
        <v>14381.591562799616</v>
      </c>
      <c r="P8" s="3">
        <f t="shared" si="5"/>
        <v>87.695216353429245</v>
      </c>
      <c r="Q8" s="3">
        <f t="shared" si="5"/>
        <v>64.916906359859382</v>
      </c>
      <c r="R8" s="3">
        <f t="shared" si="6"/>
        <v>19427.863315221246</v>
      </c>
      <c r="S8" s="3">
        <f t="shared" si="7"/>
        <v>111.75</v>
      </c>
      <c r="T8" s="3">
        <f t="shared" si="8"/>
        <v>87.695216353429245</v>
      </c>
      <c r="U8" s="3" t="e">
        <f t="shared" si="9"/>
        <v>#REF!</v>
      </c>
      <c r="V8" s="3">
        <f t="shared" si="10"/>
        <v>14500.533861250387</v>
      </c>
      <c r="W8" s="3">
        <f t="shared" si="11"/>
        <v>65.453798679255229</v>
      </c>
      <c r="X8" s="4">
        <f t="shared" si="0"/>
        <v>155.69400000000002</v>
      </c>
    </row>
    <row r="9" spans="1:39" ht="13.95" customHeight="1" thickBot="1" x14ac:dyDescent="0.35">
      <c r="B9" s="79">
        <v>1.7766666666666666</v>
      </c>
      <c r="C9" s="80">
        <v>139.79999999999998</v>
      </c>
      <c r="D9" s="80">
        <v>2.68</v>
      </c>
      <c r="E9" s="80"/>
      <c r="F9" s="80"/>
      <c r="G9" s="80">
        <v>1361.8412878381814</v>
      </c>
      <c r="H9" s="80">
        <v>1782</v>
      </c>
      <c r="I9" s="81">
        <v>14.4</v>
      </c>
      <c r="J9" s="2"/>
      <c r="K9" s="1">
        <f t="shared" si="2"/>
        <v>139.79999999999998</v>
      </c>
      <c r="L9" s="3">
        <f t="shared" si="3"/>
        <v>734.29995766057527</v>
      </c>
      <c r="M9" s="3">
        <f t="shared" si="3"/>
        <v>561.16722783389457</v>
      </c>
      <c r="N9" s="3">
        <f t="shared" si="4"/>
        <v>22028.998729817256</v>
      </c>
      <c r="O9" s="3">
        <f t="shared" si="4"/>
        <v>16835.016835016839</v>
      </c>
      <c r="P9" s="3">
        <f t="shared" si="5"/>
        <v>99.436452599869568</v>
      </c>
      <c r="Q9" s="3">
        <f t="shared" si="5"/>
        <v>75.991395435839905</v>
      </c>
      <c r="R9" s="3">
        <f t="shared" si="6"/>
        <v>22028.99872981726</v>
      </c>
      <c r="S9" s="3">
        <f t="shared" si="7"/>
        <v>139.79999999999998</v>
      </c>
      <c r="T9" s="3">
        <f t="shared" si="8"/>
        <v>99.436452599869583</v>
      </c>
      <c r="U9" s="3" t="e">
        <f t="shared" si="9"/>
        <v>#REF!</v>
      </c>
      <c r="V9" s="3">
        <f t="shared" si="10"/>
        <v>16835.887969335286</v>
      </c>
      <c r="W9" s="3">
        <f t="shared" si="11"/>
        <v>75.995327639360681</v>
      </c>
      <c r="X9" s="4">
        <f t="shared" si="0"/>
        <v>0</v>
      </c>
    </row>
    <row r="10" spans="1:39" ht="13.95" customHeight="1" x14ac:dyDescent="0.3"/>
    <row r="11" spans="1:39" ht="13.95" customHeight="1" x14ac:dyDescent="0.3">
      <c r="B11" s="5"/>
      <c r="C11" s="6"/>
      <c r="D11" s="6"/>
      <c r="E11" s="6"/>
      <c r="F11" s="6"/>
      <c r="G11" s="6"/>
      <c r="H11" s="6"/>
      <c r="I11" s="6"/>
      <c r="J11" s="2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39" ht="13.95" customHeight="1" thickBot="1" x14ac:dyDescent="0.35">
      <c r="B12" s="5"/>
      <c r="C12" s="6"/>
      <c r="D12" s="6"/>
      <c r="E12" s="6"/>
      <c r="F12" s="6"/>
      <c r="G12" s="6"/>
      <c r="H12" s="6"/>
      <c r="I12" s="6"/>
      <c r="J12" s="2"/>
      <c r="L12" s="3"/>
      <c r="M12" s="3"/>
      <c r="N12" s="3" t="s">
        <v>41</v>
      </c>
      <c r="O12" s="3" t="s">
        <v>42</v>
      </c>
      <c r="P12" s="3" t="s">
        <v>43</v>
      </c>
      <c r="Q12" s="3"/>
      <c r="R12" s="3"/>
      <c r="S12" s="3"/>
      <c r="T12" s="3"/>
      <c r="U12" s="3"/>
      <c r="V12" s="3"/>
      <c r="W12" s="3"/>
      <c r="X12" s="3"/>
      <c r="Z12" t="s">
        <v>32</v>
      </c>
      <c r="AC12" t="s">
        <v>33</v>
      </c>
      <c r="AF12" s="30"/>
      <c r="AG12" s="30"/>
      <c r="AH12" s="30"/>
      <c r="AI12" s="30"/>
      <c r="AJ12" s="30"/>
      <c r="AK12" s="30"/>
      <c r="AL12" s="30"/>
      <c r="AM12" s="30"/>
    </row>
    <row r="13" spans="1:39" ht="13.95" customHeight="1" x14ac:dyDescent="0.3">
      <c r="A13" s="3" t="s">
        <v>28</v>
      </c>
      <c r="B13" s="11" t="s">
        <v>29</v>
      </c>
      <c r="C13" s="12"/>
      <c r="D13" s="12"/>
      <c r="E13" s="6"/>
      <c r="F13" s="6"/>
      <c r="G13" s="6"/>
      <c r="H13" s="6"/>
      <c r="I13" s="6"/>
      <c r="J13" s="2"/>
      <c r="L13" s="3"/>
      <c r="M13" s="3"/>
      <c r="N13" s="3">
        <v>3482.2983168891469</v>
      </c>
      <c r="O13" s="3">
        <f>N13*CalArduinoHiTec!$AD$35+CalArduinoHiTec!$AD$36</f>
        <v>7872.3706833287897</v>
      </c>
      <c r="P13" s="3">
        <f t="shared" ref="P13:P19" si="12">O13/60*$AA$13</f>
        <v>262.41235611095965</v>
      </c>
      <c r="Q13" s="3">
        <f>1/P13/0.000001</f>
        <v>3810.7961637948006</v>
      </c>
      <c r="R13" s="3"/>
      <c r="S13" s="3"/>
      <c r="T13" s="3"/>
      <c r="U13" s="3"/>
      <c r="V13" s="3"/>
      <c r="W13" s="3"/>
      <c r="X13" s="3"/>
      <c r="Z13" s="17" t="s">
        <v>3</v>
      </c>
      <c r="AA13" s="18">
        <v>2</v>
      </c>
      <c r="AC13" s="17"/>
      <c r="AD13" s="23" t="s">
        <v>22</v>
      </c>
      <c r="AE13" s="7"/>
      <c r="AF13" s="30"/>
      <c r="AG13" s="30"/>
      <c r="AH13" s="30"/>
      <c r="AI13" s="30"/>
      <c r="AJ13" s="30"/>
      <c r="AK13" s="30"/>
      <c r="AL13" s="30"/>
      <c r="AM13" s="30"/>
    </row>
    <row r="14" spans="1:39" x14ac:dyDescent="0.3">
      <c r="A14" s="3"/>
      <c r="B14" s="13" t="s">
        <v>30</v>
      </c>
      <c r="C14" s="14"/>
      <c r="D14" s="14"/>
      <c r="E14" s="6"/>
      <c r="F14" s="6"/>
      <c r="G14" s="6"/>
      <c r="H14" s="6"/>
      <c r="I14" s="6"/>
      <c r="J14" s="2"/>
      <c r="L14" s="3"/>
      <c r="M14" s="3"/>
      <c r="N14" s="3">
        <v>4769.4753577106521</v>
      </c>
      <c r="O14" s="3">
        <f>N14*CalArduinoHiTec!$AD$35+CalArduinoHiTec!$AD$36</f>
        <v>9237.0430960776539</v>
      </c>
      <c r="P14" s="3">
        <f t="shared" si="12"/>
        <v>307.90143653592179</v>
      </c>
      <c r="Q14" s="3">
        <f t="shared" ref="Q14:Q19" si="13">1/P14/0.000001</f>
        <v>3247.7925769058029</v>
      </c>
      <c r="R14" s="3"/>
      <c r="S14" s="3"/>
      <c r="T14" s="3"/>
      <c r="U14" s="3"/>
      <c r="V14" s="3"/>
      <c r="W14" s="3"/>
      <c r="X14" s="3"/>
      <c r="Z14" s="19" t="s">
        <v>4</v>
      </c>
      <c r="AA14" s="20">
        <v>4800</v>
      </c>
      <c r="AC14" s="24" t="s">
        <v>16</v>
      </c>
      <c r="AD14" s="25">
        <v>0</v>
      </c>
      <c r="AF14" s="30"/>
      <c r="AG14" s="30"/>
      <c r="AH14" s="30"/>
      <c r="AI14" s="30"/>
      <c r="AJ14" s="30"/>
      <c r="AK14" s="30"/>
      <c r="AL14" s="30"/>
      <c r="AM14" s="30"/>
    </row>
    <row r="15" spans="1:39" ht="13.95" customHeight="1" thickBot="1" x14ac:dyDescent="0.35">
      <c r="A15" s="3"/>
      <c r="B15" s="15" t="s">
        <v>31</v>
      </c>
      <c r="C15" s="16"/>
      <c r="D15" s="16"/>
      <c r="E15" s="6"/>
      <c r="F15" s="6"/>
      <c r="G15" s="6"/>
      <c r="H15" s="6"/>
      <c r="I15" s="6"/>
      <c r="J15" s="2"/>
      <c r="L15" s="3"/>
      <c r="M15" s="3"/>
      <c r="N15" s="3">
        <v>8280.4305823902851</v>
      </c>
      <c r="O15" s="3">
        <f>N15*CalArduinoHiTec!$AD$35+CalArduinoHiTec!$AD$36</f>
        <v>12959.377775430594</v>
      </c>
      <c r="P15" s="3">
        <f t="shared" si="12"/>
        <v>431.97925918101981</v>
      </c>
      <c r="Q15" s="3">
        <f t="shared" si="13"/>
        <v>2314.9259570838622</v>
      </c>
      <c r="R15" s="3"/>
      <c r="S15" s="3"/>
      <c r="X15" s="3"/>
      <c r="Z15" s="21" t="s">
        <v>5</v>
      </c>
      <c r="AA15" s="22">
        <v>12</v>
      </c>
      <c r="AC15" s="26" t="s">
        <v>17</v>
      </c>
      <c r="AD15" s="27">
        <v>5</v>
      </c>
      <c r="AF15" s="30"/>
      <c r="AG15" s="30"/>
      <c r="AH15" s="93"/>
      <c r="AI15" s="93"/>
      <c r="AJ15" s="30"/>
      <c r="AK15" s="30"/>
      <c r="AL15" s="30"/>
      <c r="AM15" s="30"/>
    </row>
    <row r="16" spans="1:39" ht="13.95" customHeight="1" x14ac:dyDescent="0.3">
      <c r="B16" s="5"/>
      <c r="C16" s="6"/>
      <c r="D16" s="6"/>
      <c r="E16" s="6"/>
      <c r="F16" s="6"/>
      <c r="G16" s="6"/>
      <c r="H16" s="6"/>
      <c r="I16" s="6"/>
      <c r="J16" s="2"/>
      <c r="L16" s="3"/>
      <c r="M16" s="3"/>
      <c r="N16" s="3">
        <v>11025.358324145536</v>
      </c>
      <c r="O16" s="3">
        <f>N16*CalArduinoHiTec!$AD$35+CalArduinoHiTec!$AD$36</f>
        <v>15869.565764622583</v>
      </c>
      <c r="P16" s="3">
        <f t="shared" si="12"/>
        <v>528.98552548741941</v>
      </c>
      <c r="Q16" s="3">
        <f t="shared" si="13"/>
        <v>1890.4108937169444</v>
      </c>
      <c r="R16" s="3"/>
      <c r="S16" s="3"/>
      <c r="X16" s="3"/>
      <c r="AF16" s="30"/>
      <c r="AG16" s="30"/>
      <c r="AH16" s="30"/>
      <c r="AI16" s="30"/>
      <c r="AJ16" s="30"/>
      <c r="AK16" s="30"/>
      <c r="AL16" s="30"/>
      <c r="AM16" s="30"/>
    </row>
    <row r="17" spans="2:40" ht="24" thickBot="1" x14ac:dyDescent="0.5">
      <c r="B17" s="5"/>
      <c r="C17" s="6"/>
      <c r="D17" s="6"/>
      <c r="E17" s="6"/>
      <c r="F17" s="6"/>
      <c r="G17" s="6"/>
      <c r="H17" s="6"/>
      <c r="I17" s="6"/>
      <c r="J17" s="2"/>
      <c r="L17" s="3"/>
      <c r="M17" s="3"/>
      <c r="N17" s="3">
        <v>12360.939431396786</v>
      </c>
      <c r="O17" s="3">
        <f>N17*CalArduinoHiTec!$AD$35+CalArduinoHiTec!$AD$36</f>
        <v>17285.556443644575</v>
      </c>
      <c r="P17" s="3">
        <f t="shared" si="12"/>
        <v>576.18521478815251</v>
      </c>
      <c r="Q17" s="3">
        <f t="shared" si="13"/>
        <v>1735.553038041201</v>
      </c>
      <c r="R17" s="3"/>
      <c r="S17" s="3"/>
      <c r="X17" s="3"/>
      <c r="Z17" t="s">
        <v>35</v>
      </c>
      <c r="AF17" s="94" t="s">
        <v>54</v>
      </c>
      <c r="AG17" s="5" t="s">
        <v>57</v>
      </c>
      <c r="AH17" s="5"/>
      <c r="AI17" s="5"/>
    </row>
    <row r="18" spans="2:40" ht="15" thickBot="1" x14ac:dyDescent="0.35">
      <c r="B18" s="5"/>
      <c r="C18" s="6"/>
      <c r="D18" s="6"/>
      <c r="E18" s="6"/>
      <c r="F18" s="6"/>
      <c r="G18" s="6"/>
      <c r="H18" s="6"/>
      <c r="I18" s="6"/>
      <c r="J18" s="2"/>
      <c r="L18" s="3"/>
      <c r="M18" s="3"/>
      <c r="N18" s="3">
        <v>14381.591562799616</v>
      </c>
      <c r="O18" s="3">
        <f>N18*CalArduinoHiTec!$AD$35+CalArduinoHiTec!$AD$36</f>
        <v>19427.863315221246</v>
      </c>
      <c r="P18" s="3">
        <f t="shared" si="12"/>
        <v>647.59544384070819</v>
      </c>
      <c r="Q18" s="3">
        <f t="shared" si="13"/>
        <v>1544.1739275824405</v>
      </c>
      <c r="R18" s="3"/>
      <c r="S18" s="3"/>
      <c r="T18" s="3"/>
      <c r="V18" s="3"/>
      <c r="W18" s="3"/>
      <c r="X18" s="3"/>
      <c r="Z18" s="34">
        <v>210</v>
      </c>
      <c r="AA18" s="35" t="s">
        <v>34</v>
      </c>
      <c r="AB18" s="36"/>
      <c r="AC18" s="35"/>
      <c r="AD18" s="35"/>
      <c r="AE18" s="37"/>
      <c r="AG18" s="62" t="s">
        <v>15</v>
      </c>
      <c r="AH18" s="87">
        <f>AA26</f>
        <v>3.3</v>
      </c>
      <c r="AI18" s="64"/>
      <c r="AJ18" s="29"/>
    </row>
    <row r="19" spans="2:40" x14ac:dyDescent="0.3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>
        <v>16835.016835016839</v>
      </c>
      <c r="O19" s="3">
        <f>N19*CalArduinoHiTec!$AD$35+CalArduinoHiTec!$AD$36</f>
        <v>22028.99872981726</v>
      </c>
      <c r="P19" s="3">
        <f t="shared" si="12"/>
        <v>734.29995766057539</v>
      </c>
      <c r="Q19" s="3">
        <f t="shared" si="13"/>
        <v>1361.8412878381814</v>
      </c>
      <c r="R19" s="3"/>
      <c r="S19" s="3"/>
      <c r="T19" s="3"/>
      <c r="U19" s="3"/>
      <c r="V19" s="3"/>
      <c r="W19" s="3"/>
      <c r="X19" s="3"/>
      <c r="Z19" s="8"/>
      <c r="AB19" s="8"/>
      <c r="AC19" s="8"/>
      <c r="AG19" s="65" t="s">
        <v>14</v>
      </c>
      <c r="AH19" s="66">
        <f>AA25</f>
        <v>0</v>
      </c>
      <c r="AI19" s="45"/>
      <c r="AJ19" s="31"/>
    </row>
    <row r="20" spans="2:40" ht="15" thickBot="1" x14ac:dyDescent="0.35"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Z20" t="s">
        <v>36</v>
      </c>
      <c r="AG20" s="65" t="s">
        <v>17</v>
      </c>
      <c r="AH20" s="66">
        <f>AD15</f>
        <v>5</v>
      </c>
      <c r="AI20" s="30"/>
      <c r="AJ20" s="31"/>
    </row>
    <row r="21" spans="2:40" ht="15" thickBot="1" x14ac:dyDescent="0.35">
      <c r="Z21" s="38" t="s">
        <v>6</v>
      </c>
      <c r="AA21" s="39">
        <f>AA14*AA15/AB21</f>
        <v>22153.846153846152</v>
      </c>
      <c r="AB21" s="40">
        <v>2.6</v>
      </c>
      <c r="AC21" s="35" t="s">
        <v>9</v>
      </c>
      <c r="AD21" s="41"/>
      <c r="AE21" s="8"/>
      <c r="AG21" s="65" t="s">
        <v>16</v>
      </c>
      <c r="AH21" s="66">
        <f>AD14</f>
        <v>0</v>
      </c>
      <c r="AI21" s="30"/>
      <c r="AJ21" s="31"/>
    </row>
    <row r="22" spans="2:40" x14ac:dyDescent="0.3">
      <c r="AE22" s="8"/>
      <c r="AG22" s="65" t="s">
        <v>27</v>
      </c>
      <c r="AH22" s="90">
        <f>AA21/100</f>
        <v>221.53846153846152</v>
      </c>
      <c r="AI22" s="30"/>
      <c r="AJ22" s="31"/>
    </row>
    <row r="23" spans="2:40" ht="15" thickBot="1" x14ac:dyDescent="0.35">
      <c r="C23" s="6"/>
      <c r="D23" s="6"/>
      <c r="E23" s="6"/>
      <c r="F23" s="6"/>
      <c r="G23" s="6"/>
      <c r="H23" s="6"/>
      <c r="I23" s="6"/>
      <c r="J23" s="9"/>
      <c r="K23" s="6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Z23" t="s">
        <v>37</v>
      </c>
      <c r="AG23" s="65" t="s">
        <v>18</v>
      </c>
      <c r="AH23" s="66">
        <f>AC26</f>
        <v>180</v>
      </c>
      <c r="AI23" s="30"/>
      <c r="AJ23" s="31"/>
      <c r="AN23" s="3"/>
    </row>
    <row r="24" spans="2:40" ht="28.8" x14ac:dyDescent="0.3">
      <c r="C24" s="6"/>
      <c r="D24" s="6"/>
      <c r="E24" s="6"/>
      <c r="F24" s="6"/>
      <c r="G24" s="6"/>
      <c r="H24" s="6"/>
      <c r="I24" s="6"/>
      <c r="J24" s="9"/>
      <c r="K24" s="6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Z24" s="17"/>
      <c r="AA24" s="42" t="s">
        <v>19</v>
      </c>
      <c r="AB24" s="28"/>
      <c r="AC24" s="42" t="s">
        <v>20</v>
      </c>
      <c r="AD24" s="29" t="s">
        <v>109</v>
      </c>
      <c r="AG24" s="65" t="s">
        <v>13</v>
      </c>
      <c r="AH24" s="66">
        <f>AC25</f>
        <v>0</v>
      </c>
      <c r="AI24" s="30"/>
      <c r="AJ24" s="31"/>
    </row>
    <row r="25" spans="2:40" x14ac:dyDescent="0.3">
      <c r="C25" s="6"/>
      <c r="D25" s="6"/>
      <c r="E25" s="6"/>
      <c r="F25" s="6"/>
      <c r="G25" s="6"/>
      <c r="H25" s="6"/>
      <c r="I25" s="6"/>
      <c r="J25" s="9"/>
      <c r="K25" s="6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Z25" s="57" t="s">
        <v>14</v>
      </c>
      <c r="AA25" s="58">
        <v>0</v>
      </c>
      <c r="AB25" s="45" t="s">
        <v>13</v>
      </c>
      <c r="AC25" s="59">
        <v>0</v>
      </c>
      <c r="AD25" s="89">
        <f>AD35/AA21*100</f>
        <v>-17.719588605194325</v>
      </c>
      <c r="AE25" t="s">
        <v>106</v>
      </c>
      <c r="AG25" s="65" t="s">
        <v>121</v>
      </c>
      <c r="AH25" s="66">
        <f>AA34</f>
        <v>0</v>
      </c>
      <c r="AI25" s="67">
        <f>AA33</f>
        <v>7447.8773934613846</v>
      </c>
      <c r="AJ25" s="68">
        <f>AA32</f>
        <v>-435.01106108560197</v>
      </c>
    </row>
    <row r="26" spans="2:40" x14ac:dyDescent="0.3">
      <c r="B26" t="s">
        <v>55</v>
      </c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s="57" t="s">
        <v>15</v>
      </c>
      <c r="AA26" s="58">
        <v>3.3</v>
      </c>
      <c r="AB26" s="45" t="s">
        <v>18</v>
      </c>
      <c r="AC26" s="59">
        <v>180</v>
      </c>
      <c r="AD26" s="60">
        <v>77</v>
      </c>
      <c r="AG26" s="65" t="s">
        <v>21</v>
      </c>
      <c r="AH26" s="66" t="e">
        <f>AA36</f>
        <v>#REF!</v>
      </c>
      <c r="AI26" s="67" t="e">
        <f>AA35</f>
        <v>#REF!</v>
      </c>
      <c r="AJ26" s="31"/>
    </row>
    <row r="27" spans="2:40" ht="15" thickBot="1" x14ac:dyDescent="0.35">
      <c r="B27" t="s">
        <v>51</v>
      </c>
      <c r="C27" s="6" t="s">
        <v>52</v>
      </c>
      <c r="D27" s="6" t="s">
        <v>53</v>
      </c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9"/>
      <c r="AA27" s="30" t="s">
        <v>40</v>
      </c>
      <c r="AB27" s="30"/>
      <c r="AC27" s="61"/>
      <c r="AD27" s="89">
        <f>(AD26-AD25)/(AA26-AA25)</f>
        <v>28.702905637937679</v>
      </c>
      <c r="AG27" s="65" t="s">
        <v>124</v>
      </c>
      <c r="AH27" s="91">
        <f>AD28</f>
        <v>-17.719588605194332</v>
      </c>
      <c r="AI27" s="92">
        <f>AD27</f>
        <v>28.702905637937679</v>
      </c>
      <c r="AJ27" s="31"/>
    </row>
    <row r="28" spans="2:40" x14ac:dyDescent="0.3">
      <c r="B28" s="85">
        <v>61</v>
      </c>
      <c r="C28" s="6">
        <f>B28/180*(2.4-0.53)+0.53</f>
        <v>1.1637222222222223</v>
      </c>
      <c r="D28" s="88">
        <f>(C28-1)*180</f>
        <v>29.47000000000002</v>
      </c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19"/>
      <c r="AA28" s="30"/>
      <c r="AB28" s="30"/>
      <c r="AC28" s="61"/>
      <c r="AD28" s="89">
        <f>AD26-AD27*(AA26-AA25)</f>
        <v>-17.719588605194332</v>
      </c>
      <c r="AG28" s="65" t="s">
        <v>122</v>
      </c>
      <c r="AH28" s="66">
        <f>AD35</f>
        <v>-3925.570398689204</v>
      </c>
      <c r="AI28" s="69">
        <f>AD34</f>
        <v>0.94199104022164515</v>
      </c>
      <c r="AJ28" s="31"/>
    </row>
    <row r="29" spans="2:40" ht="15" thickBot="1" x14ac:dyDescent="0.35">
      <c r="B29" s="73">
        <v>65</v>
      </c>
      <c r="C29" s="6">
        <f t="shared" ref="C29:C34" si="14">B29/180*(2.4-0.53)+0.53</f>
        <v>1.2052777777777779</v>
      </c>
      <c r="D29" s="88">
        <f t="shared" ref="D29:D34" si="15">(C29-1)*180</f>
        <v>36.950000000000017</v>
      </c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21"/>
      <c r="AA29" s="32"/>
      <c r="AB29" s="32"/>
      <c r="AC29" s="47"/>
      <c r="AD29" s="48" t="s">
        <v>124</v>
      </c>
      <c r="AG29" s="70" t="s">
        <v>123</v>
      </c>
      <c r="AH29" s="71">
        <f>AD33</f>
        <v>4180.4182204512181</v>
      </c>
      <c r="AI29" s="72">
        <f>AD32</f>
        <v>1.0602056822563426</v>
      </c>
      <c r="AJ29" s="33"/>
    </row>
    <row r="30" spans="2:40" x14ac:dyDescent="0.3">
      <c r="B30" s="73">
        <v>77</v>
      </c>
      <c r="C30" s="6">
        <f t="shared" si="14"/>
        <v>1.3299444444444444</v>
      </c>
      <c r="D30" s="88">
        <f t="shared" si="15"/>
        <v>59.389999999999986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2:40" ht="15" thickBot="1" x14ac:dyDescent="0.35">
      <c r="B31" s="73">
        <v>88</v>
      </c>
      <c r="C31" s="6">
        <f t="shared" si="14"/>
        <v>1.4442222222222223</v>
      </c>
      <c r="D31" s="88">
        <f t="shared" si="15"/>
        <v>79.960000000000008</v>
      </c>
      <c r="E31" s="6"/>
      <c r="F31" s="6"/>
      <c r="G31" s="6"/>
      <c r="H31" s="6"/>
      <c r="I31" s="6"/>
      <c r="J31" s="2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t="s">
        <v>38</v>
      </c>
      <c r="AB31" t="s">
        <v>44</v>
      </c>
    </row>
    <row r="32" spans="2:40" x14ac:dyDescent="0.3">
      <c r="B32" s="73">
        <v>95</v>
      </c>
      <c r="C32" s="6">
        <f t="shared" si="14"/>
        <v>1.5169444444444444</v>
      </c>
      <c r="D32" s="88">
        <f t="shared" si="15"/>
        <v>93.05</v>
      </c>
      <c r="Z32" s="49" t="s">
        <v>121</v>
      </c>
      <c r="AA32" s="50">
        <f>INDEX(LINEST($O$2:$O$9,$D$2:$D$9^{1,2},FALSE,FALSE),1)</f>
        <v>-435.01106108560197</v>
      </c>
      <c r="AB32" s="28"/>
      <c r="AC32" s="51" t="s">
        <v>123</v>
      </c>
      <c r="AD32" s="52">
        <f>CalArduinoHiTec!AD35</f>
        <v>1.0602056822563426</v>
      </c>
    </row>
    <row r="33" spans="2:39" x14ac:dyDescent="0.3">
      <c r="B33" s="73">
        <v>105</v>
      </c>
      <c r="C33" s="6">
        <f t="shared" si="14"/>
        <v>1.6208333333333333</v>
      </c>
      <c r="D33" s="88">
        <f t="shared" si="15"/>
        <v>111.75</v>
      </c>
      <c r="Z33" s="43"/>
      <c r="AA33" s="53">
        <f>INDEX(LINEST($O$2:$O$9,$D$2:$D$9^{1,2},FALSE,FALSE),2)</f>
        <v>7447.8773934613846</v>
      </c>
      <c r="AB33" s="30"/>
      <c r="AC33" s="44"/>
      <c r="AD33" s="46">
        <f>CalArduinoHiTec!AD36</f>
        <v>4180.4182204512181</v>
      </c>
      <c r="AL33" s="3"/>
      <c r="AM33" s="3"/>
    </row>
    <row r="34" spans="2:39" ht="15" thickBot="1" x14ac:dyDescent="0.35">
      <c r="B34" s="80">
        <v>120</v>
      </c>
      <c r="C34" s="6">
        <f t="shared" si="14"/>
        <v>1.7766666666666666</v>
      </c>
      <c r="D34" s="88">
        <f t="shared" si="15"/>
        <v>139.79999999999998</v>
      </c>
      <c r="Z34" s="43"/>
      <c r="AA34" s="44">
        <f>INDEX(LINEST($O$2:$O$9,$D$2:$D$9^{1,2},FALSE,FALSE),3)</f>
        <v>0</v>
      </c>
      <c r="AB34" s="30"/>
      <c r="AC34" s="44" t="s">
        <v>122</v>
      </c>
      <c r="AD34" s="46">
        <f>CalArduinoHiTec!AD37</f>
        <v>0.94199104022164515</v>
      </c>
      <c r="AK34" s="3"/>
    </row>
    <row r="35" spans="2:39" x14ac:dyDescent="0.3">
      <c r="Z35" s="43" t="s">
        <v>21</v>
      </c>
      <c r="AA35" s="54" t="e">
        <f>INDEX(LINEST($R$2:$R$9,#REF!),1)</f>
        <v>#REF!</v>
      </c>
      <c r="AB35" s="30"/>
      <c r="AC35" s="44"/>
      <c r="AD35" s="46">
        <f>CalArduinoHiTec!AD38</f>
        <v>-3925.570398689204</v>
      </c>
    </row>
    <row r="36" spans="2:39" ht="15" thickBot="1" x14ac:dyDescent="0.35">
      <c r="Z36" s="55"/>
      <c r="AA36" s="56" t="e">
        <f>INDEX(LINEST($R$2:$R$9,#REF!),2)</f>
        <v>#REF!</v>
      </c>
      <c r="AB36" s="32"/>
      <c r="AC36" s="32"/>
      <c r="AD36" s="33"/>
      <c r="AI36" s="3"/>
      <c r="AJ36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4"/>
  <sheetViews>
    <sheetView topLeftCell="AP1" zoomScale="90" zoomScaleNormal="90" workbookViewId="0">
      <selection activeCell="Z48" sqref="Z48"/>
    </sheetView>
  </sheetViews>
  <sheetFormatPr defaultRowHeight="14.4" x14ac:dyDescent="0.3"/>
  <cols>
    <col min="1" max="1" width="15.33203125" customWidth="1"/>
    <col min="3" max="3" width="9" customWidth="1"/>
    <col min="4" max="4" width="10.88671875" style="1" customWidth="1"/>
    <col min="5" max="5" width="6.44140625" style="1" customWidth="1"/>
    <col min="6" max="7" width="6.33203125" style="1" customWidth="1"/>
    <col min="8" max="8" width="9.109375" style="1" bestFit="1" customWidth="1"/>
    <col min="9" max="9" width="8.5546875" style="1" bestFit="1" customWidth="1"/>
    <col min="10" max="10" width="8.44140625" style="1" customWidth="1"/>
    <col min="11" max="11" width="12" style="1" customWidth="1"/>
    <col min="12" max="12" width="8.44140625" style="1" customWidth="1"/>
    <col min="13" max="13" width="11" style="1" customWidth="1"/>
    <col min="14" max="14" width="6.6640625" style="1" customWidth="1"/>
    <col min="15" max="15" width="7.88671875" style="1" customWidth="1"/>
    <col min="16" max="16" width="11.5546875" style="1" customWidth="1"/>
    <col min="17" max="17" width="12" style="1" bestFit="1" customWidth="1"/>
    <col min="18" max="18" width="8.33203125" style="1" customWidth="1"/>
    <col min="19" max="19" width="7.6640625" style="1" customWidth="1"/>
    <col min="20" max="20" width="10.6640625" style="1" customWidth="1"/>
    <col min="21" max="21" width="7.6640625" customWidth="1"/>
    <col min="22" max="22" width="9.6640625" customWidth="1"/>
    <col min="24" max="24" width="9.88671875" bestFit="1" customWidth="1"/>
    <col min="25" max="25" width="10.6640625" customWidth="1"/>
    <col min="26" max="26" width="8.6640625" customWidth="1"/>
    <col min="27" max="27" width="7.33203125" customWidth="1"/>
    <col min="28" max="28" width="9.88671875" customWidth="1"/>
    <col min="29" max="29" width="9.109375" customWidth="1"/>
    <col min="30" max="30" width="8.44140625" customWidth="1"/>
    <col min="31" max="31" width="7.44140625" customWidth="1"/>
    <col min="32" max="32" width="10" customWidth="1"/>
    <col min="33" max="33" width="7.44140625" customWidth="1"/>
    <col min="34" max="34" width="9.6640625" customWidth="1"/>
    <col min="35" max="36" width="11.5546875" customWidth="1"/>
    <col min="37" max="37" width="8.6640625" customWidth="1"/>
    <col min="38" max="38" width="11.5546875" bestFit="1" customWidth="1"/>
    <col min="39" max="39" width="9.6640625" customWidth="1"/>
    <col min="44" max="44" width="11.33203125" customWidth="1"/>
    <col min="45" max="45" width="12.109375" customWidth="1"/>
    <col min="46" max="46" width="13.109375" bestFit="1" customWidth="1"/>
    <col min="47" max="47" width="12" bestFit="1" customWidth="1"/>
    <col min="48" max="48" width="10.44140625" bestFit="1" customWidth="1"/>
    <col min="49" max="49" width="10.33203125" customWidth="1"/>
    <col min="50" max="50" width="9.33203125" bestFit="1" customWidth="1"/>
    <col min="51" max="51" width="10.33203125" bestFit="1" customWidth="1"/>
  </cols>
  <sheetData>
    <row r="1" spans="1:51" ht="86.4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3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V1" t="str">
        <f>E1</f>
        <v>v4, vdc</v>
      </c>
      <c r="AX1" s="4"/>
      <c r="AY1" s="4"/>
    </row>
    <row r="2" spans="1:51" x14ac:dyDescent="0.3">
      <c r="A2" t="s">
        <v>222</v>
      </c>
      <c r="B2" t="s">
        <v>201</v>
      </c>
      <c r="C2" s="220">
        <f t="shared" ref="C2:C13" si="1">D2/180+1</f>
        <v>1.033700677974416</v>
      </c>
      <c r="D2" s="262">
        <f>EXP((0-$Q$41)/$R$41)</f>
        <v>6.0661220353948684</v>
      </c>
      <c r="E2" s="109">
        <v>3.2000000000000002E-3</v>
      </c>
      <c r="F2" s="109">
        <v>12.24</v>
      </c>
      <c r="G2" s="109">
        <v>1.9E-2</v>
      </c>
      <c r="H2" s="148">
        <v>1.0000000000000001E+32</v>
      </c>
      <c r="I2" s="191">
        <v>1.0000000000000001E+32</v>
      </c>
      <c r="J2" s="189"/>
      <c r="K2" s="2">
        <f t="shared" ref="K2:K13" si="2">F2*G2</f>
        <v>0.23255999999999999</v>
      </c>
      <c r="L2" s="229">
        <f t="shared" ref="L2:L13" si="3">D2</f>
        <v>6.0661220353948684</v>
      </c>
      <c r="M2" s="234">
        <f t="shared" ref="M2:M13" si="4">LN(L2)</f>
        <v>1.8027195269992173</v>
      </c>
      <c r="N2" s="3">
        <f t="shared" ref="N2:O13" si="5">1/H2/0.000001</f>
        <v>9.999999999999999E-27</v>
      </c>
      <c r="O2" s="3">
        <f t="shared" si="5"/>
        <v>9.999999999999999E-27</v>
      </c>
      <c r="P2" s="3">
        <f t="shared" ref="P2:P13" si="6">N2*60/$C$25</f>
        <v>5.9999999999999995E-25</v>
      </c>
      <c r="Q2" s="4">
        <v>0</v>
      </c>
      <c r="R2" s="3">
        <f t="shared" ref="R2:R13" si="7">P2/$Q$30</f>
        <v>1.3020833333333332E-27</v>
      </c>
      <c r="S2" s="3">
        <f t="shared" ref="S2:S13" si="8">Q2/$Q$30</f>
        <v>0</v>
      </c>
      <c r="T2" s="3">
        <f t="shared" ref="T2:T13" si="9">L2</f>
        <v>6.0661220353948684</v>
      </c>
      <c r="U2" s="158">
        <f t="shared" si="0"/>
        <v>0.23255999999999999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1" si="10">$Q$37*(P2/$Q$30/100)^3</f>
        <v>9.76843480821773E-87</v>
      </c>
      <c r="AA2" s="229">
        <f t="shared" ref="AA2:AA13" si="11">SQRT(Z2^3/4/$Q$27/$Q$33)</f>
        <v>9.469612348787209E-129</v>
      </c>
      <c r="AB2" s="1"/>
      <c r="AC2" s="158">
        <f t="shared" ref="AC2:AC13" si="12">SQRT(Z2/$Q$33/$Q$27)</f>
        <v>1.9388187636407961E-42</v>
      </c>
      <c r="AD2" s="175">
        <f t="shared" ref="AD2:AD13" si="13">AC2*1/1.6/1000*3600</f>
        <v>4.3623422181917907E-42</v>
      </c>
      <c r="AE2" s="4">
        <f t="shared" ref="AE2:AE13" si="14">Q2/60*PI()*$C$39/1000</f>
        <v>0</v>
      </c>
      <c r="AF2" s="158">
        <f>AE2/AC2</f>
        <v>0</v>
      </c>
      <c r="AH2" s="228">
        <f t="shared" ref="AH2:AH13" si="15">D2/$Q$31*$Q$23</f>
        <v>0.16850338987207969</v>
      </c>
      <c r="AI2" s="228">
        <f t="shared" ref="AI2:AI13" si="16">AH2/$Q$23*$Q$31</f>
        <v>6.0661220353948684</v>
      </c>
      <c r="AJ2" s="229">
        <f t="shared" ref="AJ2:AJ13" si="17">MAX(($Q$41+$R$41*LN($AI2)),0)</f>
        <v>0</v>
      </c>
      <c r="AK2" s="229">
        <f t="shared" ref="AK2:AK13" si="18">MAX(($Q$41+$R$41*LN(AI2))/$Q$30,0)</f>
        <v>0</v>
      </c>
      <c r="AL2" s="229">
        <f t="shared" ref="AL2:AL13" si="19">($Q$42+$R$42*AK2*$Q$30)/$Q$30</f>
        <v>-17.475379161511935</v>
      </c>
      <c r="AM2" s="229">
        <f t="shared" ref="AM2:AM13" si="20">($Q$43+$R$43*AL2*$Q$30)/$Q$30</f>
        <v>3.2320324349647142E-2</v>
      </c>
      <c r="AN2" s="1"/>
      <c r="AO2" s="1">
        <f t="shared" ref="AO2:AO13" si="21">MAX($Q$42+$R$42*AJ2, 0)</f>
        <v>0</v>
      </c>
      <c r="AP2" s="227"/>
      <c r="AQ2" s="227"/>
      <c r="AR2" s="227"/>
      <c r="AS2" s="1"/>
      <c r="AT2" s="227"/>
      <c r="AU2" s="1"/>
      <c r="AV2">
        <f t="shared" ref="AV2:AV13" si="22">E2</f>
        <v>3.2000000000000002E-3</v>
      </c>
    </row>
    <row r="3" spans="1:51" ht="15" customHeight="1" x14ac:dyDescent="0.3">
      <c r="A3" t="s">
        <v>223</v>
      </c>
      <c r="B3" t="s">
        <v>201</v>
      </c>
      <c r="C3" s="220">
        <f t="shared" si="1"/>
        <v>1.05</v>
      </c>
      <c r="D3" s="109">
        <v>9</v>
      </c>
      <c r="E3" s="109">
        <v>2.3999999999999998E-3</v>
      </c>
      <c r="F3" s="109">
        <v>12.15</v>
      </c>
      <c r="G3" s="112">
        <v>0.33500000000000002</v>
      </c>
      <c r="H3" s="109">
        <v>7080</v>
      </c>
      <c r="I3" s="191">
        <v>1.0000000000000001E+32</v>
      </c>
      <c r="J3" s="61"/>
      <c r="K3" s="2">
        <f t="shared" si="2"/>
        <v>4.0702500000000006</v>
      </c>
      <c r="L3" s="1">
        <f t="shared" si="3"/>
        <v>9</v>
      </c>
      <c r="M3" s="234">
        <f t="shared" si="4"/>
        <v>2.1972245773362196</v>
      </c>
      <c r="N3" s="3">
        <f t="shared" si="5"/>
        <v>141.24293785310735</v>
      </c>
      <c r="O3" s="3">
        <f t="shared" si="5"/>
        <v>9.999999999999999E-27</v>
      </c>
      <c r="P3" s="3">
        <f t="shared" si="6"/>
        <v>8474.5762711864409</v>
      </c>
      <c r="Q3" s="3">
        <f t="shared" ref="Q3:Q13" si="23">O3*60/$C$25</f>
        <v>5.9999999999999995E-25</v>
      </c>
      <c r="R3" s="3">
        <f t="shared" si="7"/>
        <v>18.391007532956685</v>
      </c>
      <c r="S3" s="3">
        <f t="shared" si="8"/>
        <v>1.3020833333333332E-27</v>
      </c>
      <c r="T3" s="3">
        <f>L3</f>
        <v>9</v>
      </c>
      <c r="U3" s="158">
        <f>K3</f>
        <v>4.0702500000000006</v>
      </c>
      <c r="V3" s="1">
        <f t="shared" ref="V3:V13" si="24">($U3-$U$2)</f>
        <v>3.8376900000000007</v>
      </c>
      <c r="W3" s="234">
        <f t="shared" ref="W3:W13" si="25">($U3-$U$2)*0.001341022</f>
        <v>5.1464267191800011E-3</v>
      </c>
      <c r="X3" s="230">
        <f>$W3/$P3*5252</f>
        <v>3.1894259092377368E-3</v>
      </c>
      <c r="Y3" s="230">
        <f>X3-$X$3</f>
        <v>0</v>
      </c>
      <c r="Z3" s="228">
        <f t="shared" si="10"/>
        <v>2.7524865750168128E-2</v>
      </c>
      <c r="AA3" s="229">
        <f t="shared" si="11"/>
        <v>4.4790152522779944E-2</v>
      </c>
      <c r="AB3" s="2">
        <f>AA3/U3*100</f>
        <v>1.1004275541497437</v>
      </c>
      <c r="AC3" s="158">
        <f t="shared" si="12"/>
        <v>3.2545228688358891</v>
      </c>
      <c r="AD3" s="175">
        <f t="shared" si="13"/>
        <v>7.3226764548807513</v>
      </c>
      <c r="AE3" s="4">
        <f t="shared" si="14"/>
        <v>1.7278759594743859E-27</v>
      </c>
      <c r="AF3" s="158">
        <f t="shared" ref="AF3:AF13" si="26">AE3/AC3</f>
        <v>5.309152920754956E-28</v>
      </c>
      <c r="AH3" s="228">
        <f t="shared" si="15"/>
        <v>0.25</v>
      </c>
      <c r="AI3" s="228">
        <f t="shared" si="16"/>
        <v>9</v>
      </c>
      <c r="AJ3" s="229">
        <f t="shared" si="17"/>
        <v>4918.1173829864128</v>
      </c>
      <c r="AK3" s="229">
        <f t="shared" si="18"/>
        <v>10.672997792939263</v>
      </c>
      <c r="AL3" s="229">
        <f t="shared" si="19"/>
        <v>-7.3632448530133212</v>
      </c>
      <c r="AM3" s="229">
        <f t="shared" si="20"/>
        <v>10.700347040602749</v>
      </c>
      <c r="AN3" s="1"/>
      <c r="AO3" s="1">
        <f t="shared" si="21"/>
        <v>0</v>
      </c>
      <c r="AP3" s="227">
        <f t="shared" ref="AP3:AP13" si="27">MAX($J$47+$AJ3*($K$47+$AJ3*$L$47), 0)</f>
        <v>0</v>
      </c>
      <c r="AQ3" s="227">
        <f>AJ3*AP3/5252</f>
        <v>0</v>
      </c>
      <c r="AR3" s="231">
        <f t="shared" ref="AR3:AR13" si="28">MAX($K$47+$L$47*2*AJ3,1E-32)</f>
        <v>1.1056470227231563E-7</v>
      </c>
      <c r="AS3" s="228"/>
      <c r="AT3" s="1"/>
      <c r="AU3" s="228"/>
      <c r="AV3">
        <f t="shared" si="22"/>
        <v>2.3999999999999998E-3</v>
      </c>
      <c r="AX3" s="128"/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1.1111111111111112</v>
      </c>
      <c r="D4" s="73">
        <v>20</v>
      </c>
      <c r="E4" s="109">
        <v>6.9000000000000006E-2</v>
      </c>
      <c r="F4" s="73">
        <v>12.14</v>
      </c>
      <c r="G4" s="106">
        <v>0.86099999999999999</v>
      </c>
      <c r="H4" s="73">
        <v>4040</v>
      </c>
      <c r="I4" s="73">
        <v>68000</v>
      </c>
      <c r="J4" s="61"/>
      <c r="K4" s="2">
        <f t="shared" si="2"/>
        <v>10.452540000000001</v>
      </c>
      <c r="L4" s="1">
        <f t="shared" si="3"/>
        <v>20</v>
      </c>
      <c r="M4" s="234">
        <f t="shared" si="4"/>
        <v>2.9957322735539909</v>
      </c>
      <c r="N4" s="3">
        <f t="shared" si="5"/>
        <v>247.52475247524754</v>
      </c>
      <c r="O4" s="3">
        <f t="shared" si="5"/>
        <v>14.705882352941178</v>
      </c>
      <c r="P4" s="3">
        <f t="shared" si="6"/>
        <v>14851.485148514852</v>
      </c>
      <c r="Q4" s="3">
        <f t="shared" si="23"/>
        <v>882.35294117647061</v>
      </c>
      <c r="R4" s="3">
        <f t="shared" si="7"/>
        <v>32.229785478547853</v>
      </c>
      <c r="S4" s="3">
        <f t="shared" si="8"/>
        <v>1.914828431372549</v>
      </c>
      <c r="T4" s="3">
        <f t="shared" si="9"/>
        <v>20</v>
      </c>
      <c r="U4" s="158">
        <f t="shared" si="0"/>
        <v>10.452540000000001</v>
      </c>
      <c r="V4" s="229">
        <f t="shared" si="24"/>
        <v>10.219980000000001</v>
      </c>
      <c r="W4" s="234">
        <f t="shared" si="25"/>
        <v>1.3705218019560003E-2</v>
      </c>
      <c r="X4" s="230">
        <f t="shared" ref="X4:X13" si="29">$W4/$P4*5252</f>
        <v>4.8466402059410951E-3</v>
      </c>
      <c r="Y4" s="230">
        <f t="shared" ref="Y4:Y13" si="30">X4-$X$3</f>
        <v>1.6572142967033582E-3</v>
      </c>
      <c r="Z4" s="228">
        <f t="shared" si="10"/>
        <v>0.14814291539889993</v>
      </c>
      <c r="AA4" s="229">
        <f t="shared" si="11"/>
        <v>0.55926296128691122</v>
      </c>
      <c r="AB4" s="2">
        <f t="shared" ref="AB4:AB13" si="31">AA4/U4*100</f>
        <v>5.350498168740911</v>
      </c>
      <c r="AC4" s="158">
        <f t="shared" si="12"/>
        <v>7.5503166625417197</v>
      </c>
      <c r="AD4" s="175">
        <f t="shared" si="13"/>
        <v>16.988212490718869</v>
      </c>
      <c r="AE4" s="175">
        <f t="shared" si="14"/>
        <v>2.5409940580505683</v>
      </c>
      <c r="AF4" s="158">
        <f t="shared" si="26"/>
        <v>0.33654138913892578</v>
      </c>
      <c r="AG4" s="151"/>
      <c r="AH4" s="228">
        <f t="shared" si="15"/>
        <v>0.55555555555555558</v>
      </c>
      <c r="AI4" s="228">
        <f t="shared" si="16"/>
        <v>20</v>
      </c>
      <c r="AJ4" s="229">
        <f t="shared" si="17"/>
        <v>14872.754409463825</v>
      </c>
      <c r="AK4" s="229">
        <f t="shared" si="18"/>
        <v>32.275942728871151</v>
      </c>
      <c r="AL4" s="229">
        <f t="shared" si="19"/>
        <v>13.10447048707233</v>
      </c>
      <c r="AM4" s="229">
        <f t="shared" si="20"/>
        <v>32.293230145921825</v>
      </c>
      <c r="AN4" s="2">
        <f t="shared" ref="AN4:AN13" si="32">AO4/$Q$30</f>
        <v>13.10447048707233</v>
      </c>
      <c r="AO4" s="3">
        <f t="shared" si="21"/>
        <v>6038.5400004429302</v>
      </c>
      <c r="AP4" s="227">
        <f t="shared" si="27"/>
        <v>1.9360973862098028E-3</v>
      </c>
      <c r="AQ4" s="227">
        <f t="shared" ref="AQ4:AQ13" si="33">AJ4*AP4/5252</f>
        <v>5.4826924862725118E-3</v>
      </c>
      <c r="AR4" s="231">
        <f t="shared" si="28"/>
        <v>3.7293268066041901E-7</v>
      </c>
      <c r="AS4" s="228">
        <f t="shared" ref="AS4:AS13" si="34">$Q$35/AR4</f>
        <v>0.10035810602202501</v>
      </c>
      <c r="AT4" s="1"/>
      <c r="AU4" s="228"/>
      <c r="AV4">
        <f t="shared" si="22"/>
        <v>6.9000000000000006E-2</v>
      </c>
      <c r="AX4" s="127"/>
      <c r="AY4" s="96"/>
    </row>
    <row r="5" spans="1:51" ht="13.95" customHeight="1" x14ac:dyDescent="0.3">
      <c r="A5" t="s">
        <v>225</v>
      </c>
      <c r="B5" s="176">
        <v>16</v>
      </c>
      <c r="C5" s="220">
        <f t="shared" si="1"/>
        <v>1.1388888888888888</v>
      </c>
      <c r="D5" s="73">
        <v>25</v>
      </c>
      <c r="E5" s="109">
        <v>0.51</v>
      </c>
      <c r="F5" s="73">
        <v>12.14</v>
      </c>
      <c r="G5" s="106">
        <v>1.1299999999999999</v>
      </c>
      <c r="H5" s="73">
        <v>3680</v>
      </c>
      <c r="I5" s="73">
        <v>8500</v>
      </c>
      <c r="J5" s="61"/>
      <c r="K5" s="2">
        <f t="shared" si="2"/>
        <v>13.7182</v>
      </c>
      <c r="L5" s="1">
        <f t="shared" si="3"/>
        <v>25</v>
      </c>
      <c r="M5" s="234">
        <f t="shared" si="4"/>
        <v>3.2188758248682006</v>
      </c>
      <c r="N5" s="3">
        <f t="shared" si="5"/>
        <v>271.73913043478262</v>
      </c>
      <c r="O5" s="3">
        <f t="shared" si="5"/>
        <v>117.64705882352942</v>
      </c>
      <c r="P5" s="3">
        <f t="shared" si="6"/>
        <v>16304.347826086958</v>
      </c>
      <c r="Q5" s="3">
        <f t="shared" si="23"/>
        <v>7058.8235294117649</v>
      </c>
      <c r="R5" s="3">
        <f t="shared" si="7"/>
        <v>35.38269927536232</v>
      </c>
      <c r="S5" s="3">
        <f t="shared" si="8"/>
        <v>15.318627450980392</v>
      </c>
      <c r="T5" s="3">
        <f t="shared" si="9"/>
        <v>25</v>
      </c>
      <c r="U5" s="158">
        <f t="shared" si="0"/>
        <v>13.7182</v>
      </c>
      <c r="V5" s="229">
        <f t="shared" si="24"/>
        <v>13.48564</v>
      </c>
      <c r="W5" s="234">
        <f t="shared" si="25"/>
        <v>1.808453992408E-2</v>
      </c>
      <c r="X5" s="230">
        <f t="shared" si="29"/>
        <v>5.825440225784447E-3</v>
      </c>
      <c r="Y5" s="230">
        <f t="shared" si="30"/>
        <v>2.6360143165467102E-3</v>
      </c>
      <c r="Z5" s="228">
        <f t="shared" si="10"/>
        <v>0.19601148839895066</v>
      </c>
      <c r="AA5" s="229">
        <f t="shared" si="11"/>
        <v>0.85117138890291044</v>
      </c>
      <c r="AB5" s="2">
        <f t="shared" si="31"/>
        <v>6.2046871229673757</v>
      </c>
      <c r="AC5" s="158">
        <f t="shared" si="12"/>
        <v>8.6849132758023302</v>
      </c>
      <c r="AD5" s="175">
        <f t="shared" si="13"/>
        <v>19.541054870555243</v>
      </c>
      <c r="AE5" s="175">
        <f t="shared" si="14"/>
        <v>20.327952464404547</v>
      </c>
      <c r="AF5" s="158">
        <f t="shared" si="26"/>
        <v>2.3406051181929168</v>
      </c>
      <c r="AG5" s="151"/>
      <c r="AH5" s="228">
        <f t="shared" si="15"/>
        <v>0.69444444444444442</v>
      </c>
      <c r="AI5" s="228">
        <f t="shared" si="16"/>
        <v>25</v>
      </c>
      <c r="AJ5" s="229">
        <f t="shared" si="17"/>
        <v>17654.584902336483</v>
      </c>
      <c r="AK5" s="229">
        <f t="shared" si="18"/>
        <v>38.312901263751044</v>
      </c>
      <c r="AL5" s="229">
        <f t="shared" si="19"/>
        <v>18.824188293060072</v>
      </c>
      <c r="AM5" s="229">
        <f t="shared" si="20"/>
        <v>38.327376894983885</v>
      </c>
      <c r="AN5" s="2">
        <f t="shared" si="32"/>
        <v>18.824188293060072</v>
      </c>
      <c r="AO5" s="3">
        <f t="shared" si="21"/>
        <v>8674.1859654420805</v>
      </c>
      <c r="AP5" s="227">
        <f t="shared" si="27"/>
        <v>3.0755132936984655E-3</v>
      </c>
      <c r="AQ5" s="227">
        <f t="shared" si="33"/>
        <v>1.0338330266920045E-2</v>
      </c>
      <c r="AR5" s="231">
        <f t="shared" si="28"/>
        <v>4.4625160134954964E-7</v>
      </c>
      <c r="AS5" s="228">
        <f t="shared" si="34"/>
        <v>8.3869318096810225E-2</v>
      </c>
      <c r="AT5" s="232">
        <f t="shared" ref="AT5:AT13" si="35">$Q$44*$Q$27*$Q$36^2*$Q$33*PI()/240*($AC5-$Q$46)/$Q$45*$Q$34</f>
        <v>-1.1056085163412459E-7</v>
      </c>
      <c r="AU5" s="165">
        <f t="shared" ref="AU5:AU13" si="36">-$Q$35/AT5</f>
        <v>0.33851781124707386</v>
      </c>
      <c r="AV5">
        <f t="shared" si="22"/>
        <v>0.51</v>
      </c>
      <c r="AX5" s="127"/>
      <c r="AY5" s="96"/>
    </row>
    <row r="6" spans="1:51" ht="13.95" customHeight="1" x14ac:dyDescent="0.3">
      <c r="A6" t="s">
        <v>226</v>
      </c>
      <c r="B6" s="176">
        <v>20</v>
      </c>
      <c r="C6" s="220">
        <f t="shared" si="1"/>
        <v>1.1944444444444444</v>
      </c>
      <c r="D6" s="73">
        <v>35</v>
      </c>
      <c r="E6" s="73">
        <v>0.80100000000000005</v>
      </c>
      <c r="F6" s="73">
        <v>12.11</v>
      </c>
      <c r="G6" s="73">
        <v>1.8380000000000001</v>
      </c>
      <c r="H6" s="73">
        <v>2980</v>
      </c>
      <c r="I6" s="73">
        <v>5420</v>
      </c>
      <c r="J6" s="61"/>
      <c r="K6" s="2">
        <f t="shared" si="2"/>
        <v>22.258179999999999</v>
      </c>
      <c r="L6" s="1">
        <f t="shared" si="3"/>
        <v>35</v>
      </c>
      <c r="M6" s="234">
        <f t="shared" si="4"/>
        <v>3.5553480614894135</v>
      </c>
      <c r="N6" s="3">
        <f t="shared" si="5"/>
        <v>335.57046979865771</v>
      </c>
      <c r="O6" s="3">
        <f t="shared" si="5"/>
        <v>184.50184501845018</v>
      </c>
      <c r="P6" s="3">
        <f t="shared" si="6"/>
        <v>20134.228187919463</v>
      </c>
      <c r="Q6" s="3">
        <f t="shared" si="23"/>
        <v>11070.110701107011</v>
      </c>
      <c r="R6" s="3">
        <f t="shared" si="7"/>
        <v>43.694071588366889</v>
      </c>
      <c r="S6" s="3">
        <f t="shared" si="8"/>
        <v>24.023677736777366</v>
      </c>
      <c r="T6" s="3">
        <f t="shared" si="9"/>
        <v>35</v>
      </c>
      <c r="U6" s="158">
        <f t="shared" si="0"/>
        <v>22.258179999999999</v>
      </c>
      <c r="V6" s="229">
        <f t="shared" si="24"/>
        <v>22.02562</v>
      </c>
      <c r="W6" s="234">
        <f t="shared" si="25"/>
        <v>2.9536840983640001E-2</v>
      </c>
      <c r="X6" s="230">
        <f t="shared" si="29"/>
        <v>7.7046652793551721E-3</v>
      </c>
      <c r="Y6" s="230">
        <f t="shared" si="30"/>
        <v>4.5152393701174357E-3</v>
      </c>
      <c r="Z6" s="228">
        <f t="shared" si="10"/>
        <v>0.36912732059267428</v>
      </c>
      <c r="AA6" s="229">
        <f t="shared" si="11"/>
        <v>2.1996775003419557</v>
      </c>
      <c r="AB6" s="2">
        <f t="shared" si="31"/>
        <v>9.8825577847872363</v>
      </c>
      <c r="AC6" s="158">
        <f t="shared" si="12"/>
        <v>11.918258972595867</v>
      </c>
      <c r="AD6" s="175">
        <f t="shared" si="13"/>
        <v>26.8160826883407</v>
      </c>
      <c r="AE6" s="175">
        <f t="shared" si="14"/>
        <v>31.879630248604911</v>
      </c>
      <c r="AF6" s="158">
        <f t="shared" si="26"/>
        <v>2.6748563126465896</v>
      </c>
      <c r="AG6" s="151"/>
      <c r="AH6" s="228">
        <f t="shared" si="15"/>
        <v>0.97222222222222221</v>
      </c>
      <c r="AI6" s="228">
        <f t="shared" si="16"/>
        <v>35</v>
      </c>
      <c r="AJ6" s="229">
        <f t="shared" si="17"/>
        <v>21849.233245635256</v>
      </c>
      <c r="AK6" s="229">
        <f t="shared" si="18"/>
        <v>47.415870758757066</v>
      </c>
      <c r="AL6" s="229">
        <f t="shared" si="19"/>
        <v>27.448798915631624</v>
      </c>
      <c r="AM6" s="229">
        <f t="shared" si="20"/>
        <v>47.426106572807385</v>
      </c>
      <c r="AN6" s="2">
        <f t="shared" si="32"/>
        <v>27.448798915631624</v>
      </c>
      <c r="AO6" s="3">
        <f t="shared" si="21"/>
        <v>12648.406540323052</v>
      </c>
      <c r="AP6" s="227">
        <f t="shared" si="27"/>
        <v>5.1792528792478061E-3</v>
      </c>
      <c r="AQ6" s="227">
        <f t="shared" si="33"/>
        <v>2.1546592573650665E-2</v>
      </c>
      <c r="AR6" s="231">
        <f t="shared" si="28"/>
        <v>5.5680725525768094E-7</v>
      </c>
      <c r="AS6" s="228">
        <f t="shared" si="34"/>
        <v>6.7216827998183737E-2</v>
      </c>
      <c r="AT6" s="232">
        <f t="shared" si="35"/>
        <v>-1.5172205181110624E-7</v>
      </c>
      <c r="AU6" s="165">
        <f t="shared" si="36"/>
        <v>0.24668014344673286</v>
      </c>
      <c r="AV6">
        <f t="shared" si="22"/>
        <v>0.80100000000000005</v>
      </c>
      <c r="AX6" s="127"/>
      <c r="AY6" s="96"/>
    </row>
    <row r="7" spans="1:51" ht="13.95" customHeight="1" x14ac:dyDescent="0.3">
      <c r="A7" t="s">
        <v>227</v>
      </c>
      <c r="B7" s="176">
        <v>25</v>
      </c>
      <c r="C7" s="220">
        <f t="shared" si="1"/>
        <v>1.3</v>
      </c>
      <c r="D7" s="73">
        <v>54</v>
      </c>
      <c r="E7" s="73">
        <v>1.167</v>
      </c>
      <c r="F7" s="73">
        <v>12.06</v>
      </c>
      <c r="G7" s="73">
        <v>3.18</v>
      </c>
      <c r="H7" s="73">
        <v>2390</v>
      </c>
      <c r="I7" s="73">
        <v>3740</v>
      </c>
      <c r="J7" s="61"/>
      <c r="K7" s="2">
        <f t="shared" si="2"/>
        <v>38.350800000000007</v>
      </c>
      <c r="L7" s="1">
        <f t="shared" si="3"/>
        <v>54</v>
      </c>
      <c r="M7" s="234">
        <f t="shared" si="4"/>
        <v>3.9889840465642745</v>
      </c>
      <c r="N7" s="3">
        <f t="shared" si="5"/>
        <v>418.41004184100416</v>
      </c>
      <c r="O7" s="3">
        <f t="shared" si="5"/>
        <v>267.37967914438502</v>
      </c>
      <c r="P7" s="3">
        <f t="shared" si="6"/>
        <v>25104.602510460249</v>
      </c>
      <c r="Q7" s="3">
        <f t="shared" si="23"/>
        <v>16042.780748663101</v>
      </c>
      <c r="R7" s="3">
        <f t="shared" si="7"/>
        <v>54.480474198047411</v>
      </c>
      <c r="S7" s="3">
        <f t="shared" si="8"/>
        <v>34.815062388591798</v>
      </c>
      <c r="T7" s="3">
        <f t="shared" si="9"/>
        <v>54</v>
      </c>
      <c r="U7" s="158">
        <f t="shared" si="0"/>
        <v>38.350800000000007</v>
      </c>
      <c r="V7" s="229">
        <f t="shared" si="24"/>
        <v>38.118240000000007</v>
      </c>
      <c r="W7" s="234">
        <f t="shared" si="25"/>
        <v>5.1117398441280014E-2</v>
      </c>
      <c r="X7" s="230">
        <f t="shared" si="29"/>
        <v>1.0693998301775172E-2</v>
      </c>
      <c r="Y7" s="230">
        <f t="shared" si="30"/>
        <v>7.5045723925374359E-3</v>
      </c>
      <c r="Z7" s="228">
        <f t="shared" si="10"/>
        <v>0.71553565533297758</v>
      </c>
      <c r="AA7" s="229">
        <f t="shared" si="11"/>
        <v>5.9366527500332786</v>
      </c>
      <c r="AB7" s="2">
        <f t="shared" si="31"/>
        <v>15.479866782526772</v>
      </c>
      <c r="AC7" s="158">
        <f t="shared" si="12"/>
        <v>16.59359028662417</v>
      </c>
      <c r="AD7" s="175">
        <f t="shared" si="13"/>
        <v>37.335578144904382</v>
      </c>
      <c r="AE7" s="175">
        <f t="shared" si="14"/>
        <v>46.199891964555775</v>
      </c>
      <c r="AF7" s="158">
        <f t="shared" si="26"/>
        <v>2.7842010780389566</v>
      </c>
      <c r="AG7" s="151"/>
      <c r="AH7" s="228">
        <f t="shared" si="15"/>
        <v>1.5</v>
      </c>
      <c r="AI7" s="228">
        <f t="shared" si="16"/>
        <v>54</v>
      </c>
      <c r="AJ7" s="229">
        <f t="shared" si="17"/>
        <v>27255.178427486022</v>
      </c>
      <c r="AK7" s="233">
        <f t="shared" si="18"/>
        <v>59.147522629092926</v>
      </c>
      <c r="AL7" s="233">
        <f t="shared" si="19"/>
        <v>38.563955282652181</v>
      </c>
      <c r="AM7" s="233">
        <f t="shared" si="20"/>
        <v>59.152294285627782</v>
      </c>
      <c r="AN7" s="9">
        <f t="shared" si="32"/>
        <v>38.563955282652181</v>
      </c>
      <c r="AO7" s="10">
        <f t="shared" si="21"/>
        <v>17770.270594246125</v>
      </c>
      <c r="AP7" s="230">
        <f t="shared" si="27"/>
        <v>8.5744446891955848E-3</v>
      </c>
      <c r="AQ7" s="230">
        <f t="shared" si="33"/>
        <v>4.4496957334469837E-2</v>
      </c>
      <c r="AR7" s="232">
        <f t="shared" si="28"/>
        <v>6.9928828242788957E-7</v>
      </c>
      <c r="AS7" s="228">
        <f t="shared" si="34"/>
        <v>5.3521299362907268E-2</v>
      </c>
      <c r="AT7" s="232">
        <f t="shared" si="35"/>
        <v>-2.1124004529422561E-7</v>
      </c>
      <c r="AU7" s="165">
        <f t="shared" si="36"/>
        <v>0.17717671596153275</v>
      </c>
      <c r="AV7">
        <f t="shared" si="22"/>
        <v>1.167</v>
      </c>
      <c r="AX7" s="127"/>
      <c r="AY7" s="96"/>
    </row>
    <row r="8" spans="1:51" ht="13.95" customHeight="1" x14ac:dyDescent="0.3">
      <c r="A8" t="s">
        <v>228</v>
      </c>
      <c r="B8" s="176">
        <v>36</v>
      </c>
      <c r="C8" s="220">
        <f t="shared" si="1"/>
        <v>1.3555555555555556</v>
      </c>
      <c r="D8" s="73">
        <v>64</v>
      </c>
      <c r="E8" s="73">
        <v>1.2749999999999999</v>
      </c>
      <c r="F8" s="73">
        <v>12.03</v>
      </c>
      <c r="G8" s="73">
        <v>3.96</v>
      </c>
      <c r="H8" s="73">
        <v>2170</v>
      </c>
      <c r="I8" s="73">
        <v>3260</v>
      </c>
      <c r="J8" s="61"/>
      <c r="K8" s="2">
        <f t="shared" si="2"/>
        <v>47.638799999999996</v>
      </c>
      <c r="L8" s="1">
        <f t="shared" si="3"/>
        <v>64</v>
      </c>
      <c r="M8" s="234">
        <f t="shared" si="4"/>
        <v>4.1588830833596715</v>
      </c>
      <c r="N8" s="3">
        <f t="shared" si="5"/>
        <v>460.82949308755764</v>
      </c>
      <c r="O8" s="3">
        <f t="shared" si="5"/>
        <v>306.74846625766872</v>
      </c>
      <c r="P8" s="3">
        <f t="shared" si="6"/>
        <v>27649.76958525346</v>
      </c>
      <c r="Q8" s="3">
        <f t="shared" si="23"/>
        <v>18404.907975460123</v>
      </c>
      <c r="R8" s="3">
        <f t="shared" si="7"/>
        <v>60.003840245775734</v>
      </c>
      <c r="S8" s="3">
        <f t="shared" si="8"/>
        <v>39.941206543967276</v>
      </c>
      <c r="T8" s="3">
        <f t="shared" si="9"/>
        <v>64</v>
      </c>
      <c r="U8" s="158">
        <f t="shared" si="0"/>
        <v>47.638799999999996</v>
      </c>
      <c r="V8" s="229">
        <f t="shared" si="24"/>
        <v>47.406239999999997</v>
      </c>
      <c r="W8" s="234">
        <f t="shared" si="25"/>
        <v>6.3572810777279998E-2</v>
      </c>
      <c r="X8" s="230">
        <f t="shared" si="29"/>
        <v>1.2075485879648929E-2</v>
      </c>
      <c r="Y8" s="230">
        <f t="shared" si="30"/>
        <v>8.8860599704111923E-3</v>
      </c>
      <c r="Z8" s="228">
        <f t="shared" si="10"/>
        <v>0.95597334004328605</v>
      </c>
      <c r="AA8" s="229">
        <f t="shared" si="11"/>
        <v>9.1677634433024693</v>
      </c>
      <c r="AB8" s="2">
        <f t="shared" si="31"/>
        <v>19.244320686714339</v>
      </c>
      <c r="AC8" s="158">
        <f t="shared" si="12"/>
        <v>19.179956300637748</v>
      </c>
      <c r="AD8" s="175">
        <f t="shared" si="13"/>
        <v>43.154901676434932</v>
      </c>
      <c r="AE8" s="175">
        <f t="shared" si="14"/>
        <v>53.002330045226579</v>
      </c>
      <c r="AF8" s="158">
        <f t="shared" si="26"/>
        <v>2.7634228782608963</v>
      </c>
      <c r="AG8" s="151"/>
      <c r="AH8" s="228">
        <f t="shared" si="15"/>
        <v>1.7777777777777779</v>
      </c>
      <c r="AI8" s="228">
        <f t="shared" si="16"/>
        <v>64</v>
      </c>
      <c r="AJ8" s="229">
        <f t="shared" si="17"/>
        <v>29373.233457459148</v>
      </c>
      <c r="AK8" s="229">
        <f t="shared" si="18"/>
        <v>63.74399621844433</v>
      </c>
      <c r="AL8" s="229">
        <f t="shared" si="19"/>
        <v>42.918885282894202</v>
      </c>
      <c r="AM8" s="229">
        <f t="shared" si="20"/>
        <v>63.746627012295448</v>
      </c>
      <c r="AN8" s="2">
        <f t="shared" si="32"/>
        <v>42.918885282894202</v>
      </c>
      <c r="AO8" s="3">
        <f t="shared" si="21"/>
        <v>19777.022338357649</v>
      </c>
      <c r="AP8" s="227">
        <f t="shared" si="27"/>
        <v>1.0114695134871853E-2</v>
      </c>
      <c r="AQ8" s="227">
        <f t="shared" si="33"/>
        <v>5.6569173942806014E-2</v>
      </c>
      <c r="AR8" s="231">
        <f t="shared" si="28"/>
        <v>7.5511249930799505E-7</v>
      </c>
      <c r="AS8" s="228">
        <f t="shared" si="34"/>
        <v>4.9564558312960312E-2</v>
      </c>
      <c r="AT8" s="232">
        <f t="shared" si="35"/>
        <v>-2.4416505214991937E-7</v>
      </c>
      <c r="AU8" s="165">
        <f t="shared" si="36"/>
        <v>0.1532849077918651</v>
      </c>
      <c r="AV8">
        <f t="shared" si="22"/>
        <v>1.2749999999999999</v>
      </c>
      <c r="AX8" s="127"/>
      <c r="AY8" s="96"/>
    </row>
    <row r="9" spans="1:51" ht="13.95" customHeight="1" x14ac:dyDescent="0.3">
      <c r="A9" t="s">
        <v>229</v>
      </c>
      <c r="B9" s="176">
        <v>45</v>
      </c>
      <c r="C9" s="220">
        <f t="shared" si="1"/>
        <v>1.5</v>
      </c>
      <c r="D9" s="73">
        <v>90</v>
      </c>
      <c r="E9" s="73">
        <v>1.597</v>
      </c>
      <c r="F9" s="73">
        <v>11.95</v>
      </c>
      <c r="G9" s="73">
        <v>5.94</v>
      </c>
      <c r="H9" s="73">
        <v>1860</v>
      </c>
      <c r="I9" s="73">
        <v>2690</v>
      </c>
      <c r="J9" s="61"/>
      <c r="K9" s="2">
        <f t="shared" si="2"/>
        <v>70.983000000000004</v>
      </c>
      <c r="L9" s="1">
        <f t="shared" si="3"/>
        <v>90</v>
      </c>
      <c r="M9" s="234">
        <f t="shared" si="4"/>
        <v>4.499809670330265</v>
      </c>
      <c r="N9" s="3">
        <f t="shared" si="5"/>
        <v>537.63440860215053</v>
      </c>
      <c r="O9" s="3">
        <f t="shared" si="5"/>
        <v>371.74721189591077</v>
      </c>
      <c r="P9" s="3">
        <f t="shared" si="6"/>
        <v>32258.06451612903</v>
      </c>
      <c r="Q9" s="3">
        <f t="shared" si="23"/>
        <v>22304.832713754648</v>
      </c>
      <c r="R9" s="3">
        <f t="shared" si="7"/>
        <v>70.004480286738342</v>
      </c>
      <c r="S9" s="3">
        <f t="shared" si="8"/>
        <v>48.404584882280048</v>
      </c>
      <c r="T9" s="3">
        <f t="shared" si="9"/>
        <v>90</v>
      </c>
      <c r="U9" s="158">
        <f t="shared" si="0"/>
        <v>70.983000000000004</v>
      </c>
      <c r="V9" s="229">
        <f t="shared" si="24"/>
        <v>70.750439999999998</v>
      </c>
      <c r="W9" s="234">
        <f t="shared" si="25"/>
        <v>9.4877896549679999E-2</v>
      </c>
      <c r="X9" s="230">
        <f t="shared" si="29"/>
        <v>1.54472600930465E-2</v>
      </c>
      <c r="Y9" s="230">
        <f t="shared" si="30"/>
        <v>1.2257834183808764E-2</v>
      </c>
      <c r="Z9" s="228">
        <f t="shared" si="10"/>
        <v>1.5180502575687365</v>
      </c>
      <c r="AA9" s="229">
        <f t="shared" si="11"/>
        <v>18.345263410826512</v>
      </c>
      <c r="AB9" s="2">
        <f t="shared" si="31"/>
        <v>25.844587310801899</v>
      </c>
      <c r="AC9" s="158">
        <f t="shared" si="12"/>
        <v>24.169507326071976</v>
      </c>
      <c r="AD9" s="175">
        <f t="shared" si="13"/>
        <v>54.381391483661943</v>
      </c>
      <c r="AE9" s="175">
        <f t="shared" si="14"/>
        <v>64.233307043657476</v>
      </c>
      <c r="AF9" s="165">
        <f t="shared" si="26"/>
        <v>2.6576175582349637</v>
      </c>
      <c r="AG9" s="151"/>
      <c r="AH9" s="228">
        <f t="shared" si="15"/>
        <v>2.5</v>
      </c>
      <c r="AI9" s="228">
        <f t="shared" si="16"/>
        <v>90</v>
      </c>
      <c r="AJ9" s="229">
        <f t="shared" si="17"/>
        <v>33623.412187161055</v>
      </c>
      <c r="AK9" s="229">
        <f t="shared" si="18"/>
        <v>72.967474364498813</v>
      </c>
      <c r="AL9" s="229">
        <f t="shared" si="19"/>
        <v>51.657671855688882</v>
      </c>
      <c r="AM9" s="229">
        <f t="shared" si="20"/>
        <v>72.965809212818343</v>
      </c>
      <c r="AN9" s="2">
        <f t="shared" si="32"/>
        <v>51.657671855688875</v>
      </c>
      <c r="AO9" s="3">
        <f t="shared" si="21"/>
        <v>23803.855191101433</v>
      </c>
      <c r="AP9" s="227">
        <f t="shared" si="27"/>
        <v>1.3562109097944107E-2</v>
      </c>
      <c r="AQ9" s="227">
        <f t="shared" si="33"/>
        <v>8.6824901814055916E-2</v>
      </c>
      <c r="AR9" s="231">
        <f t="shared" si="28"/>
        <v>8.6713173196650656E-7</v>
      </c>
      <c r="AS9" s="228">
        <f t="shared" si="34"/>
        <v>4.3161628302909295E-2</v>
      </c>
      <c r="AT9" s="232">
        <f t="shared" si="35"/>
        <v>-3.0768313150494497E-7</v>
      </c>
      <c r="AU9" s="165">
        <f t="shared" si="36"/>
        <v>0.12164078453613508</v>
      </c>
      <c r="AV9">
        <f t="shared" si="22"/>
        <v>1.597</v>
      </c>
      <c r="AX9" s="127"/>
      <c r="AY9" s="96"/>
    </row>
    <row r="10" spans="1:51" ht="13.95" customHeight="1" x14ac:dyDescent="0.3">
      <c r="A10" t="s">
        <v>230</v>
      </c>
      <c r="B10" s="176">
        <v>50</v>
      </c>
      <c r="C10" s="220">
        <f t="shared" si="1"/>
        <v>1.6944444444444444</v>
      </c>
      <c r="D10" s="73">
        <v>125</v>
      </c>
      <c r="E10" s="73">
        <v>1.95</v>
      </c>
      <c r="F10" s="73">
        <v>11.84</v>
      </c>
      <c r="G10" s="73">
        <v>8.59</v>
      </c>
      <c r="H10" s="73">
        <v>1620</v>
      </c>
      <c r="I10" s="73">
        <v>2210</v>
      </c>
      <c r="J10" s="61"/>
      <c r="K10" s="2">
        <f t="shared" si="2"/>
        <v>101.7056</v>
      </c>
      <c r="L10" s="1">
        <f t="shared" si="3"/>
        <v>125</v>
      </c>
      <c r="M10" s="234">
        <f t="shared" si="4"/>
        <v>4.8283137373023015</v>
      </c>
      <c r="N10" s="3">
        <f t="shared" si="5"/>
        <v>617.28395061728395</v>
      </c>
      <c r="O10" s="3">
        <f t="shared" si="5"/>
        <v>452.48868778280547</v>
      </c>
      <c r="P10" s="3">
        <f t="shared" si="6"/>
        <v>37037.037037037036</v>
      </c>
      <c r="Q10" s="3">
        <f t="shared" si="23"/>
        <v>27149.321266968327</v>
      </c>
      <c r="R10" s="3">
        <f t="shared" si="7"/>
        <v>80.375514403292172</v>
      </c>
      <c r="S10" s="3">
        <f t="shared" si="8"/>
        <v>58.917797888386126</v>
      </c>
      <c r="T10" s="3">
        <f t="shared" si="9"/>
        <v>125</v>
      </c>
      <c r="U10" s="158">
        <f t="shared" si="0"/>
        <v>101.7056</v>
      </c>
      <c r="V10" s="229">
        <f t="shared" si="24"/>
        <v>101.47304</v>
      </c>
      <c r="W10" s="234">
        <f t="shared" si="25"/>
        <v>0.13607757904688</v>
      </c>
      <c r="X10" s="230">
        <f t="shared" si="29"/>
        <v>1.9296345019163774E-2</v>
      </c>
      <c r="Y10" s="230">
        <f t="shared" si="30"/>
        <v>1.6106919109926038E-2</v>
      </c>
      <c r="Z10" s="228">
        <f t="shared" si="10"/>
        <v>2.297629183723529</v>
      </c>
      <c r="AA10" s="229">
        <f t="shared" si="11"/>
        <v>34.159746215144743</v>
      </c>
      <c r="AB10" s="2">
        <f t="shared" si="31"/>
        <v>33.586888249166954</v>
      </c>
      <c r="AC10" s="158">
        <f t="shared" si="12"/>
        <v>29.734777445493261</v>
      </c>
      <c r="AD10" s="175">
        <f t="shared" si="13"/>
        <v>66.903249252359842</v>
      </c>
      <c r="AE10" s="175">
        <f t="shared" si="14"/>
        <v>78.184432555402111</v>
      </c>
      <c r="AF10" s="165">
        <f t="shared" si="26"/>
        <v>2.629393567808664</v>
      </c>
      <c r="AG10" s="151"/>
      <c r="AH10" s="228">
        <f t="shared" si="15"/>
        <v>3.4722222222222223</v>
      </c>
      <c r="AI10" s="228">
        <f t="shared" si="16"/>
        <v>125</v>
      </c>
      <c r="AJ10" s="229">
        <f t="shared" si="17"/>
        <v>37718.724936077138</v>
      </c>
      <c r="AK10" s="229">
        <f t="shared" si="18"/>
        <v>81.854871823084068</v>
      </c>
      <c r="AL10" s="229">
        <f t="shared" si="19"/>
        <v>60.078038700857462</v>
      </c>
      <c r="AM10" s="229">
        <f t="shared" si="20"/>
        <v>81.849067259481657</v>
      </c>
      <c r="AN10" s="2">
        <f t="shared" si="32"/>
        <v>60.078038700857462</v>
      </c>
      <c r="AO10" s="3">
        <f t="shared" si="21"/>
        <v>27683.960233355119</v>
      </c>
      <c r="AP10" s="227">
        <f t="shared" si="27"/>
        <v>1.7334303704993573E-2</v>
      </c>
      <c r="AQ10" s="227">
        <f t="shared" si="33"/>
        <v>0.12449120971193363</v>
      </c>
      <c r="AR10" s="231">
        <f t="shared" si="28"/>
        <v>9.7506926137538719E-7</v>
      </c>
      <c r="AS10" s="228">
        <f t="shared" si="34"/>
        <v>3.8383752813624543E-2</v>
      </c>
      <c r="AT10" s="232">
        <f t="shared" si="35"/>
        <v>-3.785302412500127E-7</v>
      </c>
      <c r="AU10" s="165">
        <f t="shared" si="36"/>
        <v>9.8874048692126973E-2</v>
      </c>
      <c r="AV10">
        <f t="shared" si="22"/>
        <v>1.95</v>
      </c>
      <c r="AX10" s="150"/>
      <c r="AY10" s="152"/>
    </row>
    <row r="11" spans="1:51" ht="13.95" customHeight="1" x14ac:dyDescent="0.3">
      <c r="A11" t="s">
        <v>231</v>
      </c>
      <c r="B11" s="176">
        <v>52</v>
      </c>
      <c r="C11" s="220">
        <f t="shared" si="1"/>
        <v>1.8611111111111112</v>
      </c>
      <c r="D11" s="73">
        <v>155</v>
      </c>
      <c r="E11" s="73">
        <v>2.2599999999999998</v>
      </c>
      <c r="F11" s="73">
        <v>11.66</v>
      </c>
      <c r="G11" s="73">
        <v>12.52</v>
      </c>
      <c r="H11" s="73">
        <v>1430</v>
      </c>
      <c r="I11" s="73">
        <v>1900</v>
      </c>
      <c r="J11" s="61"/>
      <c r="K11" s="2">
        <f t="shared" si="2"/>
        <v>145.98320000000001</v>
      </c>
      <c r="L11" s="1">
        <f t="shared" si="3"/>
        <v>155</v>
      </c>
      <c r="M11" s="234">
        <f t="shared" si="4"/>
        <v>5.0434251169192468</v>
      </c>
      <c r="N11" s="3">
        <f t="shared" si="5"/>
        <v>699.30069930069931</v>
      </c>
      <c r="O11" s="3">
        <f t="shared" si="5"/>
        <v>526.31578947368428</v>
      </c>
      <c r="P11" s="3">
        <f t="shared" si="6"/>
        <v>41958.041958041955</v>
      </c>
      <c r="Q11" s="3">
        <f t="shared" si="23"/>
        <v>31578.947368421057</v>
      </c>
      <c r="R11" s="3">
        <f t="shared" si="7"/>
        <v>91.054778554778551</v>
      </c>
      <c r="S11" s="3">
        <f t="shared" si="8"/>
        <v>68.530701754385973</v>
      </c>
      <c r="T11" s="3">
        <f t="shared" si="9"/>
        <v>155</v>
      </c>
      <c r="U11" s="158">
        <f t="shared" si="0"/>
        <v>145.98320000000001</v>
      </c>
      <c r="V11" s="229">
        <f t="shared" si="24"/>
        <v>145.75064</v>
      </c>
      <c r="W11" s="234">
        <f t="shared" si="25"/>
        <v>0.19545481475408003</v>
      </c>
      <c r="X11" s="230">
        <f t="shared" si="29"/>
        <v>2.4465600375607542E-2</v>
      </c>
      <c r="Y11" s="230">
        <f t="shared" si="30"/>
        <v>2.1276174466369806E-2</v>
      </c>
      <c r="Z11" s="228">
        <f t="shared" si="10"/>
        <v>3.3405414897843171</v>
      </c>
      <c r="AA11" s="229">
        <f t="shared" si="11"/>
        <v>59.885272810955158</v>
      </c>
      <c r="AB11" s="2">
        <f t="shared" si="31"/>
        <v>41.022030487724038</v>
      </c>
      <c r="AC11" s="158">
        <f t="shared" si="12"/>
        <v>35.853632109698282</v>
      </c>
      <c r="AD11" s="175">
        <f t="shared" si="13"/>
        <v>80.670672246821127</v>
      </c>
      <c r="AE11" s="175">
        <f t="shared" si="14"/>
        <v>90.940839972336121</v>
      </c>
      <c r="AF11" s="163">
        <f t="shared" si="26"/>
        <v>2.5364470660627139</v>
      </c>
      <c r="AG11" s="159">
        <f>$M$41/($Q$27*$Q$36*$Q$33*($AC11-$Q$46)^2/4/$AF11)/(PI()*$Q$36/60/($AC11-$Q$46))</f>
        <v>-0.42538158829966621</v>
      </c>
      <c r="AH11" s="228">
        <f t="shared" si="15"/>
        <v>4.3055555555555554</v>
      </c>
      <c r="AI11" s="228">
        <f t="shared" si="16"/>
        <v>155</v>
      </c>
      <c r="AJ11" s="229">
        <f t="shared" si="17"/>
        <v>40400.421949761876</v>
      </c>
      <c r="AK11" s="229">
        <f t="shared" si="18"/>
        <v>87.674526800698516</v>
      </c>
      <c r="AL11" s="229">
        <f t="shared" si="19"/>
        <v>65.591872199604325</v>
      </c>
      <c r="AM11" s="229">
        <f t="shared" si="20"/>
        <v>87.666011663015411</v>
      </c>
      <c r="AN11" s="2">
        <f t="shared" si="32"/>
        <v>65.591872199604325</v>
      </c>
      <c r="AO11" s="3">
        <f t="shared" si="21"/>
        <v>30224.734709577675</v>
      </c>
      <c r="AP11" s="227">
        <f t="shared" si="27"/>
        <v>2.0043914891207496E-2</v>
      </c>
      <c r="AQ11" s="227">
        <f t="shared" si="33"/>
        <v>0.1541855710452967</v>
      </c>
      <c r="AR11" s="231">
        <f t="shared" si="28"/>
        <v>1.0457490282276053E-6</v>
      </c>
      <c r="AS11" s="228">
        <f t="shared" si="34"/>
        <v>3.578948341766993E-2</v>
      </c>
      <c r="AT11" s="232">
        <f t="shared" si="35"/>
        <v>-4.5642460371702829E-7</v>
      </c>
      <c r="AU11" s="165">
        <f t="shared" si="36"/>
        <v>8.2000000000000017E-2</v>
      </c>
      <c r="AV11">
        <f t="shared" si="22"/>
        <v>2.2599999999999998</v>
      </c>
      <c r="AX11" s="127"/>
      <c r="AY11" s="96"/>
    </row>
    <row r="12" spans="1:51" ht="13.95" customHeight="1" x14ac:dyDescent="0.3">
      <c r="A12" t="s">
        <v>231</v>
      </c>
      <c r="B12" s="176">
        <v>52</v>
      </c>
      <c r="C12" s="220">
        <f t="shared" ref="C12" si="37">D12/180+1</f>
        <v>1.9166666666666665</v>
      </c>
      <c r="D12" s="73">
        <v>165</v>
      </c>
      <c r="E12" s="73">
        <v>2.34</v>
      </c>
      <c r="F12" s="73">
        <v>11.56</v>
      </c>
      <c r="G12" s="73">
        <v>14.28</v>
      </c>
      <c r="H12" s="73">
        <v>1380</v>
      </c>
      <c r="I12" s="73">
        <v>1815</v>
      </c>
      <c r="J12" s="61"/>
      <c r="K12" s="2">
        <f t="shared" ref="K12" si="38">F12*G12</f>
        <v>165.07679999999999</v>
      </c>
      <c r="L12" s="1">
        <f t="shared" ref="L12" si="39">D12</f>
        <v>165</v>
      </c>
      <c r="M12" s="234">
        <f t="shared" ref="M12" si="40">LN(L12)</f>
        <v>5.1059454739005803</v>
      </c>
      <c r="N12" s="3">
        <f t="shared" ref="N12" si="41">1/H12/0.000001</f>
        <v>724.63768115942037</v>
      </c>
      <c r="O12" s="3">
        <f t="shared" ref="O12" si="42">1/I12/0.000001</f>
        <v>550.96418732782365</v>
      </c>
      <c r="P12" s="3">
        <f t="shared" ref="P12" si="43">N12*60/$C$25</f>
        <v>43478.260869565223</v>
      </c>
      <c r="Q12" s="3">
        <f t="shared" ref="Q12" si="44">O12*60/$C$25</f>
        <v>33057.85123966942</v>
      </c>
      <c r="R12" s="3">
        <f t="shared" ref="R12" si="45">P12/$Q$30</f>
        <v>94.353864734299535</v>
      </c>
      <c r="S12" s="3">
        <f t="shared" ref="S12" si="46">Q12/$Q$30</f>
        <v>71.740128558310374</v>
      </c>
      <c r="T12" s="3">
        <f t="shared" ref="T12" si="47">L12</f>
        <v>165</v>
      </c>
      <c r="U12" s="158">
        <f t="shared" ref="U12" si="48">K12</f>
        <v>165.07679999999999</v>
      </c>
      <c r="V12" s="229">
        <f t="shared" si="24"/>
        <v>164.84423999999999</v>
      </c>
      <c r="W12" s="234">
        <f t="shared" si="25"/>
        <v>0.22105975241327999</v>
      </c>
      <c r="X12" s="230">
        <f t="shared" si="29"/>
        <v>2.6703133852514566E-2</v>
      </c>
      <c r="Y12" s="230">
        <f t="shared" ref="Y12" si="49">X12-$X$3</f>
        <v>2.351370794327683E-2</v>
      </c>
      <c r="Z12" s="228">
        <f t="shared" ref="Z12" si="50">$Q$37*(P12/$Q$30/100)^3</f>
        <v>3.716958594824546</v>
      </c>
      <c r="AA12" s="229">
        <f t="shared" ref="AA12" si="51">SQRT(Z12^3/4/$Q$27/$Q$33)</f>
        <v>70.287211211306257</v>
      </c>
      <c r="AB12" s="2">
        <f t="shared" ref="AB12" si="52">AA12/U12*100</f>
        <v>42.578491472639556</v>
      </c>
      <c r="AC12" s="158">
        <f t="shared" ref="AC12" si="53">SQRT(Z12/$Q$33/$Q$27)</f>
        <v>37.819743975180906</v>
      </c>
      <c r="AD12" s="175">
        <f t="shared" ref="AD12" si="54">AC12*1/1.6/1000*3600</f>
        <v>85.094423944157029</v>
      </c>
      <c r="AE12" s="175">
        <f t="shared" ref="AE12" si="55">Q12/60*PI()*$C$39/1000</f>
        <v>95.199777381508866</v>
      </c>
      <c r="AF12" s="165">
        <f t="shared" ref="AF12" si="56">AE12/AC12</f>
        <v>2.5171978277796763</v>
      </c>
      <c r="AG12" s="151">
        <f>$M$41/($Q$27*$Q$36*$Q$33*($AC12-$Q$46)^2/4/$AF12)/(PI()*$Q$36/60/($AC12-$Q$46))</f>
        <v>-0.40020711638543943</v>
      </c>
      <c r="AH12" s="228">
        <f t="shared" ref="AH12" si="57">D12/$Q$31*$Q$23</f>
        <v>4.583333333333333</v>
      </c>
      <c r="AI12" s="228">
        <f t="shared" ref="AI12" si="58">AH12/$Q$23*$Q$31</f>
        <v>165</v>
      </c>
      <c r="AJ12" s="229">
        <f t="shared" si="17"/>
        <v>41179.83517703932</v>
      </c>
      <c r="AK12" s="229">
        <f t="shared" ref="AK12" si="59">MAX(($Q$41+$R$41*LN(AI12))/$Q$30,0)</f>
        <v>89.365961755727696</v>
      </c>
      <c r="AL12" s="229">
        <f t="shared" ref="AL12" si="60">($Q$42+$R$42*AK12*$Q$30)/$Q$30</f>
        <v>67.194422651798703</v>
      </c>
      <c r="AM12" s="229">
        <f t="shared" ref="AM12" si="61">($Q$43+$R$43*AL12*$Q$30)/$Q$30</f>
        <v>89.356658811934821</v>
      </c>
      <c r="AN12" s="2">
        <f t="shared" ref="AN12" si="62">AO12/$Q$30</f>
        <v>67.194422651798703</v>
      </c>
      <c r="AO12" s="3">
        <f t="shared" ref="AO12" si="63">MAX($Q$42+$R$42*AJ12, 0)</f>
        <v>30963.189957948842</v>
      </c>
      <c r="AP12" s="227">
        <f t="shared" si="27"/>
        <v>2.0866991062047129E-2</v>
      </c>
      <c r="AQ12" s="227">
        <f t="shared" ref="AQ12" si="64">AJ12*AP12/5252</f>
        <v>0.1636137190738487</v>
      </c>
      <c r="AR12" s="231">
        <f t="shared" ref="AR12" si="65">MAX($K$47+$L$47*2*AJ12,1E-32)</f>
        <v>1.0662915223663488E-6</v>
      </c>
      <c r="AS12" s="228">
        <f t="shared" ref="AS12" si="66">$Q$35/AR12</f>
        <v>3.50999859979544E-2</v>
      </c>
      <c r="AT12" s="232">
        <f t="shared" si="35"/>
        <v>-4.8145363916650839E-7</v>
      </c>
      <c r="AU12" s="165">
        <f t="shared" ref="AU12" si="67">-$Q$35/AT12</f>
        <v>7.7737116224917441E-2</v>
      </c>
      <c r="AV12">
        <f t="shared" ref="AV12" si="68">E12</f>
        <v>2.34</v>
      </c>
      <c r="AX12" s="127"/>
      <c r="AY12" s="96"/>
    </row>
    <row r="13" spans="1:51" ht="13.95" customHeight="1" x14ac:dyDescent="0.3">
      <c r="A13" t="s">
        <v>233</v>
      </c>
      <c r="B13" t="s">
        <v>234</v>
      </c>
      <c r="C13" s="220">
        <f t="shared" si="1"/>
        <v>2</v>
      </c>
      <c r="D13" s="73">
        <v>180</v>
      </c>
      <c r="E13" s="73">
        <v>2.4</v>
      </c>
      <c r="F13" s="73">
        <v>11.53</v>
      </c>
      <c r="G13" s="73">
        <v>14.92</v>
      </c>
      <c r="H13" s="73">
        <v>1368</v>
      </c>
      <c r="I13" s="73">
        <v>1790</v>
      </c>
      <c r="J13" s="61"/>
      <c r="K13" s="2">
        <f t="shared" si="2"/>
        <v>172.02759999999998</v>
      </c>
      <c r="L13" s="1">
        <f t="shared" si="3"/>
        <v>180</v>
      </c>
      <c r="M13" s="234">
        <f t="shared" si="4"/>
        <v>5.1929568508902104</v>
      </c>
      <c r="N13" s="3">
        <f t="shared" si="5"/>
        <v>730.9941520467836</v>
      </c>
      <c r="O13" s="3">
        <f t="shared" si="5"/>
        <v>558.65921787709499</v>
      </c>
      <c r="P13" s="3">
        <f t="shared" si="6"/>
        <v>43859.649122807015</v>
      </c>
      <c r="Q13" s="3">
        <f t="shared" si="23"/>
        <v>33519.553072625698</v>
      </c>
      <c r="R13" s="3">
        <f t="shared" si="7"/>
        <v>95.181530214424939</v>
      </c>
      <c r="S13" s="3">
        <f t="shared" si="8"/>
        <v>72.742085661080068</v>
      </c>
      <c r="T13" s="3">
        <f t="shared" si="9"/>
        <v>180</v>
      </c>
      <c r="U13" s="158">
        <f t="shared" si="0"/>
        <v>172.02759999999998</v>
      </c>
      <c r="V13" s="229">
        <f t="shared" si="24"/>
        <v>171.79503999999997</v>
      </c>
      <c r="W13" s="234">
        <f t="shared" si="25"/>
        <v>0.23038092813087999</v>
      </c>
      <c r="X13" s="230">
        <f t="shared" si="29"/>
        <v>2.7587102467589102E-2</v>
      </c>
      <c r="Y13" s="230">
        <f t="shared" si="30"/>
        <v>2.4397676558351365E-2</v>
      </c>
      <c r="Z13" s="163">
        <f>C33/0.224</f>
        <v>4.4249528005034611</v>
      </c>
      <c r="AA13" s="229">
        <f t="shared" si="11"/>
        <v>91.297248929319878</v>
      </c>
      <c r="AB13" s="2">
        <f t="shared" si="31"/>
        <v>53.071279800055272</v>
      </c>
      <c r="AC13" s="158">
        <f t="shared" si="12"/>
        <v>41.264733453849395</v>
      </c>
      <c r="AD13" s="175">
        <f t="shared" si="13"/>
        <v>92.845650271161119</v>
      </c>
      <c r="AE13" s="175">
        <f t="shared" si="14"/>
        <v>96.529383210859564</v>
      </c>
      <c r="AF13" s="165">
        <f t="shared" si="26"/>
        <v>2.3392707314786927</v>
      </c>
      <c r="AG13" s="151"/>
      <c r="AH13" s="228">
        <f t="shared" si="15"/>
        <v>5</v>
      </c>
      <c r="AI13" s="228">
        <f t="shared" si="16"/>
        <v>180</v>
      </c>
      <c r="AJ13" s="229">
        <f t="shared" si="17"/>
        <v>42264.566957595045</v>
      </c>
      <c r="AK13" s="229">
        <f t="shared" si="18"/>
        <v>91.71998037672536</v>
      </c>
      <c r="AL13" s="229">
        <f t="shared" si="19"/>
        <v>69.424738156593676</v>
      </c>
      <c r="AM13" s="229">
        <f t="shared" si="20"/>
        <v>91.709581020536177</v>
      </c>
      <c r="AN13" s="2">
        <f t="shared" si="32"/>
        <v>69.424738156593676</v>
      </c>
      <c r="AO13" s="3">
        <f t="shared" si="21"/>
        <v>31990.919342558369</v>
      </c>
      <c r="AP13" s="227">
        <f t="shared" si="27"/>
        <v>2.2039137376307687E-2</v>
      </c>
      <c r="AQ13" s="227">
        <f t="shared" si="33"/>
        <v>0.17735616856980041</v>
      </c>
      <c r="AR13" s="231">
        <f t="shared" si="28"/>
        <v>1.0948811016348599E-6</v>
      </c>
      <c r="AS13" s="228">
        <f t="shared" si="34"/>
        <v>3.4183453754851705E-2</v>
      </c>
      <c r="AT13" s="232">
        <f t="shared" si="35"/>
        <v>-5.2530911112538066E-7</v>
      </c>
      <c r="AU13" s="165">
        <f t="shared" si="36"/>
        <v>7.1247227036698585E-2</v>
      </c>
      <c r="AV13">
        <f t="shared" si="22"/>
        <v>2.4</v>
      </c>
      <c r="AX13" s="127"/>
      <c r="AY13" s="96"/>
    </row>
    <row r="14" spans="1:51" ht="13.95" customHeight="1" x14ac:dyDescent="0.3">
      <c r="AE14" s="45"/>
      <c r="AF14" s="30"/>
      <c r="AV14" s="146"/>
      <c r="AW14" s="95"/>
      <c r="AX14" s="128"/>
      <c r="AY14" s="96"/>
    </row>
    <row r="15" spans="1:51" x14ac:dyDescent="0.3">
      <c r="A15" t="s">
        <v>235</v>
      </c>
      <c r="AE15" s="194"/>
      <c r="AF15" s="30"/>
    </row>
    <row r="16" spans="1:51" ht="13.95" customHeight="1" x14ac:dyDescent="0.3">
      <c r="A16">
        <v>1</v>
      </c>
      <c r="C16" t="s">
        <v>236</v>
      </c>
      <c r="I16" s="3" t="s">
        <v>28</v>
      </c>
      <c r="J16" s="11" t="s">
        <v>29</v>
      </c>
      <c r="K16" s="12"/>
      <c r="L16" s="12"/>
      <c r="AE16" s="45"/>
      <c r="AF16" s="30"/>
    </row>
    <row r="17" spans="1:48" ht="13.95" customHeight="1" x14ac:dyDescent="0.3">
      <c r="A17">
        <v>2</v>
      </c>
      <c r="C17" t="s">
        <v>237</v>
      </c>
      <c r="I17" s="3"/>
      <c r="J17" s="13" t="s">
        <v>276</v>
      </c>
      <c r="K17" s="14"/>
      <c r="L17" s="14"/>
      <c r="AE17" s="149"/>
      <c r="AF17" s="30"/>
    </row>
    <row r="18" spans="1:48" ht="13.95" customHeight="1" x14ac:dyDescent="0.3">
      <c r="A18">
        <v>3</v>
      </c>
      <c r="C18" t="s">
        <v>239</v>
      </c>
      <c r="I18" s="3"/>
      <c r="J18" s="15" t="s">
        <v>274</v>
      </c>
      <c r="K18" s="16"/>
      <c r="L18" s="16"/>
      <c r="AE18" s="149"/>
      <c r="AF18" s="30"/>
    </row>
    <row r="19" spans="1:48" ht="13.95" customHeight="1" x14ac:dyDescent="0.3">
      <c r="A19">
        <v>4</v>
      </c>
      <c r="C19" t="s">
        <v>238</v>
      </c>
      <c r="J19" s="288" t="s">
        <v>297</v>
      </c>
      <c r="K19" s="287"/>
      <c r="L19" s="287"/>
      <c r="M19" s="287"/>
      <c r="N19" s="287"/>
      <c r="O19" s="289"/>
      <c r="AE19" s="149"/>
      <c r="AF19" s="30"/>
      <c r="AN19" s="45"/>
    </row>
    <row r="20" spans="1:48" ht="13.95" customHeight="1" x14ac:dyDescent="0.3">
      <c r="A20">
        <v>5</v>
      </c>
      <c r="C20" t="s">
        <v>240</v>
      </c>
      <c r="O20" s="188"/>
      <c r="AE20" s="149"/>
      <c r="AF20" s="30"/>
      <c r="AN20" s="45"/>
      <c r="AO20" s="5"/>
      <c r="AU20" s="5"/>
      <c r="AV20" s="5"/>
    </row>
    <row r="21" spans="1:48" ht="13.95" customHeight="1" thickBot="1" x14ac:dyDescent="0.35">
      <c r="A21">
        <v>6</v>
      </c>
      <c r="C21" t="s">
        <v>241</v>
      </c>
      <c r="O21" s="188"/>
      <c r="AN21" s="45"/>
      <c r="AO21" s="5"/>
      <c r="AV21" s="5"/>
    </row>
    <row r="22" spans="1:48" ht="13.95" customHeight="1" x14ac:dyDescent="0.3">
      <c r="A22">
        <v>7</v>
      </c>
      <c r="C22" t="s">
        <v>243</v>
      </c>
      <c r="O22" s="188"/>
      <c r="P22" s="214" t="s">
        <v>270</v>
      </c>
      <c r="Q22" s="64"/>
      <c r="R22" s="64"/>
      <c r="S22" s="64"/>
      <c r="T22" s="29"/>
      <c r="AN22" s="45"/>
      <c r="AO22" s="5"/>
      <c r="AV22" s="5"/>
    </row>
    <row r="23" spans="1:48" ht="13.95" customHeight="1" x14ac:dyDescent="0.3">
      <c r="A23" s="45">
        <v>8</v>
      </c>
      <c r="B23" s="45"/>
      <c r="C23" s="45" t="s">
        <v>275</v>
      </c>
      <c r="D23" s="61"/>
      <c r="E23" s="61"/>
      <c r="F23" s="61"/>
      <c r="G23" s="61"/>
      <c r="O23" s="188"/>
      <c r="P23" s="268" t="s">
        <v>15</v>
      </c>
      <c r="Q23" s="269">
        <f>C45</f>
        <v>5</v>
      </c>
      <c r="R23" s="45"/>
      <c r="S23" s="30"/>
      <c r="T23" s="31" t="s">
        <v>265</v>
      </c>
      <c r="AN23" s="45"/>
      <c r="AO23" s="5"/>
      <c r="AV23" s="5"/>
    </row>
    <row r="24" spans="1:48" ht="13.95" customHeight="1" thickBot="1" x14ac:dyDescent="0.35">
      <c r="H24" s="61"/>
      <c r="I24" s="61"/>
      <c r="J24" s="61"/>
      <c r="K24" s="187"/>
      <c r="L24" s="61"/>
      <c r="M24" s="61"/>
      <c r="N24" s="188"/>
      <c r="O24" s="188"/>
      <c r="P24" s="268" t="s">
        <v>17</v>
      </c>
      <c r="Q24" s="269">
        <f>C37</f>
        <v>5</v>
      </c>
      <c r="R24" s="30"/>
      <c r="S24" s="30"/>
      <c r="T24" s="31" t="s">
        <v>265</v>
      </c>
      <c r="AN24" s="45"/>
      <c r="AO24" s="5"/>
      <c r="AV24" s="5"/>
    </row>
    <row r="25" spans="1:48" ht="13.95" customHeight="1" x14ac:dyDescent="0.3">
      <c r="A25" t="s">
        <v>32</v>
      </c>
      <c r="B25" s="17" t="s">
        <v>3</v>
      </c>
      <c r="C25" s="18">
        <v>1</v>
      </c>
      <c r="D25"/>
      <c r="E25" s="61"/>
      <c r="F25" s="189"/>
      <c r="G25" s="61"/>
      <c r="I25" s="17" t="s">
        <v>134</v>
      </c>
      <c r="J25" s="28"/>
      <c r="K25" s="28"/>
      <c r="L25" s="29"/>
      <c r="M25" s="61"/>
      <c r="N25" s="188"/>
      <c r="O25" s="188"/>
      <c r="P25" s="268" t="s">
        <v>16</v>
      </c>
      <c r="Q25" s="269">
        <f>C36</f>
        <v>0</v>
      </c>
      <c r="R25" s="30"/>
      <c r="S25" s="30"/>
      <c r="T25" s="31" t="s">
        <v>265</v>
      </c>
      <c r="AN25" s="45"/>
      <c r="AO25" s="5"/>
      <c r="AV25" s="5"/>
    </row>
    <row r="26" spans="1:48" ht="13.95" customHeight="1" x14ac:dyDescent="0.3">
      <c r="A26" s="189"/>
      <c r="B26" s="19" t="s">
        <v>4</v>
      </c>
      <c r="C26" s="20">
        <v>4800</v>
      </c>
      <c r="D26" t="s">
        <v>77</v>
      </c>
      <c r="E26" s="61"/>
      <c r="F26" s="189"/>
      <c r="G26" s="61"/>
      <c r="I26" s="19" t="s">
        <v>128</v>
      </c>
      <c r="J26" s="208">
        <v>25</v>
      </c>
      <c r="K26" s="30" t="s">
        <v>93</v>
      </c>
      <c r="L26" s="31"/>
      <c r="M26" s="61"/>
      <c r="N26" s="188"/>
      <c r="O26" s="188"/>
      <c r="P26" s="268" t="s">
        <v>14</v>
      </c>
      <c r="Q26" s="269">
        <f>C44</f>
        <v>0</v>
      </c>
      <c r="R26" s="45"/>
      <c r="S26" s="30"/>
      <c r="T26" s="31" t="s">
        <v>265</v>
      </c>
      <c r="AN26" s="45"/>
      <c r="AO26" s="5"/>
      <c r="AP26" s="5"/>
    </row>
    <row r="27" spans="1:48" ht="13.95" customHeight="1" x14ac:dyDescent="0.3">
      <c r="A27" s="189"/>
      <c r="B27" s="19" t="s">
        <v>5</v>
      </c>
      <c r="C27" s="20">
        <v>12</v>
      </c>
      <c r="D27"/>
      <c r="E27" s="61"/>
      <c r="F27" s="61"/>
      <c r="G27" s="61"/>
      <c r="I27" s="19" t="s">
        <v>144</v>
      </c>
      <c r="J27" s="208">
        <v>2.1797</v>
      </c>
      <c r="K27" s="30" t="s">
        <v>94</v>
      </c>
      <c r="L27" s="31"/>
      <c r="M27" s="61"/>
      <c r="N27" s="188"/>
      <c r="O27" s="188"/>
      <c r="P27" s="268" t="s">
        <v>177</v>
      </c>
      <c r="Q27" s="270">
        <f>$C$42</f>
        <v>1.2250000000000001</v>
      </c>
      <c r="R27" s="30"/>
      <c r="S27" s="30"/>
      <c r="T27" s="31" t="s">
        <v>161</v>
      </c>
      <c r="AN27" s="45"/>
      <c r="AO27" s="5"/>
      <c r="AP27" s="5"/>
    </row>
    <row r="28" spans="1:48" ht="13.95" customHeight="1" x14ac:dyDescent="0.3">
      <c r="A28" s="189"/>
      <c r="B28" s="57" t="s">
        <v>69</v>
      </c>
      <c r="C28" s="20">
        <v>3.9899999999999998E-2</v>
      </c>
      <c r="D28" t="s">
        <v>76</v>
      </c>
      <c r="E28" s="61"/>
      <c r="F28" s="61"/>
      <c r="G28" s="6"/>
      <c r="I28" s="19" t="s">
        <v>129</v>
      </c>
      <c r="J28" s="44">
        <f>($J$26/25.4)^2*$J$27/1000*2.2/3</f>
        <v>1.5484983053299442E-3</v>
      </c>
      <c r="K28" s="30" t="s">
        <v>96</v>
      </c>
      <c r="L28" s="177" t="s">
        <v>146</v>
      </c>
      <c r="N28" s="3"/>
      <c r="O28" s="3"/>
      <c r="P28" s="215"/>
      <c r="Q28" s="213"/>
      <c r="R28" s="213"/>
      <c r="S28" s="213"/>
      <c r="T28" s="216"/>
      <c r="AN28" s="45"/>
      <c r="AO28" s="5"/>
      <c r="AP28" s="5"/>
      <c r="AQ28" s="5"/>
      <c r="AR28" s="5"/>
      <c r="AS28" s="151"/>
      <c r="AT28" s="153"/>
      <c r="AU28" s="5"/>
    </row>
    <row r="29" spans="1:48" ht="13.95" customHeight="1" x14ac:dyDescent="0.3">
      <c r="A29" s="189"/>
      <c r="B29" s="57" t="s">
        <v>70</v>
      </c>
      <c r="C29" s="129">
        <v>4.1999999999999996E-6</v>
      </c>
      <c r="D29" t="s">
        <v>75</v>
      </c>
      <c r="E29" s="61"/>
      <c r="F29" s="61"/>
      <c r="G29" s="6"/>
      <c r="I29" s="19" t="s">
        <v>141</v>
      </c>
      <c r="J29" s="210">
        <f>3/8/2*25.4</f>
        <v>4.7624999999999993</v>
      </c>
      <c r="K29" s="30" t="s">
        <v>93</v>
      </c>
      <c r="L29" s="31" t="s">
        <v>142</v>
      </c>
      <c r="N29" s="3"/>
      <c r="O29" s="3"/>
      <c r="P29" s="217" t="s">
        <v>271</v>
      </c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5" customHeight="1" x14ac:dyDescent="0.3">
      <c r="A30" s="189"/>
      <c r="B30" s="19" t="s">
        <v>255</v>
      </c>
      <c r="C30" s="20">
        <v>240</v>
      </c>
      <c r="D30" t="s">
        <v>256</v>
      </c>
      <c r="E30" s="61"/>
      <c r="F30" s="61"/>
      <c r="G30" s="6"/>
      <c r="I30" s="19" t="s">
        <v>143</v>
      </c>
      <c r="J30" s="210">
        <f>3/4*25.4</f>
        <v>19.049999999999997</v>
      </c>
      <c r="K30" s="30" t="s">
        <v>93</v>
      </c>
      <c r="L30" s="31" t="s">
        <v>142</v>
      </c>
      <c r="N30" s="3"/>
      <c r="O30" s="3"/>
      <c r="P30" s="268" t="s">
        <v>27</v>
      </c>
      <c r="Q30" s="269">
        <f>$C$26*$C$27/$B$49/100</f>
        <v>460.8</v>
      </c>
      <c r="R30" s="30"/>
      <c r="S30" s="30"/>
      <c r="T30" s="31" t="s">
        <v>266</v>
      </c>
      <c r="AN30" s="45"/>
      <c r="AO30" s="5"/>
    </row>
    <row r="31" spans="1:48" x14ac:dyDescent="0.3">
      <c r="A31" s="189"/>
      <c r="B31" s="57" t="s">
        <v>71</v>
      </c>
      <c r="C31" s="130">
        <f>C26*2*PI()/60</f>
        <v>502.6548245743669</v>
      </c>
      <c r="D31" t="s">
        <v>73</v>
      </c>
      <c r="E31" s="61"/>
      <c r="F31" s="61"/>
      <c r="G31" s="6"/>
      <c r="I31" s="19" t="s">
        <v>145</v>
      </c>
      <c r="J31" s="44">
        <f>PI()*($J$29/25.4)^2/4*3/4*0.3</f>
        <v>6.2126221909368446E-3</v>
      </c>
      <c r="K31" s="30" t="s">
        <v>148</v>
      </c>
      <c r="L31" s="31" t="s">
        <v>142</v>
      </c>
      <c r="N31" s="3"/>
      <c r="O31" s="3"/>
      <c r="P31" s="268" t="s">
        <v>18</v>
      </c>
      <c r="Q31" s="269">
        <f>C47</f>
        <v>180</v>
      </c>
      <c r="R31" s="30"/>
      <c r="S31" s="30"/>
      <c r="T31" s="31" t="s">
        <v>175</v>
      </c>
    </row>
    <row r="32" spans="1:48" ht="13.95" customHeight="1" x14ac:dyDescent="0.3">
      <c r="A32" s="189"/>
      <c r="B32" s="57" t="s">
        <v>72</v>
      </c>
      <c r="C32" s="132">
        <f>7/C31</f>
        <v>1.3926057520540842E-2</v>
      </c>
      <c r="D32" t="s">
        <v>74</v>
      </c>
      <c r="E32" s="61"/>
      <c r="F32" s="61"/>
      <c r="G32" s="6"/>
      <c r="I32" s="19" t="s">
        <v>135</v>
      </c>
      <c r="J32" s="44">
        <f>($J$29/25.4)^2*$J$31/2</f>
        <v>1.0920624945006168E-4</v>
      </c>
      <c r="K32" s="30" t="s">
        <v>96</v>
      </c>
      <c r="L32" s="31" t="s">
        <v>147</v>
      </c>
      <c r="N32" s="3"/>
      <c r="O32" s="3"/>
      <c r="P32" s="268" t="s">
        <v>13</v>
      </c>
      <c r="Q32" s="269">
        <f>C46</f>
        <v>0</v>
      </c>
      <c r="R32" s="30"/>
      <c r="S32" s="30"/>
      <c r="T32" s="31" t="s">
        <v>175</v>
      </c>
    </row>
    <row r="33" spans="1:50" ht="13.95" customHeight="1" thickBot="1" x14ac:dyDescent="0.35">
      <c r="B33" s="131" t="s">
        <v>257</v>
      </c>
      <c r="C33" s="204">
        <f>450/454</f>
        <v>0.99118942731277537</v>
      </c>
      <c r="D33" s="6" t="s">
        <v>155</v>
      </c>
      <c r="E33" s="61"/>
      <c r="F33" s="61"/>
      <c r="G33" s="6"/>
      <c r="I33" s="19" t="s">
        <v>95</v>
      </c>
      <c r="J33" s="44">
        <f>$J$28+$J$32</f>
        <v>1.6577045547800059E-3</v>
      </c>
      <c r="K33" s="30" t="s">
        <v>96</v>
      </c>
      <c r="L33" s="31"/>
      <c r="N33" s="3"/>
      <c r="O33" s="3"/>
      <c r="P33" s="268" t="s">
        <v>178</v>
      </c>
      <c r="Q33" s="270">
        <f>(C39^2-C40^2)*PI()/4/1000^2</f>
        <v>2.1213604393365078E-3</v>
      </c>
      <c r="R33" s="30"/>
      <c r="S33" s="30"/>
      <c r="T33" s="31" t="s">
        <v>264</v>
      </c>
    </row>
    <row r="34" spans="1:50" ht="15" customHeight="1" thickBot="1" x14ac:dyDescent="0.35">
      <c r="D34"/>
      <c r="E34" s="61"/>
      <c r="F34" s="61"/>
      <c r="G34" s="6"/>
      <c r="I34" s="19" t="s">
        <v>95</v>
      </c>
      <c r="J34" s="44">
        <f>$J$33/144</f>
        <v>1.1511837185972264E-5</v>
      </c>
      <c r="K34" s="30" t="s">
        <v>97</v>
      </c>
      <c r="L34" s="31"/>
      <c r="N34" s="3"/>
      <c r="O34" s="3"/>
      <c r="P34" s="268" t="s">
        <v>183</v>
      </c>
      <c r="Q34" s="271">
        <f>1/1.3556</f>
        <v>0.73768073177928595</v>
      </c>
      <c r="R34" s="30"/>
      <c r="S34" s="30"/>
      <c r="T34" s="31" t="s">
        <v>269</v>
      </c>
    </row>
    <row r="35" spans="1:50" ht="15" customHeight="1" thickBot="1" x14ac:dyDescent="0.35">
      <c r="A35" t="s">
        <v>33</v>
      </c>
      <c r="B35" s="17"/>
      <c r="C35" s="222" t="s">
        <v>22</v>
      </c>
      <c r="D35"/>
      <c r="E35" s="61"/>
      <c r="F35" s="61"/>
      <c r="G35" s="6"/>
      <c r="I35" s="21" t="s">
        <v>95</v>
      </c>
      <c r="J35" s="108">
        <f>$J$34/2048.5*6.66</f>
        <v>3.7426817504796325E-8</v>
      </c>
      <c r="K35" s="32" t="s">
        <v>98</v>
      </c>
      <c r="L35" s="33"/>
      <c r="N35" s="3"/>
      <c r="O35" s="3"/>
      <c r="P35" s="268" t="s">
        <v>184</v>
      </c>
      <c r="Q35" s="272">
        <f>$J$34/2048.5*6.66</f>
        <v>3.7426817504796325E-8</v>
      </c>
      <c r="R35" s="30"/>
      <c r="S35" s="30"/>
      <c r="T35" s="31" t="s">
        <v>80</v>
      </c>
    </row>
    <row r="36" spans="1:50" ht="15" customHeight="1" x14ac:dyDescent="0.3">
      <c r="B36" s="24" t="s">
        <v>16</v>
      </c>
      <c r="C36" s="203">
        <v>0</v>
      </c>
      <c r="D36"/>
      <c r="F36" s="6"/>
      <c r="G36" s="6"/>
      <c r="I36" s="30"/>
      <c r="J36" s="45"/>
      <c r="K36" s="30"/>
      <c r="L36" s="30"/>
      <c r="N36" s="3"/>
      <c r="O36" s="3"/>
      <c r="P36" s="268" t="s">
        <v>199</v>
      </c>
      <c r="Q36" s="270">
        <f>C39/1000</f>
        <v>5.5E-2</v>
      </c>
      <c r="R36" s="30"/>
      <c r="S36" s="30"/>
      <c r="T36" s="31" t="s">
        <v>262</v>
      </c>
    </row>
    <row r="37" spans="1:50" ht="15" thickBot="1" x14ac:dyDescent="0.35">
      <c r="B37" s="26" t="s">
        <v>17</v>
      </c>
      <c r="C37" s="200">
        <v>5</v>
      </c>
      <c r="F37" s="6"/>
      <c r="G37" s="6" t="s">
        <v>305</v>
      </c>
      <c r="H37" s="6"/>
      <c r="I37" s="45" t="s">
        <v>304</v>
      </c>
      <c r="J37" s="45"/>
      <c r="K37" s="45"/>
      <c r="L37" s="45"/>
      <c r="M37" s="6"/>
      <c r="N37" s="3"/>
      <c r="O37" s="3"/>
      <c r="P37" s="268" t="s">
        <v>218</v>
      </c>
      <c r="Q37" s="271">
        <f>$Z$13</f>
        <v>4.4249528005034611</v>
      </c>
      <c r="R37" s="30"/>
      <c r="S37" s="30"/>
      <c r="T37" s="31" t="s">
        <v>158</v>
      </c>
      <c r="AI37" s="5"/>
    </row>
    <row r="38" spans="1:50" ht="43.8" thickBot="1" x14ac:dyDescent="0.35">
      <c r="I38" s="193" t="s">
        <v>100</v>
      </c>
      <c r="J38" s="236" t="s">
        <v>294</v>
      </c>
      <c r="K38" s="292" t="s">
        <v>336</v>
      </c>
      <c r="L38" s="263" t="s">
        <v>272</v>
      </c>
      <c r="M38" s="264" t="s">
        <v>273</v>
      </c>
      <c r="P38" s="215"/>
      <c r="Q38" s="213"/>
      <c r="R38" s="213"/>
      <c r="S38" s="213"/>
      <c r="T38" s="216"/>
      <c r="AI38" s="5"/>
    </row>
    <row r="39" spans="1:50" ht="18" x14ac:dyDescent="0.35">
      <c r="A39" s="3" t="s">
        <v>246</v>
      </c>
      <c r="B39" s="17" t="s">
        <v>247</v>
      </c>
      <c r="C39" s="199">
        <v>55</v>
      </c>
      <c r="D39" t="s">
        <v>93</v>
      </c>
      <c r="E39"/>
      <c r="I39" s="248">
        <f>(K39-K41)/(K40-K41)*(I40-I41)+I41</f>
        <v>83.875</v>
      </c>
      <c r="J39" s="253">
        <f t="shared" ref="J39:J44" si="69">(I39*$Q$30*$R$43+$Q$43)/$Q$30</f>
        <v>106.95421431943859</v>
      </c>
      <c r="K39" s="242">
        <v>0</v>
      </c>
      <c r="L39" s="213"/>
      <c r="M39" s="216"/>
      <c r="P39" s="226" t="s">
        <v>303</v>
      </c>
      <c r="Q39" s="58"/>
      <c r="R39" s="58"/>
      <c r="S39" s="58"/>
      <c r="T39" s="25"/>
      <c r="AI39" s="5"/>
    </row>
    <row r="40" spans="1:50" ht="15" thickBot="1" x14ac:dyDescent="0.35">
      <c r="B40" s="21" t="s">
        <v>248</v>
      </c>
      <c r="C40" s="200">
        <v>18</v>
      </c>
      <c r="D40" t="s">
        <v>93</v>
      </c>
      <c r="E40"/>
      <c r="I40" s="241">
        <v>62</v>
      </c>
      <c r="J40" s="253">
        <f t="shared" si="69"/>
        <v>83.87668416619394</v>
      </c>
      <c r="K40" s="243">
        <v>0.05</v>
      </c>
      <c r="L40" s="249"/>
      <c r="M40" s="250"/>
      <c r="P40" s="65" t="s">
        <v>121</v>
      </c>
      <c r="Q40" s="205">
        <f>INDEX(LINEST($Q$4:$Q$13,$E$4:$E$13^{1,2},FALSE,FALSE),3)</f>
        <v>0</v>
      </c>
      <c r="R40" s="205">
        <f>INDEX(LINEST($Q$4:$Q$13,$E$4:$E$13^{1,2},FALSE,FALSE),2)</f>
        <v>13952.048063061469</v>
      </c>
      <c r="S40" s="205">
        <f>INDEX(LINEST($Q$4:$Q$13,$E$4:$E$13^{1,2},FALSE,FALSE),1)</f>
        <v>27.100402751216251</v>
      </c>
      <c r="T40" s="31" t="s">
        <v>267</v>
      </c>
      <c r="AI40" s="5"/>
    </row>
    <row r="41" spans="1:50" ht="15" thickBot="1" x14ac:dyDescent="0.35">
      <c r="B41" s="30"/>
      <c r="C41" s="201"/>
      <c r="D41"/>
      <c r="E41"/>
      <c r="H41" s="10"/>
      <c r="I41" s="241">
        <v>48</v>
      </c>
      <c r="J41" s="253">
        <f t="shared" si="69"/>
        <v>69.107064868117362</v>
      </c>
      <c r="K41" s="243">
        <v>8.2000000000000003E-2</v>
      </c>
      <c r="L41" s="251">
        <f>$Q$35/K41</f>
        <v>4.5642460371702835E-7</v>
      </c>
      <c r="M41" s="252">
        <f>-L41/$Q$34</f>
        <v>-6.1872919279880365E-7</v>
      </c>
      <c r="N41" s="265" t="s">
        <v>291</v>
      </c>
      <c r="P41" s="65" t="s">
        <v>21</v>
      </c>
      <c r="Q41" s="205">
        <f>INDEX(LINEST($P$3:$P$13,$M$3:$M$13),2)</f>
        <v>-22473.695165144814</v>
      </c>
      <c r="R41" s="67">
        <f>INDEX(LINEST($P$3:$P$13,$M$3:$M$13),1)</f>
        <v>12466.551134859134</v>
      </c>
      <c r="S41" s="30"/>
      <c r="T41" s="31" t="s">
        <v>267</v>
      </c>
      <c r="AI41" s="5"/>
      <c r="AW41" s="151"/>
      <c r="AX41" s="164"/>
    </row>
    <row r="42" spans="1:50" ht="15" thickBot="1" x14ac:dyDescent="0.35">
      <c r="A42" s="10" t="s">
        <v>249</v>
      </c>
      <c r="B42" s="197" t="s">
        <v>250</v>
      </c>
      <c r="C42" s="202">
        <v>1.2250000000000001</v>
      </c>
      <c r="D42" t="s">
        <v>161</v>
      </c>
      <c r="E42" t="s">
        <v>169</v>
      </c>
      <c r="G42" s="6"/>
      <c r="I42" s="241">
        <v>25</v>
      </c>
      <c r="J42" s="253">
        <f t="shared" si="69"/>
        <v>44.842690306991543</v>
      </c>
      <c r="K42" s="243">
        <v>0.19600000000000001</v>
      </c>
      <c r="L42" s="61"/>
      <c r="M42" s="250"/>
      <c r="P42" s="65" t="s">
        <v>122</v>
      </c>
      <c r="Q42" s="205">
        <f>INDEX(LINEST($Q$5:$Q$13,$P$5:$P$13),2)</f>
        <v>-8052.6547176247004</v>
      </c>
      <c r="R42" s="291">
        <f>INDEX(LINEST($Q$5:$Q$13,$P$5:$P$13),1)</f>
        <v>0.94745023888118041</v>
      </c>
      <c r="S42" s="30"/>
      <c r="T42" s="31" t="s">
        <v>267</v>
      </c>
      <c r="AI42" s="5"/>
    </row>
    <row r="43" spans="1:50" ht="15" thickBot="1" x14ac:dyDescent="0.35">
      <c r="C43" s="198"/>
      <c r="D43"/>
      <c r="E43"/>
      <c r="G43" s="6"/>
      <c r="I43" s="241">
        <v>16</v>
      </c>
      <c r="J43" s="253">
        <f t="shared" si="69"/>
        <v>35.347935043942314</v>
      </c>
      <c r="K43" s="243">
        <v>0.249</v>
      </c>
      <c r="L43" s="61"/>
      <c r="M43" s="250"/>
      <c r="P43" s="65" t="s">
        <v>123</v>
      </c>
      <c r="Q43" s="205">
        <f>INDEX(LINEST($P$5:$P$13,$Q$5:$Q$13),2)</f>
        <v>8510.2249567586878</v>
      </c>
      <c r="R43" s="291">
        <f>INDEX(LINEST($P$5:$P$13,$Q$5:$Q$13),1)</f>
        <v>1.05497280700547</v>
      </c>
      <c r="S43" s="30"/>
      <c r="T43" s="31" t="s">
        <v>267</v>
      </c>
      <c r="AI43" s="5"/>
    </row>
    <row r="44" spans="1:50" ht="15" thickBot="1" x14ac:dyDescent="0.35">
      <c r="A44" s="188" t="s">
        <v>251</v>
      </c>
      <c r="B44" s="193" t="s">
        <v>252</v>
      </c>
      <c r="C44" s="199">
        <v>0</v>
      </c>
      <c r="D44" s="30" t="s">
        <v>258</v>
      </c>
      <c r="E44"/>
      <c r="F44" s="6"/>
      <c r="I44" s="254">
        <f>(K44-K42)/(K43-K42)*(I43-I42)+I42</f>
        <v>-26.622641509433969</v>
      </c>
      <c r="J44" s="257">
        <f t="shared" si="69"/>
        <v>-9.6177927112531076</v>
      </c>
      <c r="K44" s="246">
        <v>0.5</v>
      </c>
      <c r="L44" s="255"/>
      <c r="M44" s="256"/>
      <c r="P44" s="65" t="s">
        <v>180</v>
      </c>
      <c r="Q44" s="206">
        <f>AG11</f>
        <v>-0.42538158829966621</v>
      </c>
      <c r="R44" s="30"/>
      <c r="S44" s="30"/>
      <c r="T44" s="31" t="s">
        <v>261</v>
      </c>
      <c r="U44" s="5"/>
      <c r="AI44" s="5"/>
      <c r="AJ44" s="5"/>
      <c r="AK44" s="151"/>
    </row>
    <row r="45" spans="1:50" x14ac:dyDescent="0.3">
      <c r="A45" s="30"/>
      <c r="B45" s="57" t="s">
        <v>253</v>
      </c>
      <c r="C45" s="203">
        <v>5</v>
      </c>
      <c r="D45" s="45" t="s">
        <v>258</v>
      </c>
      <c r="E45"/>
      <c r="F45" s="6"/>
      <c r="P45" s="65" t="s">
        <v>182</v>
      </c>
      <c r="Q45" s="207">
        <f>AF11</f>
        <v>2.5364470660627139</v>
      </c>
      <c r="R45" s="30"/>
      <c r="S45" s="30"/>
      <c r="T45" s="31" t="s">
        <v>261</v>
      </c>
      <c r="AI45" s="5"/>
      <c r="AJ45" s="5"/>
      <c r="AK45" s="151"/>
      <c r="AX45" s="164"/>
    </row>
    <row r="46" spans="1:50" ht="15" thickBot="1" x14ac:dyDescent="0.35">
      <c r="A46" s="188"/>
      <c r="B46" s="57" t="s">
        <v>252</v>
      </c>
      <c r="C46" s="203">
        <v>0</v>
      </c>
      <c r="D46" s="45" t="s">
        <v>254</v>
      </c>
      <c r="E46"/>
      <c r="H46" s="6"/>
      <c r="I46" s="6"/>
      <c r="J46" s="6"/>
      <c r="K46" s="9"/>
      <c r="L46" s="6"/>
      <c r="M46" s="6"/>
      <c r="N46" s="10"/>
      <c r="O46" s="10"/>
      <c r="P46" s="218" t="s">
        <v>211</v>
      </c>
      <c r="Q46" s="219">
        <v>0</v>
      </c>
      <c r="R46" s="32"/>
      <c r="S46" s="32"/>
      <c r="T46" s="33" t="s">
        <v>263</v>
      </c>
      <c r="W46" s="45"/>
      <c r="X46" s="195"/>
      <c r="Y46" s="45"/>
      <c r="AI46" s="5"/>
      <c r="AJ46" s="5"/>
      <c r="AK46" s="151"/>
    </row>
    <row r="47" spans="1:50" ht="15" thickBot="1" x14ac:dyDescent="0.35">
      <c r="A47" s="188"/>
      <c r="B47" s="131" t="s">
        <v>253</v>
      </c>
      <c r="C47" s="200">
        <v>180</v>
      </c>
      <c r="D47" s="45" t="s">
        <v>254</v>
      </c>
      <c r="E47"/>
      <c r="H47" s="6"/>
      <c r="I47" s="212" t="s">
        <v>92</v>
      </c>
      <c r="J47" s="211">
        <f>INDEX(LINEST($Y$3:$Y$13,$P$3:$P$13^{1,2}),3)</f>
        <v>-6.9544107802021679E-4</v>
      </c>
      <c r="K47" s="180">
        <f>INDEX(LINEST($Y$3:$Y$13,$P$3:$P$13^{1,2}),2)</f>
        <v>-1.9058960731914022E-8</v>
      </c>
      <c r="L47" s="180">
        <f>INDEX(LINEST($Y$3:$Y$13,$P$3:$P$13^{1,2}),1)</f>
        <v>1.3178179058174358E-11</v>
      </c>
      <c r="M47" s="44" t="s">
        <v>268</v>
      </c>
      <c r="N47" s="10"/>
      <c r="O47" s="10"/>
      <c r="U47" s="10"/>
      <c r="V47" s="3"/>
      <c r="W47" s="45"/>
      <c r="X47" s="61"/>
      <c r="Y47" s="45"/>
      <c r="AX47" s="164"/>
    </row>
    <row r="48" spans="1:50" ht="15" thickBot="1" x14ac:dyDescent="0.35">
      <c r="U48" s="188"/>
      <c r="V48" s="30"/>
    </row>
    <row r="49" spans="1:45" ht="15" thickBot="1" x14ac:dyDescent="0.35">
      <c r="A49" s="3" t="s">
        <v>244</v>
      </c>
      <c r="B49" s="209">
        <v>1.25</v>
      </c>
      <c r="C49" s="45" t="s">
        <v>245</v>
      </c>
      <c r="D49" s="5"/>
      <c r="E49" s="192">
        <f>C30</f>
        <v>240</v>
      </c>
      <c r="F49" s="192" t="s">
        <v>156</v>
      </c>
      <c r="I49" s="176" t="s">
        <v>283</v>
      </c>
      <c r="M49" s="237" t="s">
        <v>282</v>
      </c>
      <c r="N49" s="142"/>
      <c r="Q49" s="61"/>
      <c r="R49" s="213"/>
      <c r="T49" s="213"/>
      <c r="U49" s="188"/>
      <c r="V49" s="30"/>
      <c r="W49" s="194"/>
      <c r="X49" s="45"/>
      <c r="Y49" s="45"/>
    </row>
    <row r="50" spans="1:45" x14ac:dyDescent="0.3">
      <c r="I50" s="238" t="s">
        <v>277</v>
      </c>
      <c r="J50" s="236" t="s">
        <v>100</v>
      </c>
      <c r="K50" s="239" t="s">
        <v>278</v>
      </c>
      <c r="L50" s="239" t="s">
        <v>279</v>
      </c>
      <c r="M50" s="239" t="s">
        <v>280</v>
      </c>
      <c r="N50" s="240" t="s">
        <v>281</v>
      </c>
      <c r="P50" s="235" t="s">
        <v>286</v>
      </c>
      <c r="Q50" s="260">
        <v>0</v>
      </c>
      <c r="R50" s="258">
        <f ca="1">J55</f>
        <v>-0.13207547169810141</v>
      </c>
      <c r="S50" s="258">
        <f ca="1">J54</f>
        <v>27.219298245614041</v>
      </c>
      <c r="T50" s="258">
        <f ca="1">J53</f>
        <v>47.39473684210526</v>
      </c>
      <c r="U50" s="259">
        <f ca="1">J52</f>
        <v>75.125</v>
      </c>
      <c r="V50" s="261">
        <v>80</v>
      </c>
      <c r="W50" s="45"/>
      <c r="X50" s="45"/>
      <c r="Y50" s="45"/>
    </row>
    <row r="51" spans="1:45" x14ac:dyDescent="0.3">
      <c r="I51" s="241">
        <v>0</v>
      </c>
      <c r="J51" s="253">
        <f t="shared" ref="J51:J56" ca="1" si="70">FORECAST(I51,OFFSET(MeasNt,MATCH(I51,MeasTauT,1)-1,0,2),OFFSET(MeasTauT,MATCH(I51,MeasTauT,1)-1,0,2))</f>
        <v>83.875</v>
      </c>
      <c r="K51" s="58">
        <v>0.2</v>
      </c>
      <c r="L51" s="58">
        <v>4.4000000000000004</v>
      </c>
      <c r="M51" s="58">
        <v>0.09</v>
      </c>
      <c r="N51" s="25">
        <v>5</v>
      </c>
      <c r="P51" s="273" t="s">
        <v>278</v>
      </c>
      <c r="Q51" s="274">
        <f>K56</f>
        <v>0.47499999999999998</v>
      </c>
      <c r="R51" s="274">
        <f>K55</f>
        <v>0.47499999999999998</v>
      </c>
      <c r="S51" s="274">
        <f>K54</f>
        <v>0.32500000000000001</v>
      </c>
      <c r="T51" s="274">
        <f>K53</f>
        <v>0.22500000000000001</v>
      </c>
      <c r="U51" s="275">
        <f>K52</f>
        <v>0.2</v>
      </c>
      <c r="V51" s="276">
        <f>K51</f>
        <v>0.2</v>
      </c>
      <c r="W51" s="45" t="s">
        <v>287</v>
      </c>
      <c r="X51" s="45"/>
      <c r="Y51" s="45"/>
      <c r="AJ51" s="104"/>
      <c r="AR51" s="3"/>
    </row>
    <row r="52" spans="1:45" x14ac:dyDescent="0.3">
      <c r="I52" s="241">
        <v>0.02</v>
      </c>
      <c r="J52" s="253">
        <f t="shared" ca="1" si="70"/>
        <v>75.125</v>
      </c>
      <c r="K52" s="58">
        <v>0.2</v>
      </c>
      <c r="L52" s="58">
        <v>3.75</v>
      </c>
      <c r="M52" s="58">
        <v>0.09</v>
      </c>
      <c r="N52" s="25">
        <v>5</v>
      </c>
      <c r="P52" s="273" t="s">
        <v>279</v>
      </c>
      <c r="Q52" s="277">
        <f>L56</f>
        <v>2.4</v>
      </c>
      <c r="R52" s="277">
        <f>L55</f>
        <v>2.4</v>
      </c>
      <c r="S52" s="277">
        <f>L54</f>
        <v>2.7</v>
      </c>
      <c r="T52" s="277">
        <f>L53</f>
        <v>3.2</v>
      </c>
      <c r="U52" s="278">
        <f>L52</f>
        <v>3.75</v>
      </c>
      <c r="V52" s="279">
        <f>L51</f>
        <v>4.4000000000000004</v>
      </c>
      <c r="W52" s="45"/>
      <c r="X52" s="45"/>
      <c r="Y52" s="45"/>
      <c r="AS52" s="3"/>
    </row>
    <row r="53" spans="1:45" x14ac:dyDescent="0.3">
      <c r="I53" s="241">
        <v>8.5000000000000006E-2</v>
      </c>
      <c r="J53" s="253">
        <f t="shared" ca="1" si="70"/>
        <v>47.39473684210526</v>
      </c>
      <c r="K53" s="58">
        <v>0.22500000000000001</v>
      </c>
      <c r="L53" s="58">
        <v>3.2</v>
      </c>
      <c r="M53" s="243">
        <v>0.125</v>
      </c>
      <c r="N53" s="244">
        <v>4.05</v>
      </c>
      <c r="P53" s="273" t="s">
        <v>284</v>
      </c>
      <c r="Q53" s="280">
        <v>0.15</v>
      </c>
      <c r="R53" s="280"/>
      <c r="S53" s="280"/>
      <c r="T53" s="280"/>
      <c r="U53" s="281"/>
      <c r="V53" s="282"/>
      <c r="W53" s="45"/>
      <c r="X53" s="45"/>
      <c r="Y53" s="45"/>
    </row>
    <row r="54" spans="1:45" x14ac:dyDescent="0.3">
      <c r="I54" s="241">
        <v>0.185</v>
      </c>
      <c r="J54" s="253">
        <f t="shared" ca="1" si="70"/>
        <v>27.219298245614041</v>
      </c>
      <c r="K54" s="58">
        <v>0.32500000000000001</v>
      </c>
      <c r="L54" s="58">
        <v>2.7</v>
      </c>
      <c r="M54" s="58">
        <v>0.24</v>
      </c>
      <c r="N54" s="25">
        <v>3.75</v>
      </c>
      <c r="P54" s="273" t="s">
        <v>285</v>
      </c>
      <c r="Q54" s="280">
        <v>0.03</v>
      </c>
      <c r="R54" s="280"/>
      <c r="S54" s="280"/>
      <c r="T54" s="280"/>
      <c r="U54" s="281"/>
      <c r="V54" s="282"/>
      <c r="W54" s="45"/>
      <c r="X54" s="196"/>
      <c r="Y54" s="45"/>
    </row>
    <row r="55" spans="1:45" x14ac:dyDescent="0.3">
      <c r="I55" s="241">
        <v>0.34399999999999997</v>
      </c>
      <c r="J55" s="253">
        <f t="shared" ca="1" si="70"/>
        <v>-0.13207547169810141</v>
      </c>
      <c r="K55" s="58">
        <v>0.47499999999999998</v>
      </c>
      <c r="L55" s="58">
        <v>2.4</v>
      </c>
      <c r="M55" s="58">
        <v>0.42</v>
      </c>
      <c r="N55" s="25">
        <v>3.6</v>
      </c>
      <c r="P55" s="273" t="s">
        <v>280</v>
      </c>
      <c r="Q55" s="274">
        <f>M56</f>
        <v>0.42</v>
      </c>
      <c r="R55" s="274">
        <f>M55</f>
        <v>0.42</v>
      </c>
      <c r="S55" s="274">
        <f>M54</f>
        <v>0.24</v>
      </c>
      <c r="T55" s="274">
        <f>M53</f>
        <v>0.125</v>
      </c>
      <c r="U55" s="275">
        <f>M52</f>
        <v>0.09</v>
      </c>
      <c r="V55" s="276">
        <f>M51</f>
        <v>0.09</v>
      </c>
      <c r="W55" s="45" t="s">
        <v>288</v>
      </c>
      <c r="X55" s="196"/>
      <c r="Y55" s="45"/>
    </row>
    <row r="56" spans="1:45" ht="15" thickBot="1" x14ac:dyDescent="0.35">
      <c r="I56" s="245">
        <v>0.5</v>
      </c>
      <c r="J56" s="257">
        <f t="shared" ca="1" si="70"/>
        <v>-26.622641509433961</v>
      </c>
      <c r="K56" s="247">
        <v>0.47499999999999998</v>
      </c>
      <c r="L56" s="247">
        <v>2.4</v>
      </c>
      <c r="M56" s="247">
        <v>0.42</v>
      </c>
      <c r="N56" s="27">
        <v>3.6</v>
      </c>
      <c r="P56" s="283" t="s">
        <v>281</v>
      </c>
      <c r="Q56" s="284">
        <f>N56</f>
        <v>3.6</v>
      </c>
      <c r="R56" s="284">
        <f>N55</f>
        <v>3.6</v>
      </c>
      <c r="S56" s="284">
        <f>N54</f>
        <v>3.75</v>
      </c>
      <c r="T56" s="284">
        <f>N53</f>
        <v>4.05</v>
      </c>
      <c r="U56" s="285">
        <f>N52</f>
        <v>5</v>
      </c>
      <c r="V56" s="286">
        <f>N51</f>
        <v>5</v>
      </c>
      <c r="W56" s="45"/>
      <c r="X56" s="196"/>
      <c r="Y56" s="45"/>
    </row>
    <row r="57" spans="1:45" x14ac:dyDescent="0.3">
      <c r="V57" s="45"/>
      <c r="W57" s="45"/>
      <c r="X57" s="196"/>
      <c r="Y57" s="45"/>
    </row>
    <row r="58" spans="1:45" x14ac:dyDescent="0.3">
      <c r="W58" s="45"/>
      <c r="X58" s="196"/>
      <c r="Y58" s="45"/>
    </row>
    <row r="59" spans="1:45" x14ac:dyDescent="0.3">
      <c r="W59" s="45"/>
      <c r="X59" s="149"/>
      <c r="Y59" s="45"/>
    </row>
    <row r="60" spans="1:45" x14ac:dyDescent="0.3">
      <c r="W60" s="45"/>
      <c r="X60" s="149"/>
      <c r="Y60" s="45"/>
    </row>
    <row r="61" spans="1:45" x14ac:dyDescent="0.3">
      <c r="W61" s="45"/>
      <c r="X61" s="149"/>
      <c r="Y61" s="45"/>
    </row>
    <row r="62" spans="1:45" x14ac:dyDescent="0.3">
      <c r="H62" s="176"/>
    </row>
    <row r="64" spans="1:45" x14ac:dyDescent="0.3">
      <c r="V64" s="45"/>
      <c r="W64" s="45"/>
      <c r="X64" s="45"/>
      <c r="Y64" s="45"/>
      <c r="Z64" s="45"/>
      <c r="AA64" s="45"/>
      <c r="AB64" s="45"/>
      <c r="AC64" s="45"/>
      <c r="AD64" s="45"/>
      <c r="AG64" s="45"/>
      <c r="AH64" s="149"/>
    </row>
    <row r="65" spans="1:36" x14ac:dyDescent="0.3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3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3">
      <c r="V67" s="45"/>
      <c r="W67" s="45"/>
      <c r="X67" s="45"/>
      <c r="Y67" s="45"/>
      <c r="Z67" s="45"/>
      <c r="AA67" s="45"/>
      <c r="AB67" s="45"/>
      <c r="AC67" s="45"/>
      <c r="AD67" s="45"/>
    </row>
    <row r="68" spans="1:36" x14ac:dyDescent="0.3">
      <c r="A68" s="45"/>
      <c r="B68" s="45"/>
      <c r="C68" s="45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</row>
    <row r="69" spans="1:36" x14ac:dyDescent="0.3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3">
      <c r="A70" s="45"/>
      <c r="B70" s="45"/>
      <c r="C70" s="45"/>
      <c r="D70" s="61"/>
      <c r="E70" s="61"/>
      <c r="F70" s="61"/>
      <c r="G70" s="61"/>
      <c r="H70" s="61"/>
      <c r="I70" s="190"/>
      <c r="J70" s="61"/>
      <c r="K70" s="187"/>
      <c r="L70" s="61"/>
      <c r="M70" s="61"/>
      <c r="N70" s="188"/>
      <c r="O70" s="188"/>
      <c r="P70" s="188"/>
      <c r="Q70" s="188"/>
      <c r="R70" s="188"/>
      <c r="S70" s="188"/>
      <c r="T70" s="188"/>
      <c r="U70" s="189"/>
      <c r="V70" s="189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3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104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3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3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149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3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3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3">
      <c r="A76" s="45"/>
      <c r="B76" s="45"/>
      <c r="C76" s="45"/>
      <c r="D76" s="61"/>
      <c r="E76" s="61"/>
      <c r="F76" s="61"/>
      <c r="G76" s="61"/>
      <c r="H76" s="61"/>
      <c r="I76" s="61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186"/>
      <c r="Y76" s="186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3">
      <c r="V77" s="45"/>
      <c r="W77" s="45"/>
      <c r="X77" s="45"/>
      <c r="Y77" s="45"/>
      <c r="Z77" s="45"/>
      <c r="AA77" s="45"/>
      <c r="AB77" s="45"/>
      <c r="AC77" s="45"/>
      <c r="AD77" s="45"/>
    </row>
    <row r="92" spans="1:36" x14ac:dyDescent="0.3">
      <c r="A92" s="45"/>
      <c r="B92" s="45"/>
      <c r="C92" s="45"/>
      <c r="D92" s="61"/>
      <c r="E92" s="61"/>
      <c r="F92" s="61"/>
      <c r="G92" s="61"/>
      <c r="H92" s="61"/>
      <c r="I92" s="61"/>
      <c r="J92" s="61"/>
      <c r="K92" s="187"/>
      <c r="L92" s="61"/>
      <c r="M92" s="61"/>
      <c r="N92" s="188"/>
      <c r="O92" s="188"/>
      <c r="P92" s="188"/>
      <c r="Q92" s="188"/>
      <c r="R92" s="188"/>
      <c r="S92" s="188"/>
      <c r="T92" s="188"/>
      <c r="U92" s="189"/>
      <c r="V92" s="189"/>
      <c r="W92" s="45"/>
      <c r="X92" s="186"/>
      <c r="Y92" s="186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</row>
    <row r="93" spans="1:36" x14ac:dyDescent="0.3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3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3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3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3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3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3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3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3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3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3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3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3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3">
      <c r="A106" s="45"/>
      <c r="B106" s="45"/>
      <c r="C106" s="45"/>
      <c r="D106" s="61"/>
      <c r="E106" s="61"/>
      <c r="F106" s="61"/>
      <c r="G106" s="61"/>
      <c r="H106" s="61"/>
      <c r="I106" s="190"/>
      <c r="J106" s="61"/>
      <c r="K106" s="187"/>
      <c r="L106" s="61"/>
      <c r="M106" s="61"/>
      <c r="N106" s="188"/>
      <c r="O106" s="188"/>
      <c r="P106" s="188"/>
      <c r="Q106" s="188"/>
      <c r="R106" s="188"/>
      <c r="S106" s="188"/>
      <c r="T106" s="188"/>
      <c r="U106" s="189"/>
      <c r="V106" s="189"/>
      <c r="W106" s="45"/>
      <c r="X106" s="186"/>
      <c r="Y106" s="186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3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3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3">
      <c r="A109" s="45"/>
      <c r="B109" s="45"/>
      <c r="C109" s="45"/>
      <c r="D109" s="61"/>
      <c r="E109" s="61"/>
      <c r="F109" s="61"/>
      <c r="G109" s="61"/>
      <c r="H109" s="61"/>
      <c r="I109" s="61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3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3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3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3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3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3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3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3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3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3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3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3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45"/>
      <c r="V121" s="45"/>
      <c r="W121" s="45"/>
      <c r="X121" s="186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3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3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3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4"/>
  <sheetViews>
    <sheetView topLeftCell="AE1" zoomScale="70" zoomScaleNormal="70" workbookViewId="0">
      <selection activeCell="AX5" sqref="AX5"/>
    </sheetView>
  </sheetViews>
  <sheetFormatPr defaultRowHeight="14.4" x14ac:dyDescent="0.3"/>
  <cols>
    <col min="1" max="1" width="15.33203125" customWidth="1"/>
    <col min="3" max="3" width="9" customWidth="1"/>
    <col min="4" max="4" width="10.88671875" style="1" customWidth="1"/>
    <col min="5" max="5" width="6.44140625" style="1" customWidth="1"/>
    <col min="6" max="7" width="6.33203125" style="1" customWidth="1"/>
    <col min="8" max="8" width="9.109375" style="1" bestFit="1" customWidth="1"/>
    <col min="9" max="9" width="8.5546875" style="1" bestFit="1" customWidth="1"/>
    <col min="10" max="10" width="8.44140625" style="1" customWidth="1"/>
    <col min="11" max="11" width="12" style="1" customWidth="1"/>
    <col min="12" max="12" width="8.44140625" style="1" customWidth="1"/>
    <col min="13" max="13" width="11" style="1" customWidth="1"/>
    <col min="14" max="14" width="6.6640625" style="1" customWidth="1"/>
    <col min="15" max="15" width="7.88671875" style="1" customWidth="1"/>
    <col min="16" max="16" width="11.5546875" style="1" customWidth="1"/>
    <col min="17" max="17" width="13.88671875" style="1" customWidth="1"/>
    <col min="18" max="18" width="8.33203125" style="1" customWidth="1"/>
    <col min="19" max="19" width="7.6640625" style="1" customWidth="1"/>
    <col min="20" max="20" width="10.6640625" style="1" customWidth="1"/>
    <col min="21" max="21" width="7.6640625" customWidth="1"/>
    <col min="22" max="22" width="9.6640625" customWidth="1"/>
    <col min="24" max="24" width="9.88671875" bestFit="1" customWidth="1"/>
    <col min="25" max="25" width="10.6640625" customWidth="1"/>
    <col min="26" max="26" width="8.6640625" customWidth="1"/>
    <col min="27" max="27" width="7.33203125" customWidth="1"/>
    <col min="28" max="28" width="9.88671875" customWidth="1"/>
    <col min="29" max="29" width="9.109375" customWidth="1"/>
    <col min="30" max="30" width="8.44140625" customWidth="1"/>
    <col min="31" max="31" width="7.44140625" customWidth="1"/>
    <col min="32" max="32" width="10" customWidth="1"/>
    <col min="33" max="33" width="10.33203125" customWidth="1"/>
    <col min="34" max="34" width="9.6640625" customWidth="1"/>
    <col min="35" max="36" width="11.5546875" customWidth="1"/>
    <col min="37" max="37" width="8.6640625" customWidth="1"/>
    <col min="38" max="38" width="11.5546875" bestFit="1" customWidth="1"/>
    <col min="39" max="39" width="9.6640625" customWidth="1"/>
    <col min="44" max="44" width="11.33203125" customWidth="1"/>
    <col min="45" max="45" width="12.109375" customWidth="1"/>
    <col min="46" max="46" width="13.109375" bestFit="1" customWidth="1"/>
    <col min="47" max="47" width="12" bestFit="1" customWidth="1"/>
    <col min="48" max="48" width="10.44140625" bestFit="1" customWidth="1"/>
    <col min="49" max="49" width="10.33203125" customWidth="1"/>
    <col min="50" max="50" width="15.88671875" bestFit="1" customWidth="1"/>
    <col min="51" max="51" width="10.33203125" bestFit="1" customWidth="1"/>
  </cols>
  <sheetData>
    <row r="1" spans="1:51" ht="86.4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3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V1" t="str">
        <f>E1</f>
        <v>v4, vdc</v>
      </c>
      <c r="AX1" s="4"/>
      <c r="AY1" s="4"/>
    </row>
    <row r="2" spans="1:51" x14ac:dyDescent="0.3">
      <c r="A2" t="s">
        <v>222</v>
      </c>
      <c r="B2" t="s">
        <v>201</v>
      </c>
      <c r="C2" s="220">
        <f t="shared" ref="C2:C13" si="1">D2/180+1</f>
        <v>1.029890722454599</v>
      </c>
      <c r="D2" s="262">
        <f>EXP((0-$Q$41)/$R$41)</f>
        <v>5.3803300418278059</v>
      </c>
      <c r="E2" s="109">
        <v>3.2000000000000002E-3</v>
      </c>
      <c r="F2" s="109">
        <v>12.24</v>
      </c>
      <c r="G2" s="109">
        <v>1.9E-2</v>
      </c>
      <c r="H2" s="148">
        <v>1.0000000000000001E+32</v>
      </c>
      <c r="I2" s="191">
        <v>1.0000000000000001E+32</v>
      </c>
      <c r="J2" s="189"/>
      <c r="K2" s="2">
        <f t="shared" ref="K2:K13" si="2">F2*G2</f>
        <v>0.23255999999999999</v>
      </c>
      <c r="L2" s="229">
        <f t="shared" ref="L2:L13" si="3">D2</f>
        <v>5.3803300418278059</v>
      </c>
      <c r="M2" s="234">
        <f t="shared" ref="M2:M13" si="4">LN(L2)</f>
        <v>1.6827497183567481</v>
      </c>
      <c r="N2" s="3">
        <f t="shared" ref="N2:O13" si="5">1/H2/0.000001</f>
        <v>9.999999999999999E-27</v>
      </c>
      <c r="O2" s="3">
        <f t="shared" si="5"/>
        <v>9.999999999999999E-27</v>
      </c>
      <c r="P2" s="3">
        <f t="shared" ref="P2:P13" si="6">N2*60/$C$25</f>
        <v>5.9999999999999995E-25</v>
      </c>
      <c r="Q2" s="4">
        <v>0</v>
      </c>
      <c r="R2" s="3">
        <f t="shared" ref="R2:R13" si="7">P2/$Q$30</f>
        <v>1.3020833333333332E-27</v>
      </c>
      <c r="S2" s="3">
        <f t="shared" ref="S2:S13" si="8">Q2/$Q$30</f>
        <v>0</v>
      </c>
      <c r="T2" s="3">
        <f t="shared" ref="T2:T13" si="9">L2</f>
        <v>5.3803300418278059</v>
      </c>
      <c r="U2" s="158">
        <f t="shared" si="0"/>
        <v>0.23255999999999999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2" si="10">$Q$37*(P2/$Q$30/100)^3</f>
        <v>9.76843480821773E-87</v>
      </c>
      <c r="AA2" s="229">
        <f t="shared" ref="AA2:AA13" si="11">SQRT(Z2^3/4/$Q$27/$Q$33)</f>
        <v>9.469612348787209E-129</v>
      </c>
      <c r="AB2" s="1"/>
      <c r="AC2" s="158">
        <f t="shared" ref="AC2:AC13" si="12">SQRT(Z2/$Q$33/$Q$27)</f>
        <v>1.9388187636407961E-42</v>
      </c>
      <c r="AD2" s="175">
        <f t="shared" ref="AD2:AD9" si="13">AC2*1/1.6/1000*3600</f>
        <v>4.3623422181917907E-42</v>
      </c>
      <c r="AE2" s="4">
        <f t="shared" ref="AE2:AE13" si="14">Q2/60*PI()*$C$39/1000</f>
        <v>0</v>
      </c>
      <c r="AF2" s="158">
        <f>AE2/AC2</f>
        <v>0</v>
      </c>
      <c r="AH2" s="228">
        <f t="shared" ref="AH2:AH13" si="15">D2/$Q$31*$Q$23</f>
        <v>0.14945361227299461</v>
      </c>
      <c r="AI2" s="228">
        <f t="shared" ref="AI2:AI13" si="16">AH2/$Q$23*$Q$31</f>
        <v>5.3803300418278059</v>
      </c>
      <c r="AJ2" s="229">
        <f t="shared" ref="AJ2:AJ13" si="17">MAX(($Q$41+$R$41*LN($AI2)),0)</f>
        <v>0</v>
      </c>
      <c r="AK2" s="229">
        <f t="shared" ref="AK2:AK13" si="18">MAX(($Q$41+$R$41*LN(AI2))/$Q$30,0)</f>
        <v>0</v>
      </c>
      <c r="AL2" s="229">
        <f t="shared" ref="AL2:AL13" si="19">($Q$42+$R$42*AK2*$Q$30)/$Q$30</f>
        <v>-12.585815469150777</v>
      </c>
      <c r="AM2" s="229">
        <f t="shared" ref="AM2:AM13" si="20">($Q$43+$R$43*AL2*$Q$30)/$Q$30</f>
        <v>3.923181115926945E-2</v>
      </c>
      <c r="AN2" s="1"/>
      <c r="AO2" s="1">
        <f t="shared" ref="AO2:AO13" si="21">MAX($Q$42+$R$42*AJ2, 0)</f>
        <v>0</v>
      </c>
      <c r="AP2" s="227"/>
      <c r="AQ2" s="227"/>
      <c r="AR2" s="227"/>
      <c r="AS2" s="1"/>
      <c r="AT2" s="227"/>
      <c r="AU2" s="1"/>
      <c r="AV2">
        <f t="shared" ref="AV2:AV13" si="22">E2</f>
        <v>3.2000000000000002E-3</v>
      </c>
    </row>
    <row r="3" spans="1:51" ht="15" customHeight="1" x14ac:dyDescent="0.3">
      <c r="A3" t="s">
        <v>223</v>
      </c>
      <c r="B3" t="s">
        <v>201</v>
      </c>
      <c r="C3" s="220">
        <f t="shared" si="1"/>
        <v>1.0444444444444445</v>
      </c>
      <c r="D3" s="73">
        <v>8</v>
      </c>
      <c r="E3" s="109">
        <v>4.5999999999999999E-3</v>
      </c>
      <c r="F3" s="73">
        <v>12.23</v>
      </c>
      <c r="G3" s="106">
        <v>0.27700000000000002</v>
      </c>
      <c r="H3" s="73">
        <v>8000</v>
      </c>
      <c r="I3" s="191">
        <v>1.0000000000000001E+32</v>
      </c>
      <c r="J3" s="61"/>
      <c r="K3" s="2">
        <f t="shared" si="2"/>
        <v>3.3877100000000002</v>
      </c>
      <c r="L3" s="1">
        <f t="shared" si="3"/>
        <v>8</v>
      </c>
      <c r="M3" s="234">
        <f t="shared" si="4"/>
        <v>2.0794415416798357</v>
      </c>
      <c r="N3" s="3">
        <f t="shared" si="5"/>
        <v>125.00000000000001</v>
      </c>
      <c r="O3" s="3">
        <f t="shared" si="5"/>
        <v>9.999999999999999E-27</v>
      </c>
      <c r="P3" s="3">
        <f t="shared" si="6"/>
        <v>7500.0000000000009</v>
      </c>
      <c r="Q3" s="3">
        <f t="shared" ref="Q3:Q13" si="23">O3*60/$C$25</f>
        <v>5.9999999999999995E-25</v>
      </c>
      <c r="R3" s="3">
        <f t="shared" si="7"/>
        <v>16.276041666666668</v>
      </c>
      <c r="S3" s="3">
        <f t="shared" si="8"/>
        <v>1.3020833333333332E-27</v>
      </c>
      <c r="T3" s="3">
        <f>L3</f>
        <v>8</v>
      </c>
      <c r="U3" s="158">
        <f>K3</f>
        <v>3.3877100000000002</v>
      </c>
      <c r="V3" s="1">
        <f t="shared" ref="V3:V13" si="24">($U3-$U$2)</f>
        <v>3.1551500000000003</v>
      </c>
      <c r="W3" s="234">
        <f t="shared" ref="W3:W13" si="25">($U3-$U$2)*0.001341022</f>
        <v>4.2311255633000009E-3</v>
      </c>
      <c r="X3" s="230">
        <f>$W3/$P3*5252</f>
        <v>2.9629161944602139E-3</v>
      </c>
      <c r="Y3" s="230">
        <f>X3-$X$3</f>
        <v>0</v>
      </c>
      <c r="Z3" s="228">
        <f t="shared" si="10"/>
        <v>1.9078974234800265E-2</v>
      </c>
      <c r="AA3" s="229">
        <f t="shared" si="11"/>
        <v>2.584801871638143E-2</v>
      </c>
      <c r="AB3" s="2">
        <f>AA3/U3*100</f>
        <v>0.76299384293169803</v>
      </c>
      <c r="AC3" s="158">
        <f t="shared" si="12"/>
        <v>2.7095815947205746</v>
      </c>
      <c r="AD3" s="175">
        <f t="shared" si="13"/>
        <v>6.096558588121292</v>
      </c>
      <c r="AE3" s="4">
        <f t="shared" si="14"/>
        <v>1.7278759594743859E-27</v>
      </c>
      <c r="AF3" s="158">
        <f t="shared" ref="AF3:AF13" si="26">AE3/AC3</f>
        <v>6.3769106006662739E-28</v>
      </c>
      <c r="AH3" s="228">
        <f t="shared" si="15"/>
        <v>0.22222222222222224</v>
      </c>
      <c r="AI3" s="228">
        <f t="shared" si="16"/>
        <v>8</v>
      </c>
      <c r="AJ3" s="229">
        <f t="shared" si="17"/>
        <v>4555.170672024622</v>
      </c>
      <c r="AK3" s="229">
        <f t="shared" si="18"/>
        <v>9.8853530208867664</v>
      </c>
      <c r="AL3" s="229">
        <f t="shared" si="19"/>
        <v>-2.9289255895124828</v>
      </c>
      <c r="AM3" s="229">
        <f t="shared" si="20"/>
        <v>9.9172706414521858</v>
      </c>
      <c r="AN3" s="1"/>
      <c r="AO3" s="1">
        <f t="shared" si="21"/>
        <v>0</v>
      </c>
      <c r="AP3" s="227">
        <f t="shared" ref="AP3:AP13" si="27">MAX($J$47+$AJ3*($K$47+$AJ3*$L$47), 0)</f>
        <v>0</v>
      </c>
      <c r="AQ3" s="227">
        <f>AJ3*AP3/5252</f>
        <v>0</v>
      </c>
      <c r="AR3" s="231">
        <f t="shared" ref="AR3:AR13" si="28">MAX($K$47+$L$47*2*AJ3,1E-32)</f>
        <v>2.8272318367231825E-7</v>
      </c>
      <c r="AS3" s="228"/>
      <c r="AT3" s="1"/>
      <c r="AU3" s="228"/>
      <c r="AV3">
        <f t="shared" si="22"/>
        <v>4.5999999999999999E-3</v>
      </c>
      <c r="AX3" s="128">
        <f>0.21/0.15*9-25</f>
        <v>-12.4</v>
      </c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1.0666666666666667</v>
      </c>
      <c r="D4" s="73">
        <v>12</v>
      </c>
      <c r="E4" s="109">
        <v>0.23799999999999999</v>
      </c>
      <c r="F4" s="73">
        <v>12.25</v>
      </c>
      <c r="G4" s="106">
        <v>0.52800000000000002</v>
      </c>
      <c r="H4" s="73">
        <v>5540</v>
      </c>
      <c r="I4" s="78">
        <v>13200</v>
      </c>
      <c r="J4" s="61"/>
      <c r="K4" s="2">
        <f t="shared" si="2"/>
        <v>6.468</v>
      </c>
      <c r="L4" s="1">
        <f t="shared" si="3"/>
        <v>12</v>
      </c>
      <c r="M4" s="234">
        <f t="shared" si="4"/>
        <v>2.4849066497880004</v>
      </c>
      <c r="N4" s="3">
        <f t="shared" si="5"/>
        <v>180.50541516245488</v>
      </c>
      <c r="O4" s="3">
        <f t="shared" si="5"/>
        <v>75.757575757575765</v>
      </c>
      <c r="P4" s="3">
        <f t="shared" si="6"/>
        <v>10830.324909747293</v>
      </c>
      <c r="Q4" s="3">
        <f t="shared" si="23"/>
        <v>4545.454545454546</v>
      </c>
      <c r="R4" s="3">
        <f t="shared" si="7"/>
        <v>23.503309265944644</v>
      </c>
      <c r="S4" s="3">
        <f t="shared" si="8"/>
        <v>9.8642676767676782</v>
      </c>
      <c r="T4" s="3">
        <f t="shared" si="9"/>
        <v>12</v>
      </c>
      <c r="U4" s="158">
        <f t="shared" si="0"/>
        <v>6.468</v>
      </c>
      <c r="V4" s="229">
        <f t="shared" si="24"/>
        <v>6.2354399999999996</v>
      </c>
      <c r="W4" s="234">
        <f t="shared" si="25"/>
        <v>8.3618622196799993E-3</v>
      </c>
      <c r="X4" s="230">
        <f t="shared" ref="X4:X13" si="29">$W4/$P4*5252</f>
        <v>4.0549568682131136E-3</v>
      </c>
      <c r="Y4" s="230">
        <f t="shared" ref="Y4:Y13" si="30">X4-$X$3</f>
        <v>1.0920406737528997E-3</v>
      </c>
      <c r="Z4" s="228">
        <f t="shared" si="10"/>
        <v>5.7450748105172637E-2</v>
      </c>
      <c r="AA4" s="229">
        <f t="shared" si="11"/>
        <v>0.13506358084086184</v>
      </c>
      <c r="AB4" s="2">
        <f t="shared" ref="AB4:AB11" si="31">AA4/U4*100</f>
        <v>2.0881815219675608</v>
      </c>
      <c r="AC4" s="158">
        <f t="shared" si="12"/>
        <v>4.7018911083144355</v>
      </c>
      <c r="AD4" s="175">
        <f t="shared" si="13"/>
        <v>10.57925499370748</v>
      </c>
      <c r="AE4" s="175">
        <f t="shared" si="14"/>
        <v>13.089969389957473</v>
      </c>
      <c r="AF4" s="158">
        <f t="shared" si="26"/>
        <v>2.7839796984686127</v>
      </c>
      <c r="AG4" s="151"/>
      <c r="AH4" s="228">
        <f t="shared" si="15"/>
        <v>0.33333333333333331</v>
      </c>
      <c r="AI4" s="228">
        <f t="shared" si="16"/>
        <v>12</v>
      </c>
      <c r="AJ4" s="229">
        <f t="shared" si="17"/>
        <v>9211.0840546388536</v>
      </c>
      <c r="AK4" s="229">
        <f t="shared" si="18"/>
        <v>19.989331715796123</v>
      </c>
      <c r="AL4" s="229">
        <f t="shared" si="19"/>
        <v>6.941537245430192</v>
      </c>
      <c r="AM4" s="229">
        <f t="shared" si="20"/>
        <v>20.013773384235744</v>
      </c>
      <c r="AN4" s="2">
        <f t="shared" ref="AN4:AN13" si="32">AO4/$Q$30</f>
        <v>6.941537245430192</v>
      </c>
      <c r="AO4" s="3">
        <f t="shared" si="21"/>
        <v>3198.6603626942324</v>
      </c>
      <c r="AP4" s="227">
        <f t="shared" si="27"/>
        <v>3.2994267727491818E-4</v>
      </c>
      <c r="AQ4" s="227">
        <f t="shared" ref="AQ4:AQ13" si="33">AJ4*AP4/5252</f>
        <v>5.7866141157499084E-4</v>
      </c>
      <c r="AR4" s="231">
        <f t="shared" si="28"/>
        <v>3.6957404609849427E-7</v>
      </c>
      <c r="AS4" s="228">
        <f t="shared" ref="AS4:AS13" si="34">$Q$35/AR4</f>
        <v>0.10127014572560596</v>
      </c>
      <c r="AT4" s="1"/>
      <c r="AU4" s="228"/>
      <c r="AV4">
        <f t="shared" si="22"/>
        <v>0.23799999999999999</v>
      </c>
      <c r="AX4" s="127">
        <f>47+0.085/0.05*15</f>
        <v>72.5</v>
      </c>
      <c r="AY4" s="96"/>
    </row>
    <row r="5" spans="1:51" ht="13.95" customHeight="1" x14ac:dyDescent="0.3">
      <c r="A5" t="s">
        <v>225</v>
      </c>
      <c r="B5" s="176">
        <v>16</v>
      </c>
      <c r="C5" s="220">
        <f t="shared" si="1"/>
        <v>1.0944444444444446</v>
      </c>
      <c r="D5" s="73">
        <v>17</v>
      </c>
      <c r="E5" s="73">
        <v>0.434</v>
      </c>
      <c r="F5" s="73">
        <v>12.24</v>
      </c>
      <c r="G5" s="73">
        <v>0.65500000000000003</v>
      </c>
      <c r="H5" s="73">
        <v>4900</v>
      </c>
      <c r="I5" s="78">
        <v>10000</v>
      </c>
      <c r="J5" s="61"/>
      <c r="K5" s="2">
        <f t="shared" si="2"/>
        <v>8.0172000000000008</v>
      </c>
      <c r="L5" s="1">
        <f t="shared" si="3"/>
        <v>17</v>
      </c>
      <c r="M5" s="234">
        <f t="shared" si="4"/>
        <v>2.8332133440562162</v>
      </c>
      <c r="N5" s="3">
        <f t="shared" si="5"/>
        <v>204.08163265306123</v>
      </c>
      <c r="O5" s="3">
        <f t="shared" si="5"/>
        <v>100.00000000000001</v>
      </c>
      <c r="P5" s="3">
        <f t="shared" si="6"/>
        <v>12244.897959183674</v>
      </c>
      <c r="Q5" s="3">
        <f t="shared" si="23"/>
        <v>6000.0000000000009</v>
      </c>
      <c r="R5" s="3">
        <f t="shared" si="7"/>
        <v>26.573129251700681</v>
      </c>
      <c r="S5" s="3">
        <f t="shared" si="8"/>
        <v>13.020833333333336</v>
      </c>
      <c r="T5" s="3">
        <f t="shared" si="9"/>
        <v>17</v>
      </c>
      <c r="U5" s="158">
        <f t="shared" si="0"/>
        <v>8.0172000000000008</v>
      </c>
      <c r="V5" s="229">
        <f t="shared" si="24"/>
        <v>7.7846400000000004</v>
      </c>
      <c r="W5" s="234">
        <f t="shared" si="25"/>
        <v>1.0439373502080001E-2</v>
      </c>
      <c r="X5" s="230">
        <f t="shared" si="29"/>
        <v>4.477586486688806E-3</v>
      </c>
      <c r="Y5" s="230">
        <f t="shared" si="30"/>
        <v>1.5146702922285921E-3</v>
      </c>
      <c r="Z5" s="228">
        <f t="shared" si="10"/>
        <v>8.3030325869473912E-2</v>
      </c>
      <c r="AA5" s="229">
        <f t="shared" si="11"/>
        <v>0.23466582178855083</v>
      </c>
      <c r="AB5" s="2">
        <f t="shared" si="31"/>
        <v>2.9270296585909144</v>
      </c>
      <c r="AC5" s="158">
        <f t="shared" si="12"/>
        <v>5.6525328386029061</v>
      </c>
      <c r="AD5" s="175">
        <f t="shared" si="13"/>
        <v>12.718198886856539</v>
      </c>
      <c r="AE5" s="175">
        <f t="shared" si="14"/>
        <v>17.278759594743867</v>
      </c>
      <c r="AF5" s="158">
        <f t="shared" si="26"/>
        <v>3.056817198255239</v>
      </c>
      <c r="AG5" s="151"/>
      <c r="AH5" s="228">
        <f t="shared" si="15"/>
        <v>0.47222222222222221</v>
      </c>
      <c r="AI5" s="228">
        <f t="shared" si="16"/>
        <v>17</v>
      </c>
      <c r="AJ5" s="229">
        <f t="shared" si="17"/>
        <v>13210.653355839728</v>
      </c>
      <c r="AK5" s="229">
        <f t="shared" si="18"/>
        <v>28.668952595138297</v>
      </c>
      <c r="AL5" s="229">
        <f t="shared" si="19"/>
        <v>15.420560994174144</v>
      </c>
      <c r="AM5" s="229">
        <f t="shared" si="20"/>
        <v>28.686972196378115</v>
      </c>
      <c r="AN5" s="2">
        <f t="shared" si="32"/>
        <v>15.420560994174144</v>
      </c>
      <c r="AO5" s="3">
        <f t="shared" si="21"/>
        <v>7105.794506115446</v>
      </c>
      <c r="AP5" s="227">
        <f t="shared" si="27"/>
        <v>1.9572786136409217E-3</v>
      </c>
      <c r="AQ5" s="227">
        <f t="shared" si="33"/>
        <v>4.9232538624540689E-3</v>
      </c>
      <c r="AR5" s="231">
        <f t="shared" si="28"/>
        <v>4.4418154297325635E-7</v>
      </c>
      <c r="AS5" s="228">
        <f t="shared" si="34"/>
        <v>8.4260181668669082E-2</v>
      </c>
      <c r="AT5" s="232"/>
      <c r="AU5" s="165"/>
      <c r="AV5">
        <f t="shared" si="22"/>
        <v>0.434</v>
      </c>
      <c r="AX5" s="127"/>
      <c r="AY5" s="96"/>
    </row>
    <row r="6" spans="1:51" ht="13.95" customHeight="1" x14ac:dyDescent="0.3">
      <c r="A6" t="s">
        <v>226</v>
      </c>
      <c r="B6" s="176">
        <v>20</v>
      </c>
      <c r="C6" s="220">
        <f t="shared" si="1"/>
        <v>1.1166666666666667</v>
      </c>
      <c r="D6" s="73">
        <v>21</v>
      </c>
      <c r="E6" s="73">
        <v>0.58599999999999997</v>
      </c>
      <c r="F6" s="73">
        <v>12.24</v>
      </c>
      <c r="G6" s="73">
        <v>0.877</v>
      </c>
      <c r="H6" s="73">
        <v>4180</v>
      </c>
      <c r="I6" s="78">
        <v>7500</v>
      </c>
      <c r="J6" s="61"/>
      <c r="K6" s="2">
        <f t="shared" si="2"/>
        <v>10.73448</v>
      </c>
      <c r="L6" s="1">
        <f t="shared" si="3"/>
        <v>21</v>
      </c>
      <c r="M6" s="234">
        <f t="shared" si="4"/>
        <v>3.044522437723423</v>
      </c>
      <c r="N6" s="3">
        <f t="shared" si="5"/>
        <v>239.23444976076556</v>
      </c>
      <c r="O6" s="3">
        <f t="shared" si="5"/>
        <v>133.33333333333334</v>
      </c>
      <c r="P6" s="3">
        <f t="shared" si="6"/>
        <v>14354.066985645934</v>
      </c>
      <c r="Q6" s="3">
        <f t="shared" si="23"/>
        <v>8000.0000000000009</v>
      </c>
      <c r="R6" s="3">
        <f t="shared" si="7"/>
        <v>31.150318979266348</v>
      </c>
      <c r="S6" s="3">
        <f t="shared" si="8"/>
        <v>17.361111111111114</v>
      </c>
      <c r="T6" s="3">
        <f t="shared" si="9"/>
        <v>21</v>
      </c>
      <c r="U6" s="158">
        <f t="shared" si="0"/>
        <v>10.73448</v>
      </c>
      <c r="V6" s="229">
        <f t="shared" si="24"/>
        <v>10.50192</v>
      </c>
      <c r="W6" s="234">
        <f t="shared" si="25"/>
        <v>1.4083305762240001E-2</v>
      </c>
      <c r="X6" s="230">
        <f t="shared" si="29"/>
        <v>5.1529313564754849E-3</v>
      </c>
      <c r="Y6" s="230">
        <f t="shared" si="30"/>
        <v>2.190015162015271E-3</v>
      </c>
      <c r="Z6" s="228">
        <f t="shared" si="10"/>
        <v>0.13375072264645263</v>
      </c>
      <c r="AA6" s="229">
        <f t="shared" si="11"/>
        <v>0.47977645696176557</v>
      </c>
      <c r="AB6" s="2">
        <f t="shared" si="31"/>
        <v>4.4694895044917464</v>
      </c>
      <c r="AC6" s="158">
        <f t="shared" si="12"/>
        <v>7.1741886319369401</v>
      </c>
      <c r="AD6" s="175">
        <f t="shared" si="13"/>
        <v>16.141924421858114</v>
      </c>
      <c r="AE6" s="175">
        <f t="shared" si="14"/>
        <v>23.038346126325152</v>
      </c>
      <c r="AF6" s="158">
        <f t="shared" si="26"/>
        <v>3.21128246109485</v>
      </c>
      <c r="AG6" s="151"/>
      <c r="AH6" s="228">
        <f t="shared" si="15"/>
        <v>0.58333333333333337</v>
      </c>
      <c r="AI6" s="228">
        <f t="shared" si="16"/>
        <v>21</v>
      </c>
      <c r="AJ6" s="229">
        <f t="shared" si="17"/>
        <v>15637.093553526916</v>
      </c>
      <c r="AK6" s="229">
        <f t="shared" si="18"/>
        <v>33.934664829702506</v>
      </c>
      <c r="AL6" s="229">
        <f t="shared" si="19"/>
        <v>20.56457588970785</v>
      </c>
      <c r="AM6" s="229">
        <f t="shared" si="20"/>
        <v>33.948788320928394</v>
      </c>
      <c r="AN6" s="2">
        <f t="shared" si="32"/>
        <v>20.564575889707857</v>
      </c>
      <c r="AO6" s="3">
        <f t="shared" si="21"/>
        <v>9476.1565699773801</v>
      </c>
      <c r="AP6" s="227">
        <f t="shared" si="27"/>
        <v>3.0899719769106734E-3</v>
      </c>
      <c r="AQ6" s="227">
        <f t="shared" si="33"/>
        <v>9.1999582788897007E-3</v>
      </c>
      <c r="AR6" s="231">
        <f t="shared" si="28"/>
        <v>4.8944407396912864E-7</v>
      </c>
      <c r="AS6" s="228">
        <f t="shared" si="34"/>
        <v>7.6468016460562963E-2</v>
      </c>
      <c r="AT6" s="232">
        <f t="shared" ref="AT6:AT13" si="35">$Q$44*$Q$27*$Q$36^2*$Q$33*PI()/240*($AC6-$Q$46)/$Q$45*$Q$34</f>
        <v>-1.0314509239179901E-7</v>
      </c>
      <c r="AU6" s="165">
        <f t="shared" ref="AU6:AU13" si="36">-$Q$35/AT6</f>
        <v>0.36285601803166451</v>
      </c>
      <c r="AV6">
        <f t="shared" si="22"/>
        <v>0.58599999999999997</v>
      </c>
      <c r="AW6">
        <v>0.44</v>
      </c>
      <c r="AX6" s="232">
        <f>-$Q$35/AW6</f>
        <v>-8.5060948874537106E-8</v>
      </c>
      <c r="AY6" s="96"/>
    </row>
    <row r="7" spans="1:51" ht="13.95" customHeight="1" x14ac:dyDescent="0.3">
      <c r="A7" t="s">
        <v>227</v>
      </c>
      <c r="B7" s="176">
        <v>25</v>
      </c>
      <c r="C7" s="220">
        <f t="shared" si="1"/>
        <v>1.1499999999999999</v>
      </c>
      <c r="D7" s="73">
        <v>27</v>
      </c>
      <c r="E7" s="73">
        <v>0.79300000000000004</v>
      </c>
      <c r="F7" s="73">
        <v>12.23</v>
      </c>
      <c r="G7" s="73">
        <v>1.23</v>
      </c>
      <c r="H7" s="73">
        <v>3540</v>
      </c>
      <c r="I7" s="78">
        <v>5580</v>
      </c>
      <c r="J7" s="61"/>
      <c r="K7" s="2">
        <f t="shared" si="2"/>
        <v>15.042899999999999</v>
      </c>
      <c r="L7" s="1">
        <f t="shared" si="3"/>
        <v>27</v>
      </c>
      <c r="M7" s="234">
        <f t="shared" si="4"/>
        <v>3.2958368660043291</v>
      </c>
      <c r="N7" s="3">
        <f t="shared" si="5"/>
        <v>282.4858757062147</v>
      </c>
      <c r="O7" s="3">
        <f t="shared" si="5"/>
        <v>179.2114695340502</v>
      </c>
      <c r="P7" s="3">
        <f t="shared" si="6"/>
        <v>16949.152542372882</v>
      </c>
      <c r="Q7" s="3">
        <f t="shared" si="23"/>
        <v>10752.688172043012</v>
      </c>
      <c r="R7" s="3">
        <f t="shared" si="7"/>
        <v>36.78201506591337</v>
      </c>
      <c r="S7" s="3">
        <f t="shared" si="8"/>
        <v>23.33482676224612</v>
      </c>
      <c r="T7" s="3">
        <f t="shared" si="9"/>
        <v>27</v>
      </c>
      <c r="U7" s="158">
        <f t="shared" si="0"/>
        <v>15.042899999999999</v>
      </c>
      <c r="V7" s="229">
        <f t="shared" si="24"/>
        <v>14.81034</v>
      </c>
      <c r="W7" s="234">
        <f t="shared" si="25"/>
        <v>1.9860991767480001E-2</v>
      </c>
      <c r="X7" s="230">
        <f t="shared" si="29"/>
        <v>6.1542857970054926E-3</v>
      </c>
      <c r="Y7" s="230">
        <f t="shared" si="30"/>
        <v>3.1913696025452788E-3</v>
      </c>
      <c r="Z7" s="228">
        <f t="shared" si="10"/>
        <v>0.22019892600134502</v>
      </c>
      <c r="AA7" s="229">
        <f t="shared" si="11"/>
        <v>1.0134854585355983</v>
      </c>
      <c r="AB7" s="2">
        <f t="shared" si="31"/>
        <v>6.737301042588852</v>
      </c>
      <c r="AC7" s="158">
        <f t="shared" si="12"/>
        <v>9.2051807603222162</v>
      </c>
      <c r="AD7" s="175">
        <f t="shared" si="13"/>
        <v>20.711656710724984</v>
      </c>
      <c r="AE7" s="175">
        <f t="shared" si="14"/>
        <v>30.965518986996173</v>
      </c>
      <c r="AF7" s="158">
        <f t="shared" si="26"/>
        <v>3.363922968299458</v>
      </c>
      <c r="AG7" s="151"/>
      <c r="AH7" s="228">
        <f t="shared" si="15"/>
        <v>0.75</v>
      </c>
      <c r="AI7" s="228">
        <f t="shared" si="16"/>
        <v>27</v>
      </c>
      <c r="AJ7" s="229">
        <f t="shared" si="17"/>
        <v>18522.910819867313</v>
      </c>
      <c r="AK7" s="233">
        <f t="shared" si="18"/>
        <v>40.197289105614828</v>
      </c>
      <c r="AL7" s="233">
        <f t="shared" si="19"/>
        <v>26.682462915315533</v>
      </c>
      <c r="AM7" s="233">
        <f t="shared" si="20"/>
        <v>40.206778869802854</v>
      </c>
      <c r="AN7" s="9">
        <f t="shared" si="32"/>
        <v>26.682462915315533</v>
      </c>
      <c r="AO7" s="10">
        <f t="shared" si="21"/>
        <v>12295.278911377398</v>
      </c>
      <c r="AP7" s="230">
        <f t="shared" si="27"/>
        <v>4.5800923567918947E-3</v>
      </c>
      <c r="AQ7" s="230">
        <f t="shared" si="33"/>
        <v>1.6153206830086093E-2</v>
      </c>
      <c r="AR7" s="232">
        <f t="shared" si="28"/>
        <v>5.432757709508463E-7</v>
      </c>
      <c r="AS7" s="228">
        <f t="shared" si="34"/>
        <v>6.889101172189506E-2</v>
      </c>
      <c r="AT7" s="232">
        <f t="shared" si="35"/>
        <v>-1.4363199490561306E-7</v>
      </c>
      <c r="AU7" s="165">
        <f t="shared" si="36"/>
        <v>0.26057437640820308</v>
      </c>
      <c r="AV7">
        <f t="shared" si="22"/>
        <v>0.79300000000000004</v>
      </c>
      <c r="AX7" s="127"/>
      <c r="AY7" s="96"/>
    </row>
    <row r="8" spans="1:51" ht="13.95" customHeight="1" x14ac:dyDescent="0.3">
      <c r="A8" t="s">
        <v>228</v>
      </c>
      <c r="B8" s="176">
        <v>36</v>
      </c>
      <c r="C8" s="220">
        <f t="shared" si="1"/>
        <v>1.2333333333333334</v>
      </c>
      <c r="D8" s="73">
        <v>42</v>
      </c>
      <c r="E8" s="73">
        <v>1.175</v>
      </c>
      <c r="F8" s="73">
        <v>12.19</v>
      </c>
      <c r="G8" s="73">
        <v>2.41</v>
      </c>
      <c r="H8" s="73">
        <v>2770</v>
      </c>
      <c r="I8" s="78">
        <v>3760</v>
      </c>
      <c r="J8" s="61"/>
      <c r="K8" s="2">
        <f t="shared" si="2"/>
        <v>29.3779</v>
      </c>
      <c r="L8" s="1">
        <f t="shared" si="3"/>
        <v>42</v>
      </c>
      <c r="M8" s="234">
        <f t="shared" si="4"/>
        <v>3.7376696182833684</v>
      </c>
      <c r="N8" s="3">
        <f t="shared" si="5"/>
        <v>361.01083032490976</v>
      </c>
      <c r="O8" s="3">
        <f t="shared" si="5"/>
        <v>265.95744680851067</v>
      </c>
      <c r="P8" s="3">
        <f t="shared" si="6"/>
        <v>21660.649819494585</v>
      </c>
      <c r="Q8" s="3">
        <f t="shared" si="23"/>
        <v>15957.44680851064</v>
      </c>
      <c r="R8" s="3">
        <f t="shared" si="7"/>
        <v>47.006618531889288</v>
      </c>
      <c r="S8" s="3">
        <f t="shared" si="8"/>
        <v>34.629875886524829</v>
      </c>
      <c r="T8" s="3">
        <f t="shared" si="9"/>
        <v>42</v>
      </c>
      <c r="U8" s="158">
        <f t="shared" si="0"/>
        <v>29.3779</v>
      </c>
      <c r="V8" s="229">
        <f t="shared" si="24"/>
        <v>29.145340000000001</v>
      </c>
      <c r="W8" s="234">
        <f t="shared" si="25"/>
        <v>3.9084542137480006E-2</v>
      </c>
      <c r="X8" s="230">
        <f t="shared" si="29"/>
        <v>9.476724706629077E-3</v>
      </c>
      <c r="Y8" s="230">
        <f t="shared" si="30"/>
        <v>6.5138085121688631E-3</v>
      </c>
      <c r="Z8" s="228">
        <f t="shared" si="10"/>
        <v>0.4596059848413811</v>
      </c>
      <c r="AA8" s="229">
        <f t="shared" si="11"/>
        <v>3.0561399649251477</v>
      </c>
      <c r="AB8" s="2">
        <f t="shared" si="31"/>
        <v>10.402853726526224</v>
      </c>
      <c r="AC8" s="158">
        <f t="shared" si="12"/>
        <v>13.298956348359477</v>
      </c>
      <c r="AD8" s="175">
        <f t="shared" si="13"/>
        <v>29.922651783808821</v>
      </c>
      <c r="AE8" s="175">
        <f t="shared" si="14"/>
        <v>45.954147858361345</v>
      </c>
      <c r="AF8" s="158">
        <f t="shared" si="26"/>
        <v>3.4554702380108289</v>
      </c>
      <c r="AG8" s="151"/>
      <c r="AH8" s="228">
        <f t="shared" si="15"/>
        <v>1.1666666666666667</v>
      </c>
      <c r="AI8" s="228">
        <f t="shared" si="16"/>
        <v>42</v>
      </c>
      <c r="AJ8" s="229">
        <f t="shared" si="17"/>
        <v>23596.430052660289</v>
      </c>
      <c r="AK8" s="229">
        <f t="shared" si="18"/>
        <v>51.207530496224585</v>
      </c>
      <c r="AL8" s="229">
        <f t="shared" si="19"/>
        <v>37.438243556907246</v>
      </c>
      <c r="AM8" s="229">
        <f t="shared" si="20"/>
        <v>51.208873762877822</v>
      </c>
      <c r="AN8" s="2">
        <f t="shared" si="32"/>
        <v>37.438243556907246</v>
      </c>
      <c r="AO8" s="3">
        <f t="shared" si="21"/>
        <v>17251.542631022858</v>
      </c>
      <c r="AP8" s="227">
        <f t="shared" si="27"/>
        <v>7.5764934726365541E-3</v>
      </c>
      <c r="AQ8" s="227">
        <f t="shared" si="33"/>
        <v>3.4040022519327057E-2</v>
      </c>
      <c r="AR8" s="231">
        <f t="shared" si="28"/>
        <v>6.3791660395028843E-7</v>
      </c>
      <c r="AS8" s="228">
        <f t="shared" si="34"/>
        <v>5.8670392451037258E-2</v>
      </c>
      <c r="AT8" s="232">
        <f t="shared" si="35"/>
        <v>-2.2523954563406911E-7</v>
      </c>
      <c r="AU8" s="165">
        <f t="shared" si="36"/>
        <v>0.16616450454753204</v>
      </c>
      <c r="AV8">
        <f t="shared" si="22"/>
        <v>1.175</v>
      </c>
      <c r="AW8">
        <v>0.28899999999999998</v>
      </c>
      <c r="AX8" s="232">
        <f>-$Q$35/AW8</f>
        <v>-1.2950455884012569E-7</v>
      </c>
      <c r="AY8" s="96"/>
    </row>
    <row r="9" spans="1:51" ht="13.95" customHeight="1" x14ac:dyDescent="0.3">
      <c r="A9" t="s">
        <v>229</v>
      </c>
      <c r="B9" s="176">
        <v>45</v>
      </c>
      <c r="C9" s="220">
        <f t="shared" si="1"/>
        <v>1.3722222222222222</v>
      </c>
      <c r="D9" s="73">
        <v>67</v>
      </c>
      <c r="E9" s="73">
        <v>1.6240000000000001</v>
      </c>
      <c r="F9" s="73">
        <v>12.13</v>
      </c>
      <c r="G9" s="73">
        <v>4.2699999999999996</v>
      </c>
      <c r="H9" s="73">
        <v>2170</v>
      </c>
      <c r="I9" s="78">
        <v>2810</v>
      </c>
      <c r="J9" s="61"/>
      <c r="K9" s="2">
        <f t="shared" si="2"/>
        <v>51.795099999999998</v>
      </c>
      <c r="L9" s="1">
        <f t="shared" si="3"/>
        <v>67</v>
      </c>
      <c r="M9" s="234">
        <f t="shared" si="4"/>
        <v>4.2046926193909657</v>
      </c>
      <c r="N9" s="3">
        <f t="shared" si="5"/>
        <v>460.82949308755764</v>
      </c>
      <c r="O9" s="3">
        <f t="shared" si="5"/>
        <v>355.87188612099646</v>
      </c>
      <c r="P9" s="3">
        <f t="shared" si="6"/>
        <v>27649.76958525346</v>
      </c>
      <c r="Q9" s="3">
        <f t="shared" si="23"/>
        <v>21352.313167259788</v>
      </c>
      <c r="R9" s="3">
        <f t="shared" si="7"/>
        <v>60.003840245775734</v>
      </c>
      <c r="S9" s="3">
        <f t="shared" si="8"/>
        <v>46.337485172004747</v>
      </c>
      <c r="T9" s="3">
        <f t="shared" si="9"/>
        <v>67</v>
      </c>
      <c r="U9" s="158">
        <f t="shared" si="0"/>
        <v>51.795099999999998</v>
      </c>
      <c r="V9" s="229">
        <f t="shared" si="24"/>
        <v>51.562539999999998</v>
      </c>
      <c r="W9" s="234">
        <f t="shared" si="25"/>
        <v>6.9146500515880005E-2</v>
      </c>
      <c r="X9" s="230">
        <f t="shared" si="29"/>
        <v>1.3134193382323363E-2</v>
      </c>
      <c r="Y9" s="230">
        <f t="shared" si="30"/>
        <v>1.0171277187863148E-2</v>
      </c>
      <c r="Z9" s="228">
        <f t="shared" si="10"/>
        <v>0.95597334004328605</v>
      </c>
      <c r="AA9" s="229">
        <f t="shared" si="11"/>
        <v>9.1677634433024693</v>
      </c>
      <c r="AB9" s="2">
        <f t="shared" si="31"/>
        <v>17.700059355619487</v>
      </c>
      <c r="AC9" s="158">
        <f t="shared" si="12"/>
        <v>19.179956300637748</v>
      </c>
      <c r="AD9" s="175">
        <f t="shared" si="13"/>
        <v>43.154901676434932</v>
      </c>
      <c r="AE9" s="175">
        <f t="shared" si="14"/>
        <v>61.49024766812763</v>
      </c>
      <c r="AF9" s="165">
        <f t="shared" si="26"/>
        <v>3.2059639085873743</v>
      </c>
      <c r="AG9" s="151"/>
      <c r="AH9" s="228">
        <f t="shared" si="15"/>
        <v>1.8611111111111112</v>
      </c>
      <c r="AI9" s="228">
        <f t="shared" si="16"/>
        <v>67</v>
      </c>
      <c r="AJ9" s="229">
        <f t="shared" si="17"/>
        <v>28959.20627523346</v>
      </c>
      <c r="AK9" s="229">
        <f t="shared" si="18"/>
        <v>62.845499729239279</v>
      </c>
      <c r="AL9" s="229">
        <f t="shared" si="19"/>
        <v>48.807244448264356</v>
      </c>
      <c r="AM9" s="229">
        <f t="shared" si="20"/>
        <v>62.838232041390853</v>
      </c>
      <c r="AN9" s="2">
        <f t="shared" si="32"/>
        <v>48.807244448264363</v>
      </c>
      <c r="AO9" s="3">
        <f t="shared" si="21"/>
        <v>22490.37824176022</v>
      </c>
      <c r="AP9" s="227">
        <f t="shared" si="27"/>
        <v>1.1265734415476743E-2</v>
      </c>
      <c r="AQ9" s="227">
        <f t="shared" si="33"/>
        <v>6.2118569455405115E-2</v>
      </c>
      <c r="AR9" s="231">
        <f t="shared" si="28"/>
        <v>7.3795320292746935E-7</v>
      </c>
      <c r="AS9" s="228">
        <f t="shared" si="34"/>
        <v>5.0717060860124577E-2</v>
      </c>
      <c r="AT9" s="232">
        <f t="shared" si="35"/>
        <v>-3.4247459958818648E-7</v>
      </c>
      <c r="AU9" s="165">
        <f t="shared" si="36"/>
        <v>0.10928348423445342</v>
      </c>
      <c r="AV9">
        <f t="shared" si="22"/>
        <v>1.6240000000000001</v>
      </c>
      <c r="AX9" s="127"/>
      <c r="AY9" s="96"/>
    </row>
    <row r="10" spans="1:51" ht="13.95" customHeight="1" x14ac:dyDescent="0.3">
      <c r="A10" t="s">
        <v>231</v>
      </c>
      <c r="B10" s="176">
        <v>52</v>
      </c>
      <c r="C10" s="220">
        <f t="shared" si="1"/>
        <v>1.4388888888888889</v>
      </c>
      <c r="D10" s="73">
        <v>79</v>
      </c>
      <c r="E10" s="73">
        <v>1.786</v>
      </c>
      <c r="F10" s="73">
        <v>12.09</v>
      </c>
      <c r="G10" s="73">
        <v>5.32</v>
      </c>
      <c r="H10" s="73">
        <v>2020</v>
      </c>
      <c r="I10" s="78">
        <v>2560</v>
      </c>
      <c r="J10" s="61"/>
      <c r="K10" s="2">
        <f t="shared" si="2"/>
        <v>64.318799999999996</v>
      </c>
      <c r="L10" s="1">
        <f t="shared" si="3"/>
        <v>79</v>
      </c>
      <c r="M10" s="234">
        <f t="shared" ref="M10:M12" si="37">LN(L10)</f>
        <v>4.3694478524670215</v>
      </c>
      <c r="N10" s="3">
        <f t="shared" si="5"/>
        <v>495.04950495049508</v>
      </c>
      <c r="O10" s="3">
        <f t="shared" si="5"/>
        <v>390.62500000000006</v>
      </c>
      <c r="P10" s="3">
        <f t="shared" si="6"/>
        <v>29702.970297029704</v>
      </c>
      <c r="Q10" s="3">
        <f t="shared" si="23"/>
        <v>23437.500000000004</v>
      </c>
      <c r="R10" s="3">
        <f t="shared" si="7"/>
        <v>64.459570957095707</v>
      </c>
      <c r="S10" s="3">
        <f t="shared" si="8"/>
        <v>50.862630208333343</v>
      </c>
      <c r="T10" s="3">
        <f t="shared" ref="T10:T12" si="38">L10</f>
        <v>79</v>
      </c>
      <c r="U10" s="158">
        <f t="shared" ref="U10:U12" si="39">K10</f>
        <v>64.318799999999996</v>
      </c>
      <c r="V10" s="229">
        <f t="shared" si="24"/>
        <v>64.086239999999989</v>
      </c>
      <c r="W10" s="234">
        <f t="shared" si="25"/>
        <v>8.5941057737279988E-2</v>
      </c>
      <c r="X10" s="230">
        <f t="shared" si="29"/>
        <v>1.5195868652951881E-2</v>
      </c>
      <c r="Y10" s="230">
        <f t="shared" ref="Y10:Y12" si="40">X10-$X$3</f>
        <v>1.2232952458491667E-2</v>
      </c>
      <c r="Z10" s="228">
        <f t="shared" si="10"/>
        <v>1.1851433231911994</v>
      </c>
      <c r="AA10" s="229">
        <f t="shared" si="11"/>
        <v>12.654676236558226</v>
      </c>
      <c r="AB10" s="2">
        <f t="shared" si="31"/>
        <v>19.674925895007721</v>
      </c>
      <c r="AC10" s="158">
        <f t="shared" si="12"/>
        <v>21.355520448756128</v>
      </c>
      <c r="AD10" s="175">
        <f t="shared" ref="AD10:AD13" si="41">AC10*1/1.6/1000*3600</f>
        <v>48.049921009701286</v>
      </c>
      <c r="AE10" s="175">
        <f t="shared" si="14"/>
        <v>67.495154666968219</v>
      </c>
      <c r="AF10" s="163">
        <f t="shared" ref="AF10:AF12" si="42">AE10/AC10</f>
        <v>3.1605483382588102</v>
      </c>
      <c r="AG10" s="159">
        <f>$M$41/($Q$27*$Q$36*$Q$33*($AC10-$Q$46)^2/4/$AF10)/(PI()*$Q$36/60/($AC10-$Q$46))</f>
        <v>-0.83001462470815057</v>
      </c>
      <c r="AH10" s="228">
        <f t="shared" si="15"/>
        <v>2.1944444444444446</v>
      </c>
      <c r="AI10" s="228">
        <f t="shared" si="16"/>
        <v>79.000000000000014</v>
      </c>
      <c r="AJ10" s="229">
        <f t="shared" si="17"/>
        <v>30851.073366124794</v>
      </c>
      <c r="AK10" s="229">
        <f t="shared" si="18"/>
        <v>66.951114075791651</v>
      </c>
      <c r="AL10" s="229">
        <f t="shared" si="19"/>
        <v>52.817972800519279</v>
      </c>
      <c r="AM10" s="229">
        <f t="shared" si="20"/>
        <v>66.940808636456552</v>
      </c>
      <c r="AN10" s="2">
        <f t="shared" si="32"/>
        <v>52.817972800519286</v>
      </c>
      <c r="AO10" s="3">
        <f t="shared" si="21"/>
        <v>24338.521866479288</v>
      </c>
      <c r="AP10" s="227">
        <f t="shared" si="27"/>
        <v>1.2695226420403077E-2</v>
      </c>
      <c r="AQ10" s="227">
        <f t="shared" ref="AQ10:AQ12" si="43">AJ10*AP10/5252</f>
        <v>7.4573755082905785E-2</v>
      </c>
      <c r="AR10" s="231">
        <f t="shared" si="28"/>
        <v>7.7324386985722134E-7</v>
      </c>
      <c r="AS10" s="228">
        <f t="shared" si="34"/>
        <v>4.8402346224493374E-2</v>
      </c>
      <c r="AT10" s="232">
        <f t="shared" si="35"/>
        <v>-3.8584347943088994E-7</v>
      </c>
      <c r="AU10" s="165">
        <f t="shared" si="36"/>
        <v>9.7000000000000003E-2</v>
      </c>
      <c r="AV10">
        <f t="shared" si="22"/>
        <v>1.786</v>
      </c>
      <c r="AX10" s="127"/>
      <c r="AY10" s="96"/>
    </row>
    <row r="11" spans="1:51" ht="13.95" customHeight="1" x14ac:dyDescent="0.3">
      <c r="A11" t="s">
        <v>232</v>
      </c>
      <c r="B11" s="176">
        <v>55</v>
      </c>
      <c r="C11" s="220">
        <f t="shared" si="1"/>
        <v>1.4666666666666668</v>
      </c>
      <c r="D11" s="73">
        <v>84</v>
      </c>
      <c r="E11" s="73">
        <v>1.8420000000000001</v>
      </c>
      <c r="F11" s="73">
        <v>12.08</v>
      </c>
      <c r="G11" s="73">
        <v>5.63</v>
      </c>
      <c r="H11" s="73">
        <v>1970</v>
      </c>
      <c r="I11" s="78">
        <v>2480</v>
      </c>
      <c r="J11" s="61"/>
      <c r="K11" s="2">
        <f t="shared" si="2"/>
        <v>68.010400000000004</v>
      </c>
      <c r="L11" s="1">
        <f t="shared" si="3"/>
        <v>84</v>
      </c>
      <c r="M11" s="234">
        <f t="shared" si="37"/>
        <v>4.4308167988433134</v>
      </c>
      <c r="N11" s="3">
        <f t="shared" si="5"/>
        <v>507.6142131979696</v>
      </c>
      <c r="O11" s="3">
        <f t="shared" si="5"/>
        <v>403.22580645161293</v>
      </c>
      <c r="P11" s="3">
        <f t="shared" si="6"/>
        <v>30456.852791878177</v>
      </c>
      <c r="Q11" s="3">
        <f t="shared" si="23"/>
        <v>24193.548387096776</v>
      </c>
      <c r="R11" s="3">
        <f t="shared" si="7"/>
        <v>66.095600676818961</v>
      </c>
      <c r="S11" s="3">
        <f t="shared" si="8"/>
        <v>52.503360215053767</v>
      </c>
      <c r="T11" s="3">
        <f t="shared" si="38"/>
        <v>84</v>
      </c>
      <c r="U11" s="158">
        <f t="shared" si="39"/>
        <v>68.010400000000004</v>
      </c>
      <c r="V11" s="229">
        <f t="shared" si="24"/>
        <v>67.777839999999998</v>
      </c>
      <c r="W11" s="234">
        <f t="shared" si="25"/>
        <v>9.0891574552480009E-2</v>
      </c>
      <c r="X11" s="230">
        <f t="shared" si="29"/>
        <v>1.5673403710212686E-2</v>
      </c>
      <c r="Y11" s="230">
        <f t="shared" si="40"/>
        <v>1.2710487515752471E-2</v>
      </c>
      <c r="Z11" s="228">
        <f t="shared" si="10"/>
        <v>1.2776923778889189</v>
      </c>
      <c r="AA11" s="229">
        <f t="shared" si="11"/>
        <v>14.165574197505515</v>
      </c>
      <c r="AB11" s="2">
        <f t="shared" si="31"/>
        <v>20.828541219439252</v>
      </c>
      <c r="AC11" s="158">
        <f t="shared" si="12"/>
        <v>22.173685063239933</v>
      </c>
      <c r="AD11" s="175">
        <f t="shared" si="41"/>
        <v>49.890791392289849</v>
      </c>
      <c r="AE11" s="175">
        <f t="shared" si="14"/>
        <v>69.672417720741393</v>
      </c>
      <c r="AF11" s="165">
        <f t="shared" si="42"/>
        <v>3.1421217322260069</v>
      </c>
      <c r="AG11" s="151"/>
      <c r="AH11" s="228">
        <f t="shared" si="15"/>
        <v>2.3333333333333335</v>
      </c>
      <c r="AI11" s="228">
        <f t="shared" si="16"/>
        <v>84</v>
      </c>
      <c r="AJ11" s="229">
        <f t="shared" si="17"/>
        <v>31555.766551793655</v>
      </c>
      <c r="AK11" s="229">
        <f t="shared" si="18"/>
        <v>68.480396162746644</v>
      </c>
      <c r="AL11" s="229">
        <f t="shared" si="19"/>
        <v>54.311911224106609</v>
      </c>
      <c r="AM11" s="229">
        <f t="shared" si="20"/>
        <v>68.468959204827215</v>
      </c>
      <c r="AN11" s="2">
        <f t="shared" si="32"/>
        <v>54.311911224106609</v>
      </c>
      <c r="AO11" s="3">
        <f t="shared" si="21"/>
        <v>25026.928692068326</v>
      </c>
      <c r="AP11" s="227">
        <f t="shared" si="27"/>
        <v>1.3244757795360145E-2</v>
      </c>
      <c r="AQ11" s="227">
        <f t="shared" si="43"/>
        <v>7.9578919464096329E-2</v>
      </c>
      <c r="AR11" s="231">
        <f t="shared" si="28"/>
        <v>7.863891339314479E-7</v>
      </c>
      <c r="AS11" s="228">
        <f t="shared" si="34"/>
        <v>4.7593253632188338E-2</v>
      </c>
      <c r="AT11" s="232">
        <f t="shared" si="35"/>
        <v>-4.0215321816591598E-7</v>
      </c>
      <c r="AU11" s="165">
        <f t="shared" si="36"/>
        <v>9.3066064908015181E-2</v>
      </c>
      <c r="AV11">
        <f t="shared" si="22"/>
        <v>1.8420000000000001</v>
      </c>
      <c r="AW11">
        <v>8.5000000000000006E-2</v>
      </c>
      <c r="AX11" s="232">
        <f>-$Q$35/AW11</f>
        <v>-4.4031550005642732E-7</v>
      </c>
      <c r="AY11" s="96"/>
    </row>
    <row r="12" spans="1:51" ht="13.95" customHeight="1" x14ac:dyDescent="0.3">
      <c r="A12" t="s">
        <v>232</v>
      </c>
      <c r="B12" s="176">
        <v>62</v>
      </c>
      <c r="C12" s="220">
        <f t="shared" ref="C12" si="44">D12/180+1</f>
        <v>1.6722222222222223</v>
      </c>
      <c r="D12" s="73">
        <v>121</v>
      </c>
      <c r="E12" s="73">
        <v>2.19</v>
      </c>
      <c r="F12" s="73">
        <v>11.97</v>
      </c>
      <c r="G12" s="73">
        <v>8.66</v>
      </c>
      <c r="H12" s="73">
        <v>1650</v>
      </c>
      <c r="I12" s="78">
        <v>2040</v>
      </c>
      <c r="J12" s="61"/>
      <c r="K12" s="2">
        <f t="shared" ref="K12" si="45">F12*G12</f>
        <v>103.6602</v>
      </c>
      <c r="L12" s="1">
        <f t="shared" ref="L12" si="46">D12</f>
        <v>121</v>
      </c>
      <c r="M12" s="234">
        <f t="shared" si="37"/>
        <v>4.7957905455967413</v>
      </c>
      <c r="N12" s="3">
        <f t="shared" ref="N12" si="47">1/H12/0.000001</f>
        <v>606.06060606060612</v>
      </c>
      <c r="O12" s="3">
        <f t="shared" ref="O12" si="48">1/I12/0.000001</f>
        <v>490.19607843137254</v>
      </c>
      <c r="P12" s="3">
        <f t="shared" si="6"/>
        <v>36363.636363636368</v>
      </c>
      <c r="Q12" s="3">
        <f t="shared" si="23"/>
        <v>29411.764705882353</v>
      </c>
      <c r="R12" s="3">
        <f t="shared" si="7"/>
        <v>78.914141414141426</v>
      </c>
      <c r="S12" s="3">
        <f t="shared" si="8"/>
        <v>63.827614379084963</v>
      </c>
      <c r="T12" s="3">
        <f t="shared" si="38"/>
        <v>121</v>
      </c>
      <c r="U12" s="158">
        <f t="shared" si="39"/>
        <v>103.6602</v>
      </c>
      <c r="V12" s="229">
        <f t="shared" si="24"/>
        <v>103.42764</v>
      </c>
      <c r="W12" s="234">
        <f t="shared" si="25"/>
        <v>0.13869874064807999</v>
      </c>
      <c r="X12" s="230">
        <f t="shared" si="29"/>
        <v>2.0032259111802193E-2</v>
      </c>
      <c r="Y12" s="230">
        <f t="shared" si="40"/>
        <v>1.7069342917341978E-2</v>
      </c>
      <c r="Z12" s="228">
        <f t="shared" si="10"/>
        <v>2.174568786090711</v>
      </c>
      <c r="AA12" s="229">
        <f t="shared" si="11"/>
        <v>31.452447925513269</v>
      </c>
      <c r="AB12" s="2">
        <f t="shared" ref="AB12" si="49">AA12/U12*100</f>
        <v>30.341874630295202</v>
      </c>
      <c r="AC12" s="158">
        <f t="shared" si="12"/>
        <v>28.927526346091174</v>
      </c>
      <c r="AD12" s="175">
        <f t="shared" si="41"/>
        <v>65.086934278705144</v>
      </c>
      <c r="AE12" s="175">
        <f t="shared" si="14"/>
        <v>84.699801935018925</v>
      </c>
      <c r="AF12" s="165">
        <f t="shared" si="42"/>
        <v>2.9280001657128891</v>
      </c>
      <c r="AG12" s="151"/>
      <c r="AH12" s="228">
        <f t="shared" si="15"/>
        <v>3.3611111111111116</v>
      </c>
      <c r="AI12" s="228">
        <f t="shared" si="16"/>
        <v>121.00000000000001</v>
      </c>
      <c r="AJ12" s="229">
        <f t="shared" si="17"/>
        <v>35746.721871576265</v>
      </c>
      <c r="AK12" s="229">
        <f t="shared" si="18"/>
        <v>77.575351283802661</v>
      </c>
      <c r="AL12" s="229">
        <f t="shared" si="19"/>
        <v>63.196670309464153</v>
      </c>
      <c r="AM12" s="229">
        <f t="shared" si="20"/>
        <v>77.557184952126192</v>
      </c>
      <c r="AN12" s="2">
        <f t="shared" si="32"/>
        <v>63.196670309464153</v>
      </c>
      <c r="AO12" s="3">
        <f t="shared" si="21"/>
        <v>29121.025678601083</v>
      </c>
      <c r="AP12" s="227">
        <f t="shared" si="27"/>
        <v>1.6704298911363304E-2</v>
      </c>
      <c r="AQ12" s="227">
        <f t="shared" si="43"/>
        <v>0.11369457868320224</v>
      </c>
      <c r="AR12" s="231">
        <f t="shared" si="28"/>
        <v>8.6456672316063497E-7</v>
      </c>
      <c r="AS12" s="228">
        <f t="shared" si="34"/>
        <v>4.3289680833392991E-2</v>
      </c>
      <c r="AT12" s="232">
        <f t="shared" si="35"/>
        <v>-5.3678796627297485E-7</v>
      </c>
      <c r="AU12" s="165">
        <f t="shared" si="36"/>
        <v>6.9723652273090492E-2</v>
      </c>
      <c r="AV12">
        <f t="shared" si="22"/>
        <v>2.19</v>
      </c>
      <c r="AX12" s="127"/>
      <c r="AY12" s="96"/>
    </row>
    <row r="13" spans="1:51" ht="13.95" customHeight="1" thickBot="1" x14ac:dyDescent="0.35">
      <c r="A13" t="s">
        <v>233</v>
      </c>
      <c r="B13" t="s">
        <v>234</v>
      </c>
      <c r="C13" s="221">
        <f t="shared" si="1"/>
        <v>1.9722222222222223</v>
      </c>
      <c r="D13" s="80">
        <v>175</v>
      </c>
      <c r="E13" s="80">
        <v>2.66</v>
      </c>
      <c r="F13" s="80">
        <v>11.7</v>
      </c>
      <c r="G13" s="80">
        <v>14.72</v>
      </c>
      <c r="H13" s="80">
        <v>1360</v>
      </c>
      <c r="I13" s="81">
        <v>1620</v>
      </c>
      <c r="J13" s="61"/>
      <c r="K13" s="2">
        <f t="shared" si="2"/>
        <v>172.22399999999999</v>
      </c>
      <c r="L13" s="1">
        <f t="shared" si="3"/>
        <v>175</v>
      </c>
      <c r="M13" s="234">
        <f t="shared" si="4"/>
        <v>5.1647859739235145</v>
      </c>
      <c r="N13" s="3">
        <f t="shared" si="5"/>
        <v>735.2941176470589</v>
      </c>
      <c r="O13" s="3">
        <f t="shared" si="5"/>
        <v>617.28395061728395</v>
      </c>
      <c r="P13" s="3">
        <f t="shared" si="6"/>
        <v>44117.647058823532</v>
      </c>
      <c r="Q13" s="3">
        <f t="shared" si="23"/>
        <v>37037.037037037036</v>
      </c>
      <c r="R13" s="3">
        <f t="shared" si="7"/>
        <v>95.741421568627459</v>
      </c>
      <c r="S13" s="3">
        <f t="shared" si="8"/>
        <v>80.375514403292172</v>
      </c>
      <c r="T13" s="3">
        <f t="shared" si="9"/>
        <v>175</v>
      </c>
      <c r="U13" s="158">
        <f t="shared" si="0"/>
        <v>172.22399999999999</v>
      </c>
      <c r="V13" s="229">
        <f t="shared" si="24"/>
        <v>171.99143999999998</v>
      </c>
      <c r="W13" s="234">
        <f t="shared" si="25"/>
        <v>0.23064430485168</v>
      </c>
      <c r="X13" s="230">
        <f t="shared" si="29"/>
        <v>2.7457128152503195E-2</v>
      </c>
      <c r="Y13" s="230">
        <f t="shared" si="30"/>
        <v>2.449421195804298E-2</v>
      </c>
      <c r="Z13" s="163">
        <f>C33/0.224</f>
        <v>4.4249528005034611</v>
      </c>
      <c r="AA13" s="229">
        <f t="shared" si="11"/>
        <v>91.297248929319878</v>
      </c>
      <c r="AB13" s="2">
        <f>AA13/U13*100</f>
        <v>53.010758622096731</v>
      </c>
      <c r="AC13" s="158">
        <f t="shared" si="12"/>
        <v>41.264733453849395</v>
      </c>
      <c r="AD13" s="175">
        <f t="shared" si="41"/>
        <v>92.845650271161119</v>
      </c>
      <c r="AE13" s="175">
        <f t="shared" si="14"/>
        <v>106.65900984409792</v>
      </c>
      <c r="AF13" s="165">
        <f t="shared" si="26"/>
        <v>2.5847497588560868</v>
      </c>
      <c r="AG13" s="151"/>
      <c r="AH13" s="228">
        <f t="shared" si="15"/>
        <v>4.8611111111111107</v>
      </c>
      <c r="AI13" s="228">
        <f t="shared" si="16"/>
        <v>174.99999999999997</v>
      </c>
      <c r="AJ13" s="229">
        <f t="shared" si="17"/>
        <v>39983.857739779705</v>
      </c>
      <c r="AK13" s="229">
        <f t="shared" si="18"/>
        <v>86.770524608896935</v>
      </c>
      <c r="AL13" s="229">
        <f t="shared" si="19"/>
        <v>72.179331428091302</v>
      </c>
      <c r="AM13" s="229">
        <f t="shared" si="20"/>
        <v>86.745554751832856</v>
      </c>
      <c r="AN13" s="2">
        <f t="shared" si="32"/>
        <v>72.179331428091302</v>
      </c>
      <c r="AO13" s="3">
        <f t="shared" si="21"/>
        <v>33260.235922064472</v>
      </c>
      <c r="AP13" s="227">
        <f t="shared" si="27"/>
        <v>2.0535035151237838E-2</v>
      </c>
      <c r="AQ13" s="227">
        <f t="shared" si="33"/>
        <v>0.15633471518820818</v>
      </c>
      <c r="AR13" s="231">
        <f t="shared" si="28"/>
        <v>9.4360575892631468E-7</v>
      </c>
      <c r="AS13" s="228">
        <f t="shared" si="34"/>
        <v>3.9663617088753857E-2</v>
      </c>
      <c r="AT13" s="232">
        <f t="shared" si="35"/>
        <v>-7.8272456764309463E-7</v>
      </c>
      <c r="AU13" s="165">
        <f t="shared" si="36"/>
        <v>4.7816076116652749E-2</v>
      </c>
      <c r="AV13">
        <f t="shared" si="22"/>
        <v>2.66</v>
      </c>
      <c r="AW13">
        <v>3.5000000000000003E-2</v>
      </c>
      <c r="AX13" s="232">
        <f>-$Q$35/AW13</f>
        <v>-1.0693376429941806E-6</v>
      </c>
      <c r="AY13" s="96"/>
    </row>
    <row r="14" spans="1:51" ht="13.95" customHeight="1" x14ac:dyDescent="0.3">
      <c r="AE14" s="45"/>
      <c r="AF14" s="30"/>
      <c r="AV14" s="146"/>
      <c r="AW14" s="95"/>
      <c r="AX14" s="128"/>
      <c r="AY14" s="96"/>
    </row>
    <row r="15" spans="1:51" x14ac:dyDescent="0.3">
      <c r="A15" t="s">
        <v>235</v>
      </c>
      <c r="AE15" s="194"/>
      <c r="AF15" s="30"/>
    </row>
    <row r="16" spans="1:51" ht="13.95" customHeight="1" x14ac:dyDescent="0.3">
      <c r="A16">
        <v>1</v>
      </c>
      <c r="C16" t="s">
        <v>236</v>
      </c>
      <c r="I16" s="3" t="s">
        <v>28</v>
      </c>
      <c r="J16" s="11" t="s">
        <v>29</v>
      </c>
      <c r="K16" s="12"/>
      <c r="L16" s="12"/>
      <c r="AE16" s="45"/>
      <c r="AF16" s="30"/>
    </row>
    <row r="17" spans="1:48" ht="13.95" customHeight="1" x14ac:dyDescent="0.3">
      <c r="A17">
        <v>2</v>
      </c>
      <c r="C17" t="s">
        <v>237</v>
      </c>
      <c r="I17" s="3"/>
      <c r="J17" s="13" t="s">
        <v>276</v>
      </c>
      <c r="K17" s="14"/>
      <c r="L17" s="14"/>
      <c r="AE17" s="149"/>
      <c r="AF17" s="30"/>
    </row>
    <row r="18" spans="1:48" ht="13.95" customHeight="1" x14ac:dyDescent="0.3">
      <c r="A18">
        <v>3</v>
      </c>
      <c r="C18" t="s">
        <v>239</v>
      </c>
      <c r="I18" s="3"/>
      <c r="J18" s="15" t="s">
        <v>274</v>
      </c>
      <c r="K18" s="16"/>
      <c r="L18" s="16"/>
      <c r="AE18" s="149"/>
      <c r="AF18" s="30"/>
    </row>
    <row r="19" spans="1:48" ht="13.95" customHeight="1" x14ac:dyDescent="0.3">
      <c r="A19">
        <v>4</v>
      </c>
      <c r="C19" t="s">
        <v>238</v>
      </c>
      <c r="J19" s="288" t="s">
        <v>297</v>
      </c>
      <c r="K19" s="287"/>
      <c r="L19" s="287"/>
      <c r="M19" s="287"/>
      <c r="N19" s="287"/>
      <c r="O19" s="289"/>
      <c r="AE19" s="149"/>
      <c r="AF19" s="30"/>
      <c r="AN19" s="45"/>
    </row>
    <row r="20" spans="1:48" ht="13.95" customHeight="1" x14ac:dyDescent="0.3">
      <c r="A20">
        <v>5</v>
      </c>
      <c r="C20" t="s">
        <v>240</v>
      </c>
      <c r="O20" s="188"/>
      <c r="AE20" s="149"/>
      <c r="AF20" s="30"/>
      <c r="AN20" s="45"/>
      <c r="AO20" s="5"/>
      <c r="AU20" s="5"/>
      <c r="AV20" s="5"/>
    </row>
    <row r="21" spans="1:48" ht="13.95" customHeight="1" thickBot="1" x14ac:dyDescent="0.35">
      <c r="A21">
        <v>6</v>
      </c>
      <c r="C21" t="s">
        <v>241</v>
      </c>
      <c r="O21" s="188"/>
      <c r="AN21" s="45"/>
      <c r="AO21" s="5"/>
      <c r="AV21" s="5"/>
    </row>
    <row r="22" spans="1:48" ht="13.95" customHeight="1" x14ac:dyDescent="0.3">
      <c r="A22">
        <v>7</v>
      </c>
      <c r="C22" t="s">
        <v>243</v>
      </c>
      <c r="O22" s="188"/>
      <c r="P22" s="214" t="s">
        <v>270</v>
      </c>
      <c r="Q22" s="64"/>
      <c r="R22" s="64"/>
      <c r="S22" s="64"/>
      <c r="T22" s="29"/>
      <c r="AN22" s="45"/>
      <c r="AO22" s="5"/>
      <c r="AV22" s="5"/>
    </row>
    <row r="23" spans="1:48" ht="13.95" customHeight="1" x14ac:dyDescent="0.3">
      <c r="A23" s="45">
        <v>8</v>
      </c>
      <c r="B23" s="45"/>
      <c r="C23" s="45" t="s">
        <v>275</v>
      </c>
      <c r="D23" s="61"/>
      <c r="E23" s="61"/>
      <c r="F23" s="61"/>
      <c r="G23" s="61"/>
      <c r="O23" s="188"/>
      <c r="P23" s="268" t="s">
        <v>15</v>
      </c>
      <c r="Q23" s="269">
        <f>C45</f>
        <v>5</v>
      </c>
      <c r="R23" s="45"/>
      <c r="S23" s="30"/>
      <c r="T23" s="31" t="s">
        <v>265</v>
      </c>
      <c r="AN23" s="45"/>
      <c r="AO23" s="5"/>
      <c r="AV23" s="5"/>
    </row>
    <row r="24" spans="1:48" ht="13.95" customHeight="1" thickBot="1" x14ac:dyDescent="0.35">
      <c r="H24" s="61"/>
      <c r="I24" s="61"/>
      <c r="J24" s="61"/>
      <c r="K24" s="187"/>
      <c r="L24" s="61"/>
      <c r="M24" s="61"/>
      <c r="N24" s="188"/>
      <c r="O24" s="188"/>
      <c r="P24" s="268" t="s">
        <v>17</v>
      </c>
      <c r="Q24" s="269">
        <f>C37</f>
        <v>5</v>
      </c>
      <c r="R24" s="30"/>
      <c r="S24" s="30"/>
      <c r="T24" s="31" t="s">
        <v>265</v>
      </c>
      <c r="AN24" s="45"/>
      <c r="AO24" s="5"/>
      <c r="AV24" s="5"/>
    </row>
    <row r="25" spans="1:48" ht="13.95" customHeight="1" x14ac:dyDescent="0.3">
      <c r="A25" t="s">
        <v>32</v>
      </c>
      <c r="B25" s="17" t="s">
        <v>3</v>
      </c>
      <c r="C25" s="18">
        <v>1</v>
      </c>
      <c r="D25"/>
      <c r="E25" s="61"/>
      <c r="F25" s="189"/>
      <c r="G25" s="61"/>
      <c r="I25" s="17" t="s">
        <v>134</v>
      </c>
      <c r="J25" s="28"/>
      <c r="K25" s="28"/>
      <c r="L25" s="29"/>
      <c r="M25" s="61"/>
      <c r="N25" s="188"/>
      <c r="O25" s="188"/>
      <c r="P25" s="268" t="s">
        <v>16</v>
      </c>
      <c r="Q25" s="269">
        <f>C36</f>
        <v>0</v>
      </c>
      <c r="R25" s="30"/>
      <c r="S25" s="30"/>
      <c r="T25" s="31" t="s">
        <v>265</v>
      </c>
      <c r="AN25" s="45"/>
      <c r="AO25" s="5"/>
      <c r="AV25" s="5"/>
    </row>
    <row r="26" spans="1:48" ht="13.95" customHeight="1" x14ac:dyDescent="0.3">
      <c r="A26" s="189"/>
      <c r="B26" s="19" t="s">
        <v>4</v>
      </c>
      <c r="C26" s="20">
        <v>4800</v>
      </c>
      <c r="D26" t="s">
        <v>77</v>
      </c>
      <c r="E26" s="61"/>
      <c r="F26" s="189"/>
      <c r="G26" s="61"/>
      <c r="I26" s="19" t="s">
        <v>128</v>
      </c>
      <c r="J26" s="208">
        <v>25</v>
      </c>
      <c r="K26" s="30" t="s">
        <v>93</v>
      </c>
      <c r="L26" s="31"/>
      <c r="M26" s="61"/>
      <c r="N26" s="188"/>
      <c r="O26" s="188"/>
      <c r="P26" s="268" t="s">
        <v>14</v>
      </c>
      <c r="Q26" s="269">
        <f>C44</f>
        <v>0</v>
      </c>
      <c r="R26" s="45"/>
      <c r="S26" s="30"/>
      <c r="T26" s="31" t="s">
        <v>265</v>
      </c>
      <c r="AN26" s="45"/>
      <c r="AO26" s="5"/>
      <c r="AP26" s="5"/>
    </row>
    <row r="27" spans="1:48" ht="13.95" customHeight="1" x14ac:dyDescent="0.3">
      <c r="A27" s="189"/>
      <c r="B27" s="19" t="s">
        <v>5</v>
      </c>
      <c r="C27" s="20">
        <v>12</v>
      </c>
      <c r="D27"/>
      <c r="E27" s="61"/>
      <c r="F27" s="61"/>
      <c r="G27" s="61"/>
      <c r="I27" s="19" t="s">
        <v>144</v>
      </c>
      <c r="J27" s="208">
        <v>2.1797</v>
      </c>
      <c r="K27" s="30" t="s">
        <v>94</v>
      </c>
      <c r="L27" s="31"/>
      <c r="M27" s="61"/>
      <c r="N27" s="188"/>
      <c r="O27" s="188"/>
      <c r="P27" s="268" t="s">
        <v>177</v>
      </c>
      <c r="Q27" s="270">
        <f>$C$42</f>
        <v>1.2250000000000001</v>
      </c>
      <c r="R27" s="30"/>
      <c r="S27" s="30"/>
      <c r="T27" s="31" t="s">
        <v>161</v>
      </c>
      <c r="AN27" s="45"/>
      <c r="AO27" s="5"/>
      <c r="AP27" s="5"/>
    </row>
    <row r="28" spans="1:48" ht="13.95" customHeight="1" x14ac:dyDescent="0.3">
      <c r="A28" s="189"/>
      <c r="B28" s="57" t="s">
        <v>69</v>
      </c>
      <c r="C28" s="20">
        <v>3.9899999999999998E-2</v>
      </c>
      <c r="D28" t="s">
        <v>76</v>
      </c>
      <c r="E28" s="61"/>
      <c r="F28" s="61"/>
      <c r="G28" s="6"/>
      <c r="I28" s="19" t="s">
        <v>129</v>
      </c>
      <c r="J28" s="44">
        <f>($J$26/25.4)^2*$J$27/1000*2.2/3</f>
        <v>1.5484983053299442E-3</v>
      </c>
      <c r="K28" s="30" t="s">
        <v>96</v>
      </c>
      <c r="L28" s="177" t="s">
        <v>146</v>
      </c>
      <c r="N28" s="3"/>
      <c r="O28" s="3"/>
      <c r="P28" s="215"/>
      <c r="Q28" s="213"/>
      <c r="R28" s="213"/>
      <c r="S28" s="213"/>
      <c r="T28" s="216"/>
      <c r="AN28" s="45"/>
      <c r="AO28" s="5"/>
      <c r="AP28" s="5"/>
      <c r="AQ28" s="5"/>
      <c r="AR28" s="5"/>
      <c r="AS28" s="151"/>
      <c r="AT28" s="153"/>
      <c r="AU28" s="5"/>
    </row>
    <row r="29" spans="1:48" ht="13.95" customHeight="1" x14ac:dyDescent="0.3">
      <c r="A29" s="189"/>
      <c r="B29" s="57" t="s">
        <v>70</v>
      </c>
      <c r="C29" s="129">
        <v>4.1999999999999996E-6</v>
      </c>
      <c r="D29" t="s">
        <v>75</v>
      </c>
      <c r="E29" s="61"/>
      <c r="F29" s="61"/>
      <c r="G29" s="6"/>
      <c r="I29" s="19" t="s">
        <v>141</v>
      </c>
      <c r="J29" s="210">
        <f>3/8/2*25.4</f>
        <v>4.7624999999999993</v>
      </c>
      <c r="K29" s="30" t="s">
        <v>93</v>
      </c>
      <c r="L29" s="31" t="s">
        <v>142</v>
      </c>
      <c r="N29" s="3"/>
      <c r="O29" s="3"/>
      <c r="P29" s="217" t="s">
        <v>271</v>
      </c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5" customHeight="1" x14ac:dyDescent="0.3">
      <c r="A30" s="189"/>
      <c r="B30" s="19" t="s">
        <v>255</v>
      </c>
      <c r="C30" s="20">
        <v>240</v>
      </c>
      <c r="D30" t="s">
        <v>256</v>
      </c>
      <c r="E30" s="61"/>
      <c r="F30" s="61"/>
      <c r="G30" s="6"/>
      <c r="I30" s="19" t="s">
        <v>143</v>
      </c>
      <c r="J30" s="210">
        <f>3/4*25.4</f>
        <v>19.049999999999997</v>
      </c>
      <c r="K30" s="30" t="s">
        <v>93</v>
      </c>
      <c r="L30" s="31" t="s">
        <v>142</v>
      </c>
      <c r="N30" s="3"/>
      <c r="O30" s="3"/>
      <c r="P30" s="268" t="s">
        <v>27</v>
      </c>
      <c r="Q30" s="269">
        <f>$C$26*$C$27/$B$49/100</f>
        <v>460.8</v>
      </c>
      <c r="R30" s="30"/>
      <c r="S30" s="30"/>
      <c r="T30" s="31" t="s">
        <v>266</v>
      </c>
      <c r="AN30" s="45"/>
      <c r="AO30" s="5"/>
    </row>
    <row r="31" spans="1:48" x14ac:dyDescent="0.3">
      <c r="A31" s="189"/>
      <c r="B31" s="57" t="s">
        <v>71</v>
      </c>
      <c r="C31" s="130">
        <f>C26*2*PI()/60</f>
        <v>502.6548245743669</v>
      </c>
      <c r="D31" t="s">
        <v>73</v>
      </c>
      <c r="E31" s="61"/>
      <c r="F31" s="61"/>
      <c r="G31" s="6"/>
      <c r="I31" s="19" t="s">
        <v>145</v>
      </c>
      <c r="J31" s="44">
        <f>PI()*($J$29/25.4)^2/4*3/4*0.3</f>
        <v>6.2126221909368446E-3</v>
      </c>
      <c r="K31" s="30" t="s">
        <v>148</v>
      </c>
      <c r="L31" s="31" t="s">
        <v>142</v>
      </c>
      <c r="N31" s="3"/>
      <c r="O31" s="3"/>
      <c r="P31" s="268" t="s">
        <v>18</v>
      </c>
      <c r="Q31" s="269">
        <f>C47</f>
        <v>180</v>
      </c>
      <c r="R31" s="30"/>
      <c r="S31" s="30"/>
      <c r="T31" s="31" t="s">
        <v>175</v>
      </c>
    </row>
    <row r="32" spans="1:48" ht="13.95" customHeight="1" x14ac:dyDescent="0.3">
      <c r="A32" s="189"/>
      <c r="B32" s="57" t="s">
        <v>72</v>
      </c>
      <c r="C32" s="132">
        <f>7/C31</f>
        <v>1.3926057520540842E-2</v>
      </c>
      <c r="D32" t="s">
        <v>74</v>
      </c>
      <c r="E32" s="61"/>
      <c r="F32" s="61"/>
      <c r="G32" s="6"/>
      <c r="I32" s="19" t="s">
        <v>135</v>
      </c>
      <c r="J32" s="44">
        <f>($J$29/25.4)^2*$J$31/2</f>
        <v>1.0920624945006168E-4</v>
      </c>
      <c r="K32" s="30" t="s">
        <v>96</v>
      </c>
      <c r="L32" s="31" t="s">
        <v>147</v>
      </c>
      <c r="N32" s="3"/>
      <c r="O32" s="3"/>
      <c r="P32" s="268" t="s">
        <v>13</v>
      </c>
      <c r="Q32" s="269">
        <f>C46</f>
        <v>0</v>
      </c>
      <c r="R32" s="30"/>
      <c r="S32" s="30"/>
      <c r="T32" s="31" t="s">
        <v>175</v>
      </c>
    </row>
    <row r="33" spans="1:50" ht="13.95" customHeight="1" thickBot="1" x14ac:dyDescent="0.35">
      <c r="B33" s="131" t="s">
        <v>257</v>
      </c>
      <c r="C33" s="204">
        <f>450/454</f>
        <v>0.99118942731277537</v>
      </c>
      <c r="D33" s="6" t="s">
        <v>155</v>
      </c>
      <c r="E33" s="61"/>
      <c r="F33" s="61"/>
      <c r="G33" s="6"/>
      <c r="I33" s="19" t="s">
        <v>95</v>
      </c>
      <c r="J33" s="44">
        <f>$J$28+$J$32</f>
        <v>1.6577045547800059E-3</v>
      </c>
      <c r="K33" s="30" t="s">
        <v>96</v>
      </c>
      <c r="L33" s="31"/>
      <c r="N33" s="3"/>
      <c r="O33" s="3"/>
      <c r="P33" s="268" t="s">
        <v>178</v>
      </c>
      <c r="Q33" s="270">
        <f>(C39^2-C40^2)*PI()/4/1000^2</f>
        <v>2.1213604393365078E-3</v>
      </c>
      <c r="R33" s="30"/>
      <c r="S33" s="30"/>
      <c r="T33" s="31" t="s">
        <v>264</v>
      </c>
    </row>
    <row r="34" spans="1:50" ht="15" customHeight="1" thickBot="1" x14ac:dyDescent="0.35">
      <c r="D34"/>
      <c r="E34" s="61"/>
      <c r="F34" s="61"/>
      <c r="G34" s="6"/>
      <c r="I34" s="19" t="s">
        <v>95</v>
      </c>
      <c r="J34" s="44">
        <f>$J$33/144</f>
        <v>1.1511837185972264E-5</v>
      </c>
      <c r="K34" s="30" t="s">
        <v>97</v>
      </c>
      <c r="L34" s="31"/>
      <c r="N34" s="3"/>
      <c r="O34" s="3"/>
      <c r="P34" s="268" t="s">
        <v>183</v>
      </c>
      <c r="Q34" s="271">
        <f>1/1.3556</f>
        <v>0.73768073177928595</v>
      </c>
      <c r="R34" s="30"/>
      <c r="S34" s="30"/>
      <c r="T34" s="31" t="s">
        <v>269</v>
      </c>
    </row>
    <row r="35" spans="1:50" ht="15" customHeight="1" thickBot="1" x14ac:dyDescent="0.35">
      <c r="A35" t="s">
        <v>33</v>
      </c>
      <c r="B35" s="17"/>
      <c r="C35" s="222" t="s">
        <v>22</v>
      </c>
      <c r="D35"/>
      <c r="E35" s="61"/>
      <c r="F35" s="61"/>
      <c r="G35" s="6"/>
      <c r="I35" s="21" t="s">
        <v>95</v>
      </c>
      <c r="J35" s="108">
        <f>$J$34/2048.5*6.66</f>
        <v>3.7426817504796325E-8</v>
      </c>
      <c r="K35" s="32" t="s">
        <v>98</v>
      </c>
      <c r="L35" s="33"/>
      <c r="N35" s="3"/>
      <c r="O35" s="3"/>
      <c r="P35" s="268" t="s">
        <v>184</v>
      </c>
      <c r="Q35" s="272">
        <f>$J$34/2048.5*6.66</f>
        <v>3.7426817504796325E-8</v>
      </c>
      <c r="R35" s="30"/>
      <c r="S35" s="30"/>
      <c r="T35" s="31" t="s">
        <v>80</v>
      </c>
    </row>
    <row r="36" spans="1:50" ht="15" customHeight="1" x14ac:dyDescent="0.3">
      <c r="B36" s="24" t="s">
        <v>16</v>
      </c>
      <c r="C36" s="203">
        <v>0</v>
      </c>
      <c r="D36"/>
      <c r="F36" s="6"/>
      <c r="G36" s="6"/>
      <c r="I36" s="30"/>
      <c r="J36" s="45"/>
      <c r="K36" s="30"/>
      <c r="L36" s="30"/>
      <c r="N36" s="3"/>
      <c r="O36" s="3"/>
      <c r="P36" s="268" t="s">
        <v>199</v>
      </c>
      <c r="Q36" s="270">
        <f>C39/1000</f>
        <v>5.5E-2</v>
      </c>
      <c r="R36" s="30"/>
      <c r="S36" s="30"/>
      <c r="T36" s="31" t="s">
        <v>262</v>
      </c>
    </row>
    <row r="37" spans="1:50" ht="15" thickBot="1" x14ac:dyDescent="0.35">
      <c r="B37" s="26" t="s">
        <v>17</v>
      </c>
      <c r="C37" s="200">
        <v>5</v>
      </c>
      <c r="I37" s="208" t="s">
        <v>242</v>
      </c>
      <c r="J37" s="208"/>
      <c r="K37" s="208"/>
      <c r="L37" s="208"/>
      <c r="N37" s="3"/>
      <c r="O37" s="3"/>
      <c r="P37" s="268" t="s">
        <v>218</v>
      </c>
      <c r="Q37" s="271">
        <f>$Z$13</f>
        <v>4.4249528005034611</v>
      </c>
      <c r="R37" s="30"/>
      <c r="S37" s="30"/>
      <c r="T37" s="31" t="s">
        <v>158</v>
      </c>
      <c r="AI37" s="5"/>
    </row>
    <row r="38" spans="1:50" ht="43.8" thickBot="1" x14ac:dyDescent="0.35">
      <c r="I38" s="193" t="s">
        <v>100</v>
      </c>
      <c r="J38" s="236" t="s">
        <v>294</v>
      </c>
      <c r="K38" s="292" t="s">
        <v>298</v>
      </c>
      <c r="L38" s="263" t="s">
        <v>272</v>
      </c>
      <c r="M38" s="264" t="s">
        <v>273</v>
      </c>
      <c r="P38" s="215"/>
      <c r="Q38" s="213"/>
      <c r="R38" s="213"/>
      <c r="S38" s="213"/>
      <c r="T38" s="216"/>
      <c r="AI38" s="5"/>
    </row>
    <row r="39" spans="1:50" ht="18" x14ac:dyDescent="0.35">
      <c r="A39" s="3" t="s">
        <v>246</v>
      </c>
      <c r="B39" s="17" t="s">
        <v>247</v>
      </c>
      <c r="C39" s="199">
        <v>55</v>
      </c>
      <c r="D39" t="s">
        <v>93</v>
      </c>
      <c r="E39"/>
      <c r="I39" s="248">
        <f>(K39-K41)/(K40-K41)*(I40-I41)+I41</f>
        <v>68.268656716417908</v>
      </c>
      <c r="J39" s="253">
        <f t="shared" ref="J39:J44" si="50">(I39*$Q$30*$R$43+$Q$43)/$Q$30</f>
        <v>82.745323089669455</v>
      </c>
      <c r="K39" s="242">
        <v>0</v>
      </c>
      <c r="L39" s="213"/>
      <c r="M39" s="216"/>
      <c r="P39" s="226" t="s">
        <v>302</v>
      </c>
      <c r="Q39" s="58"/>
      <c r="R39" s="58"/>
      <c r="S39" s="58"/>
      <c r="T39" s="25"/>
      <c r="AI39" s="5"/>
    </row>
    <row r="40" spans="1:50" ht="15" thickBot="1" x14ac:dyDescent="0.35">
      <c r="B40" s="21" t="s">
        <v>248</v>
      </c>
      <c r="C40" s="200">
        <v>18</v>
      </c>
      <c r="D40" t="s">
        <v>93</v>
      </c>
      <c r="E40"/>
      <c r="I40" s="241">
        <v>62</v>
      </c>
      <c r="J40" s="253">
        <f t="shared" si="50"/>
        <v>76.333110127697495</v>
      </c>
      <c r="K40" s="243">
        <v>0.03</v>
      </c>
      <c r="L40" s="249"/>
      <c r="M40" s="250"/>
      <c r="P40" s="65" t="s">
        <v>121</v>
      </c>
      <c r="Q40" s="205">
        <f>INDEX(LINEST($Q$4:$Q$13,$E$4:$E$13^{1,2},FALSE,FALSE),3)</f>
        <v>0</v>
      </c>
      <c r="R40" s="205">
        <f>INDEX(LINEST($Q$4:$Q$13,$E$4:$E$13^{1,2},FALSE,FALSE),2)</f>
        <v>12959.722951697393</v>
      </c>
      <c r="S40" s="205">
        <f>INDEX(LINEST($Q$4:$Q$13,$E$4:$E$13^{1,2},FALSE,FALSE),1)</f>
        <v>264.09253191549305</v>
      </c>
      <c r="T40" s="31" t="s">
        <v>267</v>
      </c>
      <c r="AI40" s="5"/>
    </row>
    <row r="41" spans="1:50" ht="15" thickBot="1" x14ac:dyDescent="0.35">
      <c r="B41" s="30"/>
      <c r="C41" s="201"/>
      <c r="D41"/>
      <c r="E41"/>
      <c r="H41" s="10"/>
      <c r="I41" s="241">
        <v>48</v>
      </c>
      <c r="J41" s="253">
        <f t="shared" si="50"/>
        <v>62.012501179293423</v>
      </c>
      <c r="K41" s="243">
        <v>9.7000000000000003E-2</v>
      </c>
      <c r="L41" s="251">
        <f>$Q$35/K41</f>
        <v>3.8584347943088994E-7</v>
      </c>
      <c r="M41" s="252">
        <f>-L41/$Q$34</f>
        <v>-5.2304942071651441E-7</v>
      </c>
      <c r="N41" s="265" t="s">
        <v>291</v>
      </c>
      <c r="P41" s="65" t="s">
        <v>21</v>
      </c>
      <c r="Q41" s="205">
        <f>INDEX(LINEST($P$3:$P$13,$M$3:$M$13),2)</f>
        <v>-19322.838825375489</v>
      </c>
      <c r="R41" s="67">
        <f>INDEX(LINEST($P$3:$P$13,$M$3:$M$13),1)</f>
        <v>11482.895296066237</v>
      </c>
      <c r="S41" s="30"/>
      <c r="T41" s="31" t="s">
        <v>267</v>
      </c>
      <c r="AI41" s="5"/>
      <c r="AW41" s="151"/>
      <c r="AX41" s="164"/>
    </row>
    <row r="42" spans="1:50" ht="15" thickBot="1" x14ac:dyDescent="0.35">
      <c r="A42" s="10" t="s">
        <v>249</v>
      </c>
      <c r="B42" s="197" t="s">
        <v>250</v>
      </c>
      <c r="C42" s="202">
        <v>1.2250000000000001</v>
      </c>
      <c r="D42" t="s">
        <v>161</v>
      </c>
      <c r="E42" t="s">
        <v>169</v>
      </c>
      <c r="G42" s="6"/>
      <c r="I42" s="241">
        <v>25</v>
      </c>
      <c r="J42" s="253">
        <f t="shared" si="50"/>
        <v>38.485786478343883</v>
      </c>
      <c r="K42" s="243">
        <v>0.28699999999999998</v>
      </c>
      <c r="L42" s="61"/>
      <c r="M42" s="250"/>
      <c r="P42" s="65" t="s">
        <v>122</v>
      </c>
      <c r="Q42" s="205">
        <f>INDEX(LINEST($Q$4:$Q$13,$P$4:$P$13),2)</f>
        <v>-5799.5437681846779</v>
      </c>
      <c r="R42" s="69">
        <f>INDEX(LINEST($Q$4:$Q$13,$P$4:$P$13),1)</f>
        <v>0.97688872205517074</v>
      </c>
      <c r="S42" s="30"/>
      <c r="T42" s="31" t="s">
        <v>267</v>
      </c>
      <c r="AI42" s="5"/>
    </row>
    <row r="43" spans="1:50" ht="15" thickBot="1" x14ac:dyDescent="0.35">
      <c r="C43" s="198"/>
      <c r="D43"/>
      <c r="E43"/>
      <c r="G43" s="6"/>
      <c r="I43" s="241">
        <v>16</v>
      </c>
      <c r="J43" s="253">
        <f t="shared" si="50"/>
        <v>29.279680725798411</v>
      </c>
      <c r="K43" s="243">
        <v>0.442</v>
      </c>
      <c r="L43" s="61"/>
      <c r="M43" s="250"/>
      <c r="P43" s="65" t="s">
        <v>123</v>
      </c>
      <c r="Q43" s="205">
        <f>INDEX(LINEST($P$4:$P$13,$Q$4:$Q$13),2)</f>
        <v>5950.4350459626585</v>
      </c>
      <c r="R43" s="69">
        <f>INDEX(LINEST($P$4:$P$13,$Q$4:$Q$13),1)</f>
        <v>1.022900639171719</v>
      </c>
      <c r="S43" s="30"/>
      <c r="T43" s="31" t="s">
        <v>267</v>
      </c>
      <c r="AI43" s="5"/>
    </row>
    <row r="44" spans="1:50" ht="15" thickBot="1" x14ac:dyDescent="0.35">
      <c r="A44" s="188" t="s">
        <v>251</v>
      </c>
      <c r="B44" s="193" t="s">
        <v>252</v>
      </c>
      <c r="C44" s="199">
        <v>0</v>
      </c>
      <c r="D44" s="30" t="s">
        <v>258</v>
      </c>
      <c r="E44"/>
      <c r="F44" s="6"/>
      <c r="I44" s="254">
        <f>(K44-K42)/(K43-K42)*(I43-I42)+I42</f>
        <v>12.63225806451613</v>
      </c>
      <c r="J44" s="257">
        <f t="shared" si="50"/>
        <v>25.834815347426559</v>
      </c>
      <c r="K44" s="246">
        <v>0.5</v>
      </c>
      <c r="L44" s="255"/>
      <c r="M44" s="256"/>
      <c r="P44" s="65" t="s">
        <v>180</v>
      </c>
      <c r="Q44" s="206">
        <f>AG10</f>
        <v>-0.83001462470815057</v>
      </c>
      <c r="R44" s="30"/>
      <c r="S44" s="30"/>
      <c r="T44" s="31" t="s">
        <v>261</v>
      </c>
      <c r="U44" s="5"/>
      <c r="AI44" s="5"/>
      <c r="AJ44" s="5"/>
      <c r="AK44" s="151"/>
    </row>
    <row r="45" spans="1:50" x14ac:dyDescent="0.3">
      <c r="A45" s="30"/>
      <c r="B45" s="57" t="s">
        <v>253</v>
      </c>
      <c r="C45" s="203">
        <v>5</v>
      </c>
      <c r="D45" s="45" t="s">
        <v>258</v>
      </c>
      <c r="E45"/>
      <c r="F45" s="6"/>
      <c r="P45" s="65" t="s">
        <v>182</v>
      </c>
      <c r="Q45" s="207">
        <f>AF10</f>
        <v>3.1605483382588102</v>
      </c>
      <c r="R45" s="30"/>
      <c r="S45" s="30"/>
      <c r="T45" s="31" t="s">
        <v>261</v>
      </c>
      <c r="AI45" s="5"/>
      <c r="AJ45" s="5"/>
      <c r="AK45" s="151"/>
      <c r="AX45" s="164"/>
    </row>
    <row r="46" spans="1:50" ht="15" thickBot="1" x14ac:dyDescent="0.35">
      <c r="A46" s="188"/>
      <c r="B46" s="57" t="s">
        <v>252</v>
      </c>
      <c r="C46" s="203">
        <v>0</v>
      </c>
      <c r="D46" s="45" t="s">
        <v>254</v>
      </c>
      <c r="E46"/>
      <c r="H46" s="6"/>
      <c r="I46" s="6"/>
      <c r="J46" s="6"/>
      <c r="K46" s="9"/>
      <c r="L46" s="6"/>
      <c r="M46" s="6"/>
      <c r="N46" s="10"/>
      <c r="O46" s="10"/>
      <c r="P46" s="218" t="s">
        <v>211</v>
      </c>
      <c r="Q46" s="219">
        <v>2</v>
      </c>
      <c r="R46" s="32"/>
      <c r="S46" s="32"/>
      <c r="T46" s="33" t="s">
        <v>263</v>
      </c>
      <c r="W46" s="45"/>
      <c r="X46" s="195"/>
      <c r="Y46" s="45"/>
      <c r="AI46" s="5"/>
      <c r="AJ46" s="5"/>
      <c r="AK46" s="151"/>
    </row>
    <row r="47" spans="1:50" ht="15" thickBot="1" x14ac:dyDescent="0.35">
      <c r="A47" s="188"/>
      <c r="B47" s="131" t="s">
        <v>253</v>
      </c>
      <c r="C47" s="200">
        <v>180</v>
      </c>
      <c r="D47" s="45" t="s">
        <v>254</v>
      </c>
      <c r="E47"/>
      <c r="H47" s="6"/>
      <c r="I47" s="212" t="s">
        <v>92</v>
      </c>
      <c r="J47" s="211">
        <f>INDEX(LINEST($Y$3:$Y$13,$P$3:$P$13^{1,2}),3)</f>
        <v>-2.2828992630213674E-3</v>
      </c>
      <c r="K47" s="180">
        <f>INDEX(LINEST($Y$3:$Y$13,$P$3:$P$13^{1,2}),2)</f>
        <v>1.9775156395940451E-7</v>
      </c>
      <c r="L47" s="180">
        <f>INDEX(LINEST($Y$3:$Y$13,$P$3:$P$13^{1,2}),1)</f>
        <v>9.3269413849587629E-12</v>
      </c>
      <c r="M47" s="44" t="s">
        <v>268</v>
      </c>
      <c r="N47" s="10"/>
      <c r="O47" s="10"/>
      <c r="U47" s="10"/>
      <c r="V47" s="3"/>
      <c r="W47" s="45"/>
      <c r="X47" s="61"/>
      <c r="Y47" s="45"/>
      <c r="AX47" s="164"/>
    </row>
    <row r="48" spans="1:50" ht="15" thickBot="1" x14ac:dyDescent="0.35">
      <c r="U48" s="188"/>
      <c r="V48" s="30"/>
    </row>
    <row r="49" spans="1:45" ht="15" thickBot="1" x14ac:dyDescent="0.35">
      <c r="A49" s="3" t="s">
        <v>244</v>
      </c>
      <c r="B49" s="209">
        <v>1.25</v>
      </c>
      <c r="C49" s="45" t="s">
        <v>245</v>
      </c>
      <c r="D49" s="5"/>
      <c r="E49" s="192">
        <f>C30</f>
        <v>240</v>
      </c>
      <c r="F49" s="192" t="s">
        <v>156</v>
      </c>
      <c r="I49" s="176" t="s">
        <v>283</v>
      </c>
      <c r="M49" s="237" t="s">
        <v>282</v>
      </c>
      <c r="N49" s="142"/>
      <c r="Q49" s="61"/>
      <c r="R49" s="213"/>
      <c r="T49" s="213"/>
      <c r="U49" s="188"/>
      <c r="V49" s="30"/>
      <c r="W49" s="194"/>
      <c r="X49" s="45"/>
      <c r="Y49" s="45"/>
    </row>
    <row r="50" spans="1:45" x14ac:dyDescent="0.3">
      <c r="I50" s="238" t="s">
        <v>277</v>
      </c>
      <c r="J50" s="236" t="s">
        <v>100</v>
      </c>
      <c r="K50" s="239" t="s">
        <v>278</v>
      </c>
      <c r="L50" s="239" t="s">
        <v>279</v>
      </c>
      <c r="M50" s="239" t="s">
        <v>280</v>
      </c>
      <c r="N50" s="240" t="s">
        <v>281</v>
      </c>
      <c r="P50" s="235" t="s">
        <v>286</v>
      </c>
      <c r="Q50" s="260">
        <v>0</v>
      </c>
      <c r="R50" s="258">
        <f ca="1">J55</f>
        <v>21.690322580645159</v>
      </c>
      <c r="S50" s="258">
        <f ca="1">J54</f>
        <v>37.347368421052636</v>
      </c>
      <c r="T50" s="258">
        <f ca="1">J53</f>
        <v>50.507462686567166</v>
      </c>
      <c r="U50" s="259">
        <f ca="1">J52</f>
        <v>64.089552238805979</v>
      </c>
      <c r="V50" s="261">
        <v>80</v>
      </c>
      <c r="W50" s="45"/>
      <c r="X50" s="45"/>
      <c r="Y50" s="45"/>
    </row>
    <row r="51" spans="1:45" x14ac:dyDescent="0.3">
      <c r="I51" s="241">
        <v>0</v>
      </c>
      <c r="J51" s="253">
        <f t="shared" ref="J51:J56" ca="1" si="51">FORECAST(I51,OFFSET(MeasNt,MATCH(I51,MeasTauT,1)-1,0,2),OFFSET(MeasTauT,MATCH(I51,MeasTauT,1)-1,0,2))</f>
        <v>68.268656716417922</v>
      </c>
      <c r="K51" s="58">
        <v>0.2</v>
      </c>
      <c r="L51" s="58">
        <v>4.4000000000000004</v>
      </c>
      <c r="M51" s="58">
        <v>0.09</v>
      </c>
      <c r="N51" s="25">
        <v>5</v>
      </c>
      <c r="P51" s="273" t="s">
        <v>278</v>
      </c>
      <c r="Q51" s="274">
        <f>K56</f>
        <v>0.47499999999999998</v>
      </c>
      <c r="R51" s="274">
        <f>K55</f>
        <v>0.47499999999999998</v>
      </c>
      <c r="S51" s="274">
        <f>K54</f>
        <v>0.32500000000000001</v>
      </c>
      <c r="T51" s="274">
        <f>K53</f>
        <v>0.22500000000000001</v>
      </c>
      <c r="U51" s="275">
        <f>K52</f>
        <v>0.2</v>
      </c>
      <c r="V51" s="276">
        <f>K51</f>
        <v>0.2</v>
      </c>
      <c r="W51" s="45" t="s">
        <v>287</v>
      </c>
      <c r="X51" s="45"/>
      <c r="Y51" s="45"/>
      <c r="AJ51" s="104"/>
      <c r="AR51" s="3"/>
    </row>
    <row r="52" spans="1:45" x14ac:dyDescent="0.3">
      <c r="I52" s="241">
        <v>0.02</v>
      </c>
      <c r="J52" s="253">
        <f t="shared" ca="1" si="51"/>
        <v>64.089552238805979</v>
      </c>
      <c r="K52" s="58">
        <v>0.2</v>
      </c>
      <c r="L52" s="58">
        <v>3.75</v>
      </c>
      <c r="M52" s="58">
        <v>0.09</v>
      </c>
      <c r="N52" s="25">
        <v>5</v>
      </c>
      <c r="P52" s="273" t="s">
        <v>279</v>
      </c>
      <c r="Q52" s="277">
        <f>L56</f>
        <v>2.4</v>
      </c>
      <c r="R52" s="277">
        <f>L55</f>
        <v>2.4</v>
      </c>
      <c r="S52" s="277">
        <f>L54</f>
        <v>2.7</v>
      </c>
      <c r="T52" s="277">
        <f>L53</f>
        <v>3.2</v>
      </c>
      <c r="U52" s="278">
        <f>L52</f>
        <v>3.75</v>
      </c>
      <c r="V52" s="279">
        <f>L51</f>
        <v>4.4000000000000004</v>
      </c>
      <c r="W52" s="45"/>
      <c r="X52" s="45"/>
      <c r="Y52" s="45"/>
      <c r="AS52" s="3"/>
    </row>
    <row r="53" spans="1:45" x14ac:dyDescent="0.3">
      <c r="I53" s="241">
        <v>8.5000000000000006E-2</v>
      </c>
      <c r="J53" s="253">
        <f t="shared" ca="1" si="51"/>
        <v>50.507462686567166</v>
      </c>
      <c r="K53" s="58">
        <v>0.22500000000000001</v>
      </c>
      <c r="L53" s="58">
        <v>3.2</v>
      </c>
      <c r="M53" s="243">
        <v>0.125</v>
      </c>
      <c r="N53" s="244">
        <v>4.05</v>
      </c>
      <c r="P53" s="273" t="s">
        <v>284</v>
      </c>
      <c r="Q53" s="280">
        <v>0.15</v>
      </c>
      <c r="R53" s="280"/>
      <c r="S53" s="280"/>
      <c r="T53" s="280"/>
      <c r="U53" s="281"/>
      <c r="V53" s="282"/>
      <c r="W53" s="45"/>
      <c r="X53" s="45"/>
      <c r="Y53" s="45"/>
    </row>
    <row r="54" spans="1:45" x14ac:dyDescent="0.3">
      <c r="I54" s="241">
        <v>0.185</v>
      </c>
      <c r="J54" s="253">
        <f t="shared" ca="1" si="51"/>
        <v>37.347368421052636</v>
      </c>
      <c r="K54" s="58">
        <v>0.32500000000000001</v>
      </c>
      <c r="L54" s="58">
        <v>2.7</v>
      </c>
      <c r="M54" s="58">
        <v>0.24</v>
      </c>
      <c r="N54" s="25">
        <v>3.75</v>
      </c>
      <c r="P54" s="273" t="s">
        <v>285</v>
      </c>
      <c r="Q54" s="280">
        <v>0.03</v>
      </c>
      <c r="R54" s="280"/>
      <c r="S54" s="280"/>
      <c r="T54" s="280"/>
      <c r="U54" s="281"/>
      <c r="V54" s="282"/>
      <c r="W54" s="45"/>
      <c r="X54" s="196"/>
      <c r="Y54" s="45"/>
    </row>
    <row r="55" spans="1:45" x14ac:dyDescent="0.3">
      <c r="I55" s="241">
        <v>0.34399999999999997</v>
      </c>
      <c r="J55" s="253">
        <f t="shared" ca="1" si="51"/>
        <v>21.690322580645159</v>
      </c>
      <c r="K55" s="58">
        <v>0.47499999999999998</v>
      </c>
      <c r="L55" s="58">
        <v>2.4</v>
      </c>
      <c r="M55" s="58">
        <v>0.42</v>
      </c>
      <c r="N55" s="25">
        <v>3.6</v>
      </c>
      <c r="P55" s="273" t="s">
        <v>280</v>
      </c>
      <c r="Q55" s="274">
        <f>M56</f>
        <v>0.42</v>
      </c>
      <c r="R55" s="274">
        <f>M55</f>
        <v>0.42</v>
      </c>
      <c r="S55" s="274">
        <f>M54</f>
        <v>0.24</v>
      </c>
      <c r="T55" s="274">
        <f>M53</f>
        <v>0.125</v>
      </c>
      <c r="U55" s="275">
        <f>M52</f>
        <v>0.09</v>
      </c>
      <c r="V55" s="276">
        <f>M51</f>
        <v>0.09</v>
      </c>
      <c r="W55" s="45" t="s">
        <v>288</v>
      </c>
      <c r="X55" s="196"/>
      <c r="Y55" s="45"/>
    </row>
    <row r="56" spans="1:45" ht="15" thickBot="1" x14ac:dyDescent="0.35">
      <c r="I56" s="245">
        <v>0.5</v>
      </c>
      <c r="J56" s="257">
        <f t="shared" ca="1" si="51"/>
        <v>12.632258064516126</v>
      </c>
      <c r="K56" s="247">
        <v>0.47499999999999998</v>
      </c>
      <c r="L56" s="247">
        <v>2.4</v>
      </c>
      <c r="M56" s="247">
        <v>0.42</v>
      </c>
      <c r="N56" s="27">
        <v>3.6</v>
      </c>
      <c r="P56" s="283" t="s">
        <v>281</v>
      </c>
      <c r="Q56" s="284">
        <f>N56</f>
        <v>3.6</v>
      </c>
      <c r="R56" s="284">
        <f>N55</f>
        <v>3.6</v>
      </c>
      <c r="S56" s="284">
        <f>N54</f>
        <v>3.75</v>
      </c>
      <c r="T56" s="284">
        <f>N53</f>
        <v>4.05</v>
      </c>
      <c r="U56" s="285">
        <f>N52</f>
        <v>5</v>
      </c>
      <c r="V56" s="286">
        <f>N51</f>
        <v>5</v>
      </c>
      <c r="W56" s="45"/>
      <c r="X56" s="196"/>
      <c r="Y56" s="45"/>
    </row>
    <row r="57" spans="1:45" x14ac:dyDescent="0.3">
      <c r="V57" s="45"/>
      <c r="W57" s="45"/>
      <c r="X57" s="196"/>
      <c r="Y57" s="45"/>
    </row>
    <row r="58" spans="1:45" x14ac:dyDescent="0.3">
      <c r="W58" s="45"/>
      <c r="X58" s="196"/>
      <c r="Y58" s="45"/>
    </row>
    <row r="59" spans="1:45" x14ac:dyDescent="0.3">
      <c r="W59" s="45"/>
      <c r="X59" s="149"/>
      <c r="Y59" s="45"/>
    </row>
    <row r="60" spans="1:45" x14ac:dyDescent="0.3">
      <c r="W60" s="45"/>
      <c r="X60" s="149"/>
      <c r="Y60" s="45"/>
    </row>
    <row r="61" spans="1:45" x14ac:dyDescent="0.3">
      <c r="W61" s="45"/>
      <c r="X61" s="149"/>
      <c r="Y61" s="45"/>
    </row>
    <row r="62" spans="1:45" x14ac:dyDescent="0.3">
      <c r="H62" s="176"/>
    </row>
    <row r="64" spans="1:45" x14ac:dyDescent="0.3">
      <c r="V64" s="45"/>
      <c r="W64" s="45"/>
      <c r="X64" s="45"/>
      <c r="Y64" s="45"/>
      <c r="Z64" s="45"/>
      <c r="AA64" s="45"/>
      <c r="AB64" s="45"/>
      <c r="AC64" s="45"/>
      <c r="AD64" s="45"/>
      <c r="AG64" s="45"/>
      <c r="AH64" s="149"/>
    </row>
    <row r="65" spans="1:36" x14ac:dyDescent="0.3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3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3">
      <c r="V67" s="45"/>
      <c r="W67" s="45"/>
      <c r="X67" s="45"/>
      <c r="Y67" s="45"/>
      <c r="Z67" s="45"/>
      <c r="AA67" s="45"/>
      <c r="AB67" s="45"/>
      <c r="AC67" s="45"/>
      <c r="AD67" s="45"/>
    </row>
    <row r="68" spans="1:36" x14ac:dyDescent="0.3">
      <c r="A68" s="45"/>
      <c r="B68" s="45"/>
      <c r="C68" s="45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</row>
    <row r="69" spans="1:36" x14ac:dyDescent="0.3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3">
      <c r="A70" s="45"/>
      <c r="B70" s="45"/>
      <c r="C70" s="45"/>
      <c r="D70" s="61"/>
      <c r="E70" s="61"/>
      <c r="F70" s="61"/>
      <c r="G70" s="61"/>
      <c r="H70" s="61"/>
      <c r="I70" s="190"/>
      <c r="J70" s="61"/>
      <c r="K70" s="187"/>
      <c r="L70" s="61"/>
      <c r="M70" s="61"/>
      <c r="N70" s="188"/>
      <c r="O70" s="188"/>
      <c r="P70" s="188"/>
      <c r="Q70" s="188"/>
      <c r="R70" s="188"/>
      <c r="S70" s="188"/>
      <c r="T70" s="188"/>
      <c r="U70" s="189"/>
      <c r="V70" s="189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3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104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3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3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149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3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3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3">
      <c r="A76" s="45"/>
      <c r="B76" s="45"/>
      <c r="C76" s="45"/>
      <c r="D76" s="61"/>
      <c r="E76" s="61"/>
      <c r="F76" s="61"/>
      <c r="G76" s="61"/>
      <c r="H76" s="61"/>
      <c r="I76" s="61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186"/>
      <c r="Y76" s="186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3">
      <c r="V77" s="45"/>
      <c r="W77" s="45"/>
      <c r="X77" s="45"/>
      <c r="Y77" s="45"/>
      <c r="Z77" s="45"/>
      <c r="AA77" s="45"/>
      <c r="AB77" s="45"/>
      <c r="AC77" s="45"/>
      <c r="AD77" s="45"/>
    </row>
    <row r="92" spans="1:36" x14ac:dyDescent="0.3">
      <c r="A92" s="45"/>
      <c r="B92" s="45"/>
      <c r="C92" s="45"/>
      <c r="D92" s="61"/>
      <c r="E92" s="61"/>
      <c r="F92" s="61"/>
      <c r="G92" s="61"/>
      <c r="H92" s="61"/>
      <c r="I92" s="61"/>
      <c r="J92" s="61"/>
      <c r="K92" s="187"/>
      <c r="L92" s="61"/>
      <c r="M92" s="61"/>
      <c r="N92" s="188"/>
      <c r="O92" s="188"/>
      <c r="P92" s="188"/>
      <c r="Q92" s="188"/>
      <c r="R92" s="188"/>
      <c r="S92" s="188"/>
      <c r="T92" s="188"/>
      <c r="U92" s="189"/>
      <c r="V92" s="189"/>
      <c r="W92" s="45"/>
      <c r="X92" s="186"/>
      <c r="Y92" s="186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</row>
    <row r="93" spans="1:36" x14ac:dyDescent="0.3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3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3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3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3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3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3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3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3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3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3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3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3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3">
      <c r="A106" s="45"/>
      <c r="B106" s="45"/>
      <c r="C106" s="45"/>
      <c r="D106" s="61"/>
      <c r="E106" s="61"/>
      <c r="F106" s="61"/>
      <c r="G106" s="61"/>
      <c r="H106" s="61"/>
      <c r="I106" s="190"/>
      <c r="J106" s="61"/>
      <c r="K106" s="187"/>
      <c r="L106" s="61"/>
      <c r="M106" s="61"/>
      <c r="N106" s="188"/>
      <c r="O106" s="188"/>
      <c r="P106" s="188"/>
      <c r="Q106" s="188"/>
      <c r="R106" s="188"/>
      <c r="S106" s="188"/>
      <c r="T106" s="188"/>
      <c r="U106" s="189"/>
      <c r="V106" s="189"/>
      <c r="W106" s="45"/>
      <c r="X106" s="186"/>
      <c r="Y106" s="186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3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3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3">
      <c r="A109" s="45"/>
      <c r="B109" s="45"/>
      <c r="C109" s="45"/>
      <c r="D109" s="61"/>
      <c r="E109" s="61"/>
      <c r="F109" s="61"/>
      <c r="G109" s="61"/>
      <c r="H109" s="61"/>
      <c r="I109" s="61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3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3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3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3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3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3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3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3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3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3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3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3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45"/>
      <c r="V121" s="45"/>
      <c r="W121" s="45"/>
      <c r="X121" s="186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3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3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3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4"/>
  <sheetViews>
    <sheetView topLeftCell="N10" zoomScale="60" zoomScaleNormal="60" workbookViewId="0">
      <selection activeCell="AJ6" sqref="AJ6"/>
    </sheetView>
  </sheetViews>
  <sheetFormatPr defaultRowHeight="14.4" x14ac:dyDescent="0.3"/>
  <cols>
    <col min="1" max="1" width="15.33203125" customWidth="1"/>
    <col min="3" max="3" width="9" customWidth="1"/>
    <col min="4" max="4" width="10.88671875" style="1" customWidth="1"/>
    <col min="5" max="5" width="6.44140625" style="1" customWidth="1"/>
    <col min="6" max="7" width="6.33203125" style="1" customWidth="1"/>
    <col min="8" max="8" width="9.109375" style="1" bestFit="1" customWidth="1"/>
    <col min="9" max="9" width="8.5546875" style="1" bestFit="1" customWidth="1"/>
    <col min="10" max="10" width="8.44140625" style="1" customWidth="1"/>
    <col min="11" max="11" width="12" style="1" customWidth="1"/>
    <col min="12" max="12" width="8.44140625" style="1" customWidth="1"/>
    <col min="13" max="13" width="11" style="1" customWidth="1"/>
    <col min="14" max="14" width="6.6640625" style="1" customWidth="1"/>
    <col min="15" max="15" width="7.88671875" style="1" customWidth="1"/>
    <col min="16" max="16" width="11.5546875" style="1" customWidth="1"/>
    <col min="17" max="17" width="8.5546875" style="1" customWidth="1"/>
    <col min="18" max="18" width="8.33203125" style="1" customWidth="1"/>
    <col min="19" max="19" width="7.6640625" style="1" customWidth="1"/>
    <col min="20" max="20" width="10.6640625" style="1" customWidth="1"/>
    <col min="21" max="21" width="7.6640625" customWidth="1"/>
    <col min="22" max="22" width="9.6640625" customWidth="1"/>
    <col min="24" max="24" width="9.88671875" bestFit="1" customWidth="1"/>
    <col min="25" max="25" width="10.6640625" customWidth="1"/>
    <col min="26" max="26" width="8.6640625" customWidth="1"/>
    <col min="27" max="27" width="7.33203125" customWidth="1"/>
    <col min="28" max="28" width="9.88671875" customWidth="1"/>
    <col min="29" max="29" width="9.109375" customWidth="1"/>
    <col min="30" max="30" width="8.44140625" customWidth="1"/>
    <col min="31" max="31" width="7.44140625" customWidth="1"/>
    <col min="32" max="32" width="10" customWidth="1"/>
    <col min="33" max="33" width="7.44140625" customWidth="1"/>
    <col min="34" max="34" width="9.6640625" customWidth="1"/>
    <col min="35" max="36" width="11.5546875" customWidth="1"/>
    <col min="37" max="37" width="8.6640625" customWidth="1"/>
    <col min="38" max="38" width="11.5546875" bestFit="1" customWidth="1"/>
    <col min="39" max="39" width="9.6640625" customWidth="1"/>
    <col min="44" max="44" width="11.33203125" customWidth="1"/>
    <col min="45" max="45" width="12.109375" customWidth="1"/>
    <col min="46" max="46" width="13.109375" bestFit="1" customWidth="1"/>
    <col min="47" max="47" width="12" bestFit="1" customWidth="1"/>
    <col min="48" max="48" width="10.44140625" bestFit="1" customWidth="1"/>
    <col min="49" max="49" width="10.33203125" customWidth="1"/>
    <col min="50" max="50" width="9.33203125" bestFit="1" customWidth="1"/>
    <col min="51" max="51" width="10.33203125" bestFit="1" customWidth="1"/>
  </cols>
  <sheetData>
    <row r="1" spans="1:51" ht="86.4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3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x14ac:dyDescent="0.3">
      <c r="A2" t="s">
        <v>222</v>
      </c>
      <c r="B2" t="s">
        <v>201</v>
      </c>
      <c r="C2" s="220">
        <f t="shared" ref="C2:C13" si="1">D2/180+1</f>
        <v>1.0322055169770046</v>
      </c>
      <c r="D2" s="262">
        <f>EXP((0-$Q$41)/$R$41)</f>
        <v>5.7969930558608072</v>
      </c>
      <c r="E2" s="109">
        <v>3.3999999999999998E-3</v>
      </c>
      <c r="F2" s="109">
        <v>12.22</v>
      </c>
      <c r="G2" s="109">
        <v>5.0999999999999997E-2</v>
      </c>
      <c r="H2" s="148">
        <v>1.0000000000000001E+32</v>
      </c>
      <c r="I2" s="191">
        <v>1.0000000000000001E+32</v>
      </c>
      <c r="J2" s="189"/>
      <c r="K2" s="2">
        <f t="shared" ref="K2:K13" si="2">F2*G2</f>
        <v>0.62322</v>
      </c>
      <c r="L2" s="229">
        <f t="shared" ref="L2:L13" si="3">D2</f>
        <v>5.7969930558608072</v>
      </c>
      <c r="M2" s="234">
        <f t="shared" ref="M2:M13" si="4">LN(L2)</f>
        <v>1.7573393444719045</v>
      </c>
      <c r="N2" s="3">
        <f t="shared" ref="N2:O13" si="5">1/H2/0.000001</f>
        <v>9.999999999999999E-27</v>
      </c>
      <c r="O2" s="3">
        <f t="shared" si="5"/>
        <v>9.999999999999999E-27</v>
      </c>
      <c r="P2" s="3">
        <f t="shared" ref="P2:P13" si="6">N2*60/$C$25</f>
        <v>5.9999999999999995E-25</v>
      </c>
      <c r="Q2" s="4">
        <v>0</v>
      </c>
      <c r="R2" s="3">
        <f t="shared" ref="R2:R13" si="7">P2/$Q$30</f>
        <v>1.3020833333333332E-27</v>
      </c>
      <c r="S2" s="3">
        <f t="shared" ref="S2:S13" si="8">Q2/$Q$30</f>
        <v>0</v>
      </c>
      <c r="T2" s="3">
        <f t="shared" ref="T2:T13" si="9">L2</f>
        <v>5.7969930558608072</v>
      </c>
      <c r="U2" s="158">
        <f t="shared" si="0"/>
        <v>0.62322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2" si="10">$Q$37*(P2/$Q$30/100)^3</f>
        <v>9.76843480821773E-87</v>
      </c>
      <c r="AA2" s="229">
        <f t="shared" ref="AA2:AA13" si="11">SQRT(Z2^3/4/$Q$27/$Q$33)</f>
        <v>9.469612348787209E-129</v>
      </c>
      <c r="AB2" s="1"/>
      <c r="AC2" s="158">
        <f t="shared" ref="AC2:AC13" si="12">SQRT(Z2/$Q$33/$Q$27)</f>
        <v>1.9388187636407961E-42</v>
      </c>
      <c r="AD2" s="175">
        <f t="shared" ref="AD2:AD12" si="13">AC2*1/1.6/1000*3600</f>
        <v>4.3623422181917907E-42</v>
      </c>
      <c r="AE2" s="4">
        <f t="shared" ref="AE2:AE13" si="14">Q2/60*PI()*$C$39/1000</f>
        <v>0</v>
      </c>
      <c r="AF2" s="158">
        <f>AE2/AC2</f>
        <v>0</v>
      </c>
      <c r="AH2" s="228">
        <f t="shared" ref="AH2:AH13" si="15">D2/$Q$31*$Q$23</f>
        <v>0.16102758488502239</v>
      </c>
      <c r="AI2" s="228">
        <f t="shared" ref="AI2:AI13" si="16">AH2/$Q$23*$Q$31</f>
        <v>5.7969930558608063</v>
      </c>
      <c r="AJ2" s="229">
        <f t="shared" ref="AJ2:AJ13" si="17">MAX(($Q$41+$R$41*LN($AI2)),0)</f>
        <v>0</v>
      </c>
      <c r="AK2" s="229">
        <f t="shared" ref="AK2:AK13" si="18">MAX(($Q$41+$R$41*LN(AI2))/$Q$30,0)</f>
        <v>0</v>
      </c>
      <c r="AL2" s="229">
        <f t="shared" ref="AL2:AL13" si="19">($Q$42+$R$42*AK2*$Q$30)/$Q$30</f>
        <v>-12.051452687191878</v>
      </c>
      <c r="AM2" s="229">
        <f t="shared" ref="AM2:AM13" si="20">($Q$43+$R$43*AL2*$Q$30)/$Q$30</f>
        <v>6.141569148348304E-2</v>
      </c>
      <c r="AN2" s="1"/>
      <c r="AO2" s="1">
        <f t="shared" ref="AO2:AO13" si="21">MAX($Q$42+$R$42*AJ2, 0)</f>
        <v>0</v>
      </c>
      <c r="AP2" s="227"/>
      <c r="AQ2" s="227"/>
      <c r="AR2" s="227"/>
      <c r="AS2" s="1"/>
      <c r="AT2" s="227"/>
      <c r="AU2" s="1"/>
    </row>
    <row r="3" spans="1:51" ht="15" customHeight="1" x14ac:dyDescent="0.3">
      <c r="A3" t="s">
        <v>223</v>
      </c>
      <c r="B3" t="s">
        <v>201</v>
      </c>
      <c r="C3" s="220">
        <f t="shared" si="1"/>
        <v>1.05</v>
      </c>
      <c r="D3" s="73">
        <v>9</v>
      </c>
      <c r="E3" s="109">
        <v>3.0000000000000001E-3</v>
      </c>
      <c r="F3" s="73">
        <v>12.2</v>
      </c>
      <c r="G3" s="106">
        <v>0.39</v>
      </c>
      <c r="H3" s="73">
        <v>7000</v>
      </c>
      <c r="I3" s="191">
        <v>1.0000000000000001E+32</v>
      </c>
      <c r="J3" s="61"/>
      <c r="K3" s="2">
        <f t="shared" si="2"/>
        <v>4.758</v>
      </c>
      <c r="L3" s="1">
        <f t="shared" si="3"/>
        <v>9</v>
      </c>
      <c r="M3" s="234">
        <f t="shared" si="4"/>
        <v>2.1972245773362196</v>
      </c>
      <c r="N3" s="3">
        <f t="shared" si="5"/>
        <v>142.85714285714286</v>
      </c>
      <c r="O3" s="3">
        <f t="shared" si="5"/>
        <v>9.999999999999999E-27</v>
      </c>
      <c r="P3" s="3">
        <f t="shared" si="6"/>
        <v>8571.4285714285725</v>
      </c>
      <c r="Q3" s="3">
        <f t="shared" ref="Q3:Q13" si="22">O3*60/$C$25</f>
        <v>5.9999999999999995E-25</v>
      </c>
      <c r="R3" s="3">
        <f t="shared" si="7"/>
        <v>18.601190476190478</v>
      </c>
      <c r="S3" s="3">
        <f t="shared" si="8"/>
        <v>1.3020833333333332E-27</v>
      </c>
      <c r="T3" s="3">
        <f>L3</f>
        <v>9</v>
      </c>
      <c r="U3" s="158">
        <f>K3</f>
        <v>4.758</v>
      </c>
      <c r="V3" s="1">
        <f t="shared" ref="V3:V13" si="23">($U3-$U$2)</f>
        <v>4.1347800000000001</v>
      </c>
      <c r="W3" s="234">
        <f t="shared" ref="W3:W13" si="24">($U3-$U$2)*0.001341022</f>
        <v>5.5448309451600003E-3</v>
      </c>
      <c r="X3" s="230">
        <f>$W3/$P3*5252</f>
        <v>3.3975027477977041E-3</v>
      </c>
      <c r="Y3" s="230">
        <f>X3-$X$3</f>
        <v>0</v>
      </c>
      <c r="Z3" s="228">
        <f t="shared" si="10"/>
        <v>2.8479401773229537E-2</v>
      </c>
      <c r="AA3" s="229">
        <f t="shared" si="11"/>
        <v>4.71401565954883E-2</v>
      </c>
      <c r="AB3" s="2">
        <f>AA3/U3*100</f>
        <v>0.9907557081859667</v>
      </c>
      <c r="AC3" s="158">
        <f t="shared" si="12"/>
        <v>3.3104737923111678</v>
      </c>
      <c r="AD3" s="175">
        <f t="shared" si="13"/>
        <v>7.4485660327001275</v>
      </c>
      <c r="AE3" s="4">
        <f t="shared" si="14"/>
        <v>1.7278759594743859E-27</v>
      </c>
      <c r="AF3" s="158">
        <f t="shared" ref="AF3:AF13" si="25">AE3/AC3</f>
        <v>5.2194219555143798E-28</v>
      </c>
      <c r="AH3" s="228">
        <f t="shared" si="15"/>
        <v>0.25</v>
      </c>
      <c r="AI3" s="228">
        <f t="shared" si="16"/>
        <v>9</v>
      </c>
      <c r="AJ3" s="229">
        <f t="shared" si="17"/>
        <v>5341.5559957732476</v>
      </c>
      <c r="AK3" s="229">
        <f t="shared" si="18"/>
        <v>11.591918393605138</v>
      </c>
      <c r="AL3" s="229">
        <f t="shared" si="19"/>
        <v>-1.2570730193706521</v>
      </c>
      <c r="AM3" s="229">
        <f t="shared" si="20"/>
        <v>11.641491887218354</v>
      </c>
      <c r="AN3" s="1"/>
      <c r="AO3" s="1">
        <f t="shared" si="21"/>
        <v>0</v>
      </c>
      <c r="AP3" s="227">
        <f t="shared" ref="AP3:AP13" si="26">MAX($J$47+$AJ3*($K$47+$AJ3*$L$47), 0)</f>
        <v>0</v>
      </c>
      <c r="AQ3" s="227">
        <f>AJ3*AP3/5252</f>
        <v>0</v>
      </c>
      <c r="AR3" s="231">
        <f t="shared" ref="AR3:AR13" si="27">MAX($K$47+$L$47*2*AJ3,1E-32)</f>
        <v>2.511671370675344E-7</v>
      </c>
      <c r="AS3" s="228"/>
      <c r="AT3" s="1"/>
      <c r="AU3" s="228"/>
      <c r="AX3" s="128"/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1.0666666666666667</v>
      </c>
      <c r="D4" s="73">
        <v>12</v>
      </c>
      <c r="E4" s="109">
        <v>0.46200000000000002</v>
      </c>
      <c r="F4" s="73">
        <v>12.19</v>
      </c>
      <c r="G4" s="106">
        <v>0.44</v>
      </c>
      <c r="H4" s="73">
        <v>6040</v>
      </c>
      <c r="I4" s="78">
        <v>19200</v>
      </c>
      <c r="J4" s="61"/>
      <c r="K4" s="2">
        <f t="shared" si="2"/>
        <v>5.3635999999999999</v>
      </c>
      <c r="L4" s="1">
        <f t="shared" si="3"/>
        <v>12</v>
      </c>
      <c r="M4" s="234">
        <f t="shared" si="4"/>
        <v>2.4849066497880004</v>
      </c>
      <c r="N4" s="3">
        <f t="shared" si="5"/>
        <v>165.56291390728478</v>
      </c>
      <c r="O4" s="3">
        <f t="shared" si="5"/>
        <v>52.083333333333336</v>
      </c>
      <c r="P4" s="3">
        <f t="shared" si="6"/>
        <v>9933.7748344370866</v>
      </c>
      <c r="Q4" s="3">
        <f t="shared" si="22"/>
        <v>3125</v>
      </c>
      <c r="R4" s="3">
        <f t="shared" si="7"/>
        <v>21.557671081677704</v>
      </c>
      <c r="S4" s="3">
        <f t="shared" si="8"/>
        <v>6.7816840277777777</v>
      </c>
      <c r="T4" s="3">
        <f t="shared" si="9"/>
        <v>12</v>
      </c>
      <c r="U4" s="158">
        <f t="shared" si="0"/>
        <v>5.3635999999999999</v>
      </c>
      <c r="V4" s="229">
        <f t="shared" si="23"/>
        <v>4.74038</v>
      </c>
      <c r="W4" s="234">
        <f t="shared" si="24"/>
        <v>6.3569538683600005E-3</v>
      </c>
      <c r="X4" s="230">
        <f t="shared" ref="X4:X13" si="28">$W4/$P4*5252</f>
        <v>3.3609299861404236E-3</v>
      </c>
      <c r="Y4" s="230">
        <f t="shared" ref="Y4:Y13" si="29">X4-$X$3</f>
        <v>-3.6572761657280555E-5</v>
      </c>
      <c r="Z4" s="228">
        <f t="shared" si="10"/>
        <v>4.4331677644672267E-2</v>
      </c>
      <c r="AA4" s="229">
        <f t="shared" si="11"/>
        <v>9.1551608116826624E-2</v>
      </c>
      <c r="AB4" s="2">
        <f t="shared" ref="AB4:AB12" si="30">AA4/U4*100</f>
        <v>1.706905960862604</v>
      </c>
      <c r="AC4" s="158">
        <f t="shared" si="12"/>
        <v>4.1303019863417774</v>
      </c>
      <c r="AD4" s="175">
        <f t="shared" si="13"/>
        <v>9.2931794692689991</v>
      </c>
      <c r="AE4" s="175">
        <f t="shared" si="14"/>
        <v>8.9993539555957618</v>
      </c>
      <c r="AF4" s="158">
        <f t="shared" si="25"/>
        <v>2.1788610095230641</v>
      </c>
      <c r="AG4" s="151"/>
      <c r="AH4" s="228">
        <f t="shared" si="15"/>
        <v>0.33333333333333331</v>
      </c>
      <c r="AI4" s="228">
        <f t="shared" si="16"/>
        <v>12</v>
      </c>
      <c r="AJ4" s="229">
        <f t="shared" si="17"/>
        <v>8834.8987683306477</v>
      </c>
      <c r="AK4" s="229">
        <f t="shared" si="18"/>
        <v>19.172957396550885</v>
      </c>
      <c r="AL4" s="229">
        <f t="shared" si="19"/>
        <v>5.8023808601098592</v>
      </c>
      <c r="AM4" s="229">
        <f t="shared" si="20"/>
        <v>19.214786170016261</v>
      </c>
      <c r="AN4" s="2">
        <f t="shared" ref="AN4:AN13" si="31">AO4/$Q$30</f>
        <v>5.8023808601098592</v>
      </c>
      <c r="AO4" s="3">
        <f t="shared" si="21"/>
        <v>2673.7371003386233</v>
      </c>
      <c r="AP4" s="227">
        <f t="shared" si="26"/>
        <v>0</v>
      </c>
      <c r="AQ4" s="227">
        <f t="shared" ref="AQ4:AQ13" si="32">AJ4*AP4/5252</f>
        <v>0</v>
      </c>
      <c r="AR4" s="231">
        <f t="shared" si="27"/>
        <v>3.1894909088325442E-7</v>
      </c>
      <c r="AS4" s="228">
        <f t="shared" ref="AS4:AS13" si="33">$Q$35/AR4</f>
        <v>0.11734417364586795</v>
      </c>
      <c r="AT4" s="1"/>
      <c r="AU4" s="228"/>
      <c r="AX4" s="127"/>
      <c r="AY4" s="96"/>
    </row>
    <row r="5" spans="1:51" ht="13.95" customHeight="1" x14ac:dyDescent="0.3">
      <c r="A5" t="s">
        <v>225</v>
      </c>
      <c r="B5" s="176">
        <v>16</v>
      </c>
      <c r="C5" s="220">
        <f t="shared" si="1"/>
        <v>1.1333333333333333</v>
      </c>
      <c r="D5" s="73">
        <v>24</v>
      </c>
      <c r="E5" s="73">
        <v>0.72499999999999998</v>
      </c>
      <c r="F5" s="73">
        <v>12.17</v>
      </c>
      <c r="G5" s="73">
        <v>1.1299999999999999</v>
      </c>
      <c r="H5" s="73">
        <v>3720</v>
      </c>
      <c r="I5" s="78">
        <v>6440</v>
      </c>
      <c r="J5" s="61"/>
      <c r="K5" s="2">
        <f t="shared" si="2"/>
        <v>13.752099999999999</v>
      </c>
      <c r="L5" s="1">
        <f t="shared" si="3"/>
        <v>24</v>
      </c>
      <c r="M5" s="234">
        <f t="shared" si="4"/>
        <v>3.1780538303479458</v>
      </c>
      <c r="N5" s="3">
        <f t="shared" si="5"/>
        <v>268.81720430107526</v>
      </c>
      <c r="O5" s="3">
        <f t="shared" si="5"/>
        <v>155.27950310559007</v>
      </c>
      <c r="P5" s="3">
        <f t="shared" si="6"/>
        <v>16129.032258064515</v>
      </c>
      <c r="Q5" s="3">
        <f t="shared" si="22"/>
        <v>9316.7701863354032</v>
      </c>
      <c r="R5" s="3">
        <f t="shared" si="7"/>
        <v>35.002240143369171</v>
      </c>
      <c r="S5" s="3">
        <f t="shared" si="8"/>
        <v>20.218685300207039</v>
      </c>
      <c r="T5" s="3">
        <f t="shared" si="9"/>
        <v>24</v>
      </c>
      <c r="U5" s="158">
        <f t="shared" si="0"/>
        <v>13.752099999999999</v>
      </c>
      <c r="V5" s="229">
        <f t="shared" si="23"/>
        <v>13.128879999999999</v>
      </c>
      <c r="W5" s="234">
        <f t="shared" si="24"/>
        <v>1.7606116915360001E-2</v>
      </c>
      <c r="X5" s="230">
        <f t="shared" si="28"/>
        <v>5.7329742144471858E-3</v>
      </c>
      <c r="Y5" s="230">
        <f t="shared" si="29"/>
        <v>2.3354714666494816E-3</v>
      </c>
      <c r="Z5" s="228">
        <f t="shared" si="10"/>
        <v>0.18975628219609206</v>
      </c>
      <c r="AA5" s="229">
        <f t="shared" si="11"/>
        <v>0.81075376002805499</v>
      </c>
      <c r="AB5" s="2">
        <f t="shared" si="30"/>
        <v>5.8954905798245729</v>
      </c>
      <c r="AC5" s="158">
        <f t="shared" si="12"/>
        <v>8.5452112641017166</v>
      </c>
      <c r="AD5" s="175">
        <f t="shared" si="13"/>
        <v>19.226725344228864</v>
      </c>
      <c r="AE5" s="175">
        <f t="shared" si="14"/>
        <v>26.830372041527738</v>
      </c>
      <c r="AF5" s="158">
        <f t="shared" si="25"/>
        <v>3.1398137754933764</v>
      </c>
      <c r="AG5" s="151"/>
      <c r="AH5" s="228">
        <f t="shared" si="15"/>
        <v>0.66666666666666663</v>
      </c>
      <c r="AI5" s="228">
        <f t="shared" si="16"/>
        <v>24</v>
      </c>
      <c r="AJ5" s="229">
        <f t="shared" si="17"/>
        <v>17251.831644582377</v>
      </c>
      <c r="AK5" s="229">
        <f t="shared" si="18"/>
        <v>37.43887075647217</v>
      </c>
      <c r="AL5" s="229">
        <f t="shared" si="19"/>
        <v>22.811576153900912</v>
      </c>
      <c r="AM5" s="229">
        <f t="shared" si="20"/>
        <v>37.462039239816058</v>
      </c>
      <c r="AN5" s="2">
        <f t="shared" si="31"/>
        <v>22.811576153900912</v>
      </c>
      <c r="AO5" s="3">
        <f t="shared" si="21"/>
        <v>10511.574291717541</v>
      </c>
      <c r="AP5" s="227">
        <f t="shared" si="26"/>
        <v>3.0617544365980232E-3</v>
      </c>
      <c r="AQ5" s="227">
        <f t="shared" si="32"/>
        <v>1.0057287143420081E-2</v>
      </c>
      <c r="AR5" s="231">
        <f t="shared" si="27"/>
        <v>4.822643429592618E-7</v>
      </c>
      <c r="AS5" s="228">
        <f t="shared" si="33"/>
        <v>7.7606437322607261E-2</v>
      </c>
      <c r="AT5" s="232"/>
      <c r="AU5" s="165"/>
      <c r="AX5" s="127"/>
      <c r="AY5" s="96"/>
    </row>
    <row r="6" spans="1:51" ht="13.95" customHeight="1" x14ac:dyDescent="0.3">
      <c r="A6" t="s">
        <v>226</v>
      </c>
      <c r="B6" s="176">
        <v>20</v>
      </c>
      <c r="C6" s="220">
        <f t="shared" si="1"/>
        <v>1.1555555555555554</v>
      </c>
      <c r="D6" s="73">
        <v>28</v>
      </c>
      <c r="E6" s="73">
        <v>0.81899999999999995</v>
      </c>
      <c r="F6" s="73">
        <v>12.16</v>
      </c>
      <c r="G6" s="73">
        <v>1.33</v>
      </c>
      <c r="H6" s="73">
        <v>3460</v>
      </c>
      <c r="I6" s="78">
        <v>5580</v>
      </c>
      <c r="J6" s="61"/>
      <c r="K6" s="2">
        <f t="shared" si="2"/>
        <v>16.172800000000002</v>
      </c>
      <c r="L6" s="1">
        <f t="shared" si="3"/>
        <v>28</v>
      </c>
      <c r="M6" s="234">
        <f t="shared" si="4"/>
        <v>3.3322045101752038</v>
      </c>
      <c r="N6" s="3">
        <f t="shared" si="5"/>
        <v>289.01734104046244</v>
      </c>
      <c r="O6" s="3">
        <f t="shared" si="5"/>
        <v>179.2114695340502</v>
      </c>
      <c r="P6" s="3">
        <f t="shared" si="6"/>
        <v>17341.040462427747</v>
      </c>
      <c r="Q6" s="3">
        <f t="shared" si="22"/>
        <v>10752.688172043012</v>
      </c>
      <c r="R6" s="3">
        <f t="shared" si="7"/>
        <v>37.632466281310215</v>
      </c>
      <c r="S6" s="3">
        <f t="shared" si="8"/>
        <v>23.33482676224612</v>
      </c>
      <c r="T6" s="3">
        <f t="shared" si="9"/>
        <v>28</v>
      </c>
      <c r="U6" s="158">
        <f t="shared" si="0"/>
        <v>16.172800000000002</v>
      </c>
      <c r="V6" s="229">
        <f t="shared" si="23"/>
        <v>15.549580000000002</v>
      </c>
      <c r="W6" s="234">
        <f t="shared" si="24"/>
        <v>2.0852328870760006E-2</v>
      </c>
      <c r="X6" s="230">
        <f t="shared" si="28"/>
        <v>6.3154475342190189E-3</v>
      </c>
      <c r="Y6" s="230">
        <f t="shared" si="29"/>
        <v>2.9179447864213148E-3</v>
      </c>
      <c r="Z6" s="228">
        <f t="shared" si="10"/>
        <v>0.23582871582730708</v>
      </c>
      <c r="AA6" s="229">
        <f t="shared" si="11"/>
        <v>1.1232844746570794</v>
      </c>
      <c r="AB6" s="2">
        <f t="shared" si="30"/>
        <v>6.9455163895990752</v>
      </c>
      <c r="AC6" s="158">
        <f t="shared" si="12"/>
        <v>9.526273937561017</v>
      </c>
      <c r="AD6" s="175">
        <f t="shared" si="13"/>
        <v>21.434116359512288</v>
      </c>
      <c r="AE6" s="175">
        <f t="shared" si="14"/>
        <v>30.965518986996173</v>
      </c>
      <c r="AF6" s="158">
        <f t="shared" si="25"/>
        <v>3.2505383731306159</v>
      </c>
      <c r="AG6" s="151"/>
      <c r="AH6" s="228">
        <f t="shared" si="15"/>
        <v>0.77777777777777779</v>
      </c>
      <c r="AI6" s="228">
        <f t="shared" si="16"/>
        <v>28</v>
      </c>
      <c r="AJ6" s="229">
        <f t="shared" si="17"/>
        <v>19123.693727158348</v>
      </c>
      <c r="AK6" s="229">
        <f t="shared" si="18"/>
        <v>41.501071456506828</v>
      </c>
      <c r="AL6" s="229">
        <f t="shared" si="19"/>
        <v>26.594292280271606</v>
      </c>
      <c r="AM6" s="229">
        <f t="shared" si="20"/>
        <v>41.520090032747753</v>
      </c>
      <c r="AN6" s="2">
        <f t="shared" si="31"/>
        <v>26.594292280271613</v>
      </c>
      <c r="AO6" s="3">
        <f t="shared" si="21"/>
        <v>12254.64988274916</v>
      </c>
      <c r="AP6" s="227">
        <f t="shared" si="26"/>
        <v>3.9984798589682664E-3</v>
      </c>
      <c r="AQ6" s="227">
        <f t="shared" si="32"/>
        <v>1.4559349618644407E-2</v>
      </c>
      <c r="AR6" s="231">
        <f t="shared" si="27"/>
        <v>5.1858441730961745E-7</v>
      </c>
      <c r="AS6" s="228">
        <f t="shared" si="33"/>
        <v>7.2171118636699963E-2</v>
      </c>
      <c r="AT6" s="232">
        <f t="shared" ref="AT6:AT13" si="34">$Q$44*$Q$27*$Q$36^2*$Q$33*PI()/240*($AC6-$Q$46)/$Q$45*$Q$34</f>
        <v>-1.3026398899235102E-7</v>
      </c>
      <c r="AU6" s="165">
        <f t="shared" ref="AU6:AU13" si="35">-$Q$35/AT6</f>
        <v>0.28731514975327521</v>
      </c>
      <c r="AX6" s="127"/>
      <c r="AY6" s="96"/>
    </row>
    <row r="7" spans="1:51" ht="13.95" customHeight="1" x14ac:dyDescent="0.3">
      <c r="A7" t="s">
        <v>227</v>
      </c>
      <c r="B7" s="176">
        <v>25</v>
      </c>
      <c r="C7" s="220">
        <f t="shared" si="1"/>
        <v>1.1777777777777778</v>
      </c>
      <c r="D7" s="73">
        <v>32</v>
      </c>
      <c r="E7" s="73">
        <v>0.94799999999999995</v>
      </c>
      <c r="F7" s="73">
        <v>12.16</v>
      </c>
      <c r="G7" s="73">
        <v>1.607</v>
      </c>
      <c r="H7" s="73">
        <v>3180</v>
      </c>
      <c r="I7" s="78">
        <v>4940</v>
      </c>
      <c r="J7" s="61"/>
      <c r="K7" s="2">
        <f t="shared" si="2"/>
        <v>19.541119999999999</v>
      </c>
      <c r="L7" s="1">
        <f t="shared" si="3"/>
        <v>32</v>
      </c>
      <c r="M7" s="234">
        <f t="shared" si="4"/>
        <v>3.4657359027997265</v>
      </c>
      <c r="N7" s="3">
        <f t="shared" si="5"/>
        <v>314.46540880503147</v>
      </c>
      <c r="O7" s="3">
        <f t="shared" si="5"/>
        <v>202.42914979757086</v>
      </c>
      <c r="P7" s="3">
        <f t="shared" si="6"/>
        <v>18867.92452830189</v>
      </c>
      <c r="Q7" s="3">
        <f t="shared" si="22"/>
        <v>12145.748987854251</v>
      </c>
      <c r="R7" s="3">
        <f t="shared" si="7"/>
        <v>40.946016771488473</v>
      </c>
      <c r="S7" s="3">
        <f t="shared" si="8"/>
        <v>26.35796221322537</v>
      </c>
      <c r="T7" s="3">
        <f t="shared" si="9"/>
        <v>32</v>
      </c>
      <c r="U7" s="158">
        <f t="shared" si="0"/>
        <v>19.541119999999999</v>
      </c>
      <c r="V7" s="229">
        <f t="shared" si="23"/>
        <v>18.917899999999999</v>
      </c>
      <c r="W7" s="234">
        <f t="shared" si="24"/>
        <v>2.53693200938E-2</v>
      </c>
      <c r="X7" s="230">
        <f t="shared" si="28"/>
        <v>7.0617024640297916E-3</v>
      </c>
      <c r="Y7" s="230">
        <f t="shared" si="29"/>
        <v>3.6641997162320875E-3</v>
      </c>
      <c r="Z7" s="228">
        <f t="shared" si="10"/>
        <v>0.30376911963050202</v>
      </c>
      <c r="AA7" s="229">
        <f t="shared" si="11"/>
        <v>1.6421399283325013</v>
      </c>
      <c r="AB7" s="2">
        <f t="shared" si="30"/>
        <v>8.4035097698212873</v>
      </c>
      <c r="AC7" s="158">
        <f t="shared" si="12"/>
        <v>10.811763423023141</v>
      </c>
      <c r="AD7" s="175">
        <f t="shared" si="13"/>
        <v>24.326467701802066</v>
      </c>
      <c r="AE7" s="175">
        <f t="shared" si="14"/>
        <v>34.977246143206202</v>
      </c>
      <c r="AF7" s="158">
        <f t="shared" si="25"/>
        <v>3.2351102012391246</v>
      </c>
      <c r="AG7" s="151"/>
      <c r="AH7" s="228">
        <f t="shared" si="15"/>
        <v>0.88888888888888895</v>
      </c>
      <c r="AI7" s="228">
        <f t="shared" si="16"/>
        <v>32</v>
      </c>
      <c r="AJ7" s="233">
        <f t="shared" si="17"/>
        <v>20745.174417139777</v>
      </c>
      <c r="AK7" s="233">
        <f t="shared" si="18"/>
        <v>45.019909759417921</v>
      </c>
      <c r="AL7" s="233">
        <f t="shared" si="19"/>
        <v>29.87103003338143</v>
      </c>
      <c r="AM7" s="233">
        <f t="shared" si="20"/>
        <v>45.035333522613982</v>
      </c>
      <c r="AN7" s="9">
        <f t="shared" si="31"/>
        <v>29.871030033381423</v>
      </c>
      <c r="AO7" s="10">
        <f t="shared" si="21"/>
        <v>13764.57063938216</v>
      </c>
      <c r="AP7" s="230">
        <f t="shared" si="26"/>
        <v>4.8648618927728876E-3</v>
      </c>
      <c r="AQ7" s="230">
        <f t="shared" si="32"/>
        <v>1.9215995521871726E-2</v>
      </c>
      <c r="AR7" s="232">
        <f t="shared" si="27"/>
        <v>5.5004629677498183E-7</v>
      </c>
      <c r="AS7" s="228">
        <f t="shared" si="33"/>
        <v>6.8043031512504196E-2</v>
      </c>
      <c r="AT7" s="232">
        <f t="shared" si="34"/>
        <v>-1.6056523537933803E-7</v>
      </c>
      <c r="AU7" s="165">
        <f t="shared" si="35"/>
        <v>0.23309415276834272</v>
      </c>
      <c r="AX7" s="127"/>
      <c r="AY7" s="96"/>
    </row>
    <row r="8" spans="1:51" ht="13.95" customHeight="1" x14ac:dyDescent="0.3">
      <c r="A8" t="s">
        <v>228</v>
      </c>
      <c r="B8" s="176">
        <v>36</v>
      </c>
      <c r="C8" s="220">
        <f t="shared" si="1"/>
        <v>1.2777777777777777</v>
      </c>
      <c r="D8" s="73">
        <v>50</v>
      </c>
      <c r="E8" s="73">
        <v>1.343</v>
      </c>
      <c r="F8" s="73">
        <v>12.11</v>
      </c>
      <c r="G8" s="73">
        <v>2.95</v>
      </c>
      <c r="H8" s="73">
        <v>2480</v>
      </c>
      <c r="I8" s="78">
        <v>3420</v>
      </c>
      <c r="J8" s="61"/>
      <c r="K8" s="2">
        <f t="shared" si="2"/>
        <v>35.724499999999999</v>
      </c>
      <c r="L8" s="1">
        <f t="shared" si="3"/>
        <v>50</v>
      </c>
      <c r="M8" s="234">
        <f t="shared" si="4"/>
        <v>3.912023005428146</v>
      </c>
      <c r="N8" s="3">
        <f t="shared" si="5"/>
        <v>403.22580645161293</v>
      </c>
      <c r="O8" s="3">
        <f t="shared" si="5"/>
        <v>292.39766081871346</v>
      </c>
      <c r="P8" s="3">
        <f t="shared" si="6"/>
        <v>24193.548387096776</v>
      </c>
      <c r="Q8" s="3">
        <f t="shared" si="22"/>
        <v>17543.859649122809</v>
      </c>
      <c r="R8" s="3">
        <f t="shared" si="7"/>
        <v>52.503360215053767</v>
      </c>
      <c r="S8" s="3">
        <f t="shared" si="8"/>
        <v>38.072612085769983</v>
      </c>
      <c r="T8" s="3">
        <f t="shared" si="9"/>
        <v>50</v>
      </c>
      <c r="U8" s="158">
        <f t="shared" si="0"/>
        <v>35.724499999999999</v>
      </c>
      <c r="V8" s="229">
        <f t="shared" si="23"/>
        <v>35.101279999999996</v>
      </c>
      <c r="W8" s="234">
        <f t="shared" si="24"/>
        <v>4.707158870816E-2</v>
      </c>
      <c r="X8" s="230">
        <f t="shared" si="28"/>
        <v>1.0218426001003927E-2</v>
      </c>
      <c r="Y8" s="230">
        <f t="shared" si="29"/>
        <v>6.8209232532062229E-3</v>
      </c>
      <c r="Z8" s="228">
        <f t="shared" si="10"/>
        <v>0.64042745241181076</v>
      </c>
      <c r="AA8" s="229">
        <f t="shared" si="11"/>
        <v>5.0268929546262759</v>
      </c>
      <c r="AB8" s="2">
        <f t="shared" si="30"/>
        <v>14.071275888049591</v>
      </c>
      <c r="AC8" s="158">
        <f t="shared" si="12"/>
        <v>15.698555505999325</v>
      </c>
      <c r="AD8" s="175">
        <f t="shared" si="13"/>
        <v>35.321749888498474</v>
      </c>
      <c r="AE8" s="175">
        <f t="shared" si="14"/>
        <v>50.522688873520067</v>
      </c>
      <c r="AF8" s="158">
        <f t="shared" si="25"/>
        <v>3.21830176376498</v>
      </c>
      <c r="AG8" s="151"/>
      <c r="AH8" s="228">
        <f t="shared" si="15"/>
        <v>1.3888888888888888</v>
      </c>
      <c r="AI8" s="228">
        <f t="shared" si="16"/>
        <v>50</v>
      </c>
      <c r="AJ8" s="229">
        <f t="shared" si="17"/>
        <v>26164.468748432828</v>
      </c>
      <c r="AK8" s="229">
        <f t="shared" si="18"/>
        <v>56.780531138092073</v>
      </c>
      <c r="AL8" s="229">
        <f t="shared" si="19"/>
        <v>40.822505706375907</v>
      </c>
      <c r="AM8" s="229">
        <f t="shared" si="20"/>
        <v>56.78394035799041</v>
      </c>
      <c r="AN8" s="2">
        <f t="shared" si="31"/>
        <v>40.822505706375907</v>
      </c>
      <c r="AO8" s="3">
        <f t="shared" si="21"/>
        <v>18811.010629498018</v>
      </c>
      <c r="AP8" s="227">
        <f t="shared" si="26"/>
        <v>8.1306482321405645E-3</v>
      </c>
      <c r="AQ8" s="227">
        <f t="shared" si="32"/>
        <v>4.0505348738450575E-2</v>
      </c>
      <c r="AR8" s="231">
        <f t="shared" si="27"/>
        <v>6.5519783270873869E-7</v>
      </c>
      <c r="AS8" s="228">
        <f t="shared" si="33"/>
        <v>5.7122926292453143E-2</v>
      </c>
      <c r="AT8" s="232">
        <f t="shared" si="34"/>
        <v>-2.7575551318624402E-7</v>
      </c>
      <c r="AU8" s="165">
        <f t="shared" si="35"/>
        <v>0.13572463909186985</v>
      </c>
      <c r="AX8" s="127"/>
      <c r="AY8" s="96"/>
    </row>
    <row r="9" spans="1:51" ht="13.95" customHeight="1" x14ac:dyDescent="0.3">
      <c r="A9" t="s">
        <v>229</v>
      </c>
      <c r="B9" s="176">
        <v>45</v>
      </c>
      <c r="C9" s="220">
        <f t="shared" si="1"/>
        <v>1.4333333333333333</v>
      </c>
      <c r="D9" s="73">
        <v>78</v>
      </c>
      <c r="E9" s="73">
        <v>1.74</v>
      </c>
      <c r="F9" s="73">
        <v>12.04</v>
      </c>
      <c r="G9" s="73">
        <v>5.14</v>
      </c>
      <c r="H9" s="73">
        <v>1990</v>
      </c>
      <c r="I9" s="78">
        <v>2650</v>
      </c>
      <c r="J9" s="61"/>
      <c r="K9" s="2">
        <f t="shared" si="2"/>
        <v>61.88559999999999</v>
      </c>
      <c r="L9" s="1">
        <f t="shared" si="3"/>
        <v>78</v>
      </c>
      <c r="M9" s="234">
        <f t="shared" si="4"/>
        <v>4.3567088266895917</v>
      </c>
      <c r="N9" s="3">
        <f t="shared" si="5"/>
        <v>502.51256281407041</v>
      </c>
      <c r="O9" s="3">
        <f t="shared" si="5"/>
        <v>377.35849056603774</v>
      </c>
      <c r="P9" s="3">
        <f t="shared" si="6"/>
        <v>30150.753768844224</v>
      </c>
      <c r="Q9" s="3">
        <f t="shared" si="22"/>
        <v>22641.509433962266</v>
      </c>
      <c r="R9" s="3">
        <f t="shared" si="7"/>
        <v>65.431323283082079</v>
      </c>
      <c r="S9" s="3">
        <f t="shared" si="8"/>
        <v>49.135220125786169</v>
      </c>
      <c r="T9" s="3">
        <f t="shared" si="9"/>
        <v>78</v>
      </c>
      <c r="U9" s="158">
        <f t="shared" si="0"/>
        <v>61.88559999999999</v>
      </c>
      <c r="V9" s="229">
        <f t="shared" si="23"/>
        <v>61.262379999999986</v>
      </c>
      <c r="W9" s="234">
        <f t="shared" si="24"/>
        <v>8.2154199352359986E-2</v>
      </c>
      <c r="X9" s="230">
        <f t="shared" si="28"/>
        <v>1.4310549524120055E-2</v>
      </c>
      <c r="Y9" s="230">
        <f t="shared" si="29"/>
        <v>1.0913046776322351E-2</v>
      </c>
      <c r="Z9" s="228">
        <f t="shared" si="10"/>
        <v>1.2395548622912713</v>
      </c>
      <c r="AA9" s="229">
        <f t="shared" si="11"/>
        <v>13.536093859157535</v>
      </c>
      <c r="AB9" s="2">
        <f t="shared" si="30"/>
        <v>21.87276823551446</v>
      </c>
      <c r="AC9" s="158">
        <f t="shared" si="12"/>
        <v>21.84024970728051</v>
      </c>
      <c r="AD9" s="175">
        <f t="shared" si="13"/>
        <v>49.14056184138115</v>
      </c>
      <c r="AE9" s="175">
        <f t="shared" si="14"/>
        <v>65.202866395259861</v>
      </c>
      <c r="AF9" s="163">
        <f t="shared" si="25"/>
        <v>2.9854450965148214</v>
      </c>
      <c r="AG9" s="159">
        <f>$M$41/($Q$27*$Q$36*$Q$33*($AC9-$Q$46)^2/4/$AF9)/(PI()*$Q$36/60/($AC9-$Q$46))</f>
        <v>-0.92708178600141067</v>
      </c>
      <c r="AH9" s="228">
        <f t="shared" si="15"/>
        <v>2.166666666666667</v>
      </c>
      <c r="AI9" s="228">
        <f t="shared" si="16"/>
        <v>78.000000000000014</v>
      </c>
      <c r="AJ9" s="229">
        <f t="shared" si="17"/>
        <v>31564.318612288345</v>
      </c>
      <c r="AK9" s="229">
        <f t="shared" si="18"/>
        <v>68.498955321806307</v>
      </c>
      <c r="AL9" s="229">
        <f t="shared" si="19"/>
        <v>51.734687405081729</v>
      </c>
      <c r="AM9" s="229">
        <f t="shared" si="20"/>
        <v>68.490393106675569</v>
      </c>
      <c r="AN9" s="2">
        <f t="shared" si="31"/>
        <v>51.734687405081729</v>
      </c>
      <c r="AO9" s="3">
        <f t="shared" si="21"/>
        <v>23839.343956261662</v>
      </c>
      <c r="AP9" s="227">
        <f t="shared" si="26"/>
        <v>1.1951500773628936E-2</v>
      </c>
      <c r="AQ9" s="227">
        <f t="shared" si="32"/>
        <v>7.1828061369732368E-2</v>
      </c>
      <c r="AR9" s="231">
        <f t="shared" si="27"/>
        <v>7.5997208416752902E-7</v>
      </c>
      <c r="AS9" s="228">
        <f t="shared" si="33"/>
        <v>4.9247621438349994E-2</v>
      </c>
      <c r="AT9" s="232">
        <f t="shared" si="34"/>
        <v>-4.2052603937973403E-7</v>
      </c>
      <c r="AU9" s="165">
        <f t="shared" si="35"/>
        <v>8.8999999999999996E-2</v>
      </c>
      <c r="AX9" s="127"/>
      <c r="AY9" s="96"/>
    </row>
    <row r="10" spans="1:51" ht="13.95" customHeight="1" x14ac:dyDescent="0.3">
      <c r="A10" t="s">
        <v>230</v>
      </c>
      <c r="B10" s="176">
        <v>50</v>
      </c>
      <c r="C10" s="220">
        <f t="shared" si="1"/>
        <v>1.6388888888888888</v>
      </c>
      <c r="D10" s="73">
        <v>115</v>
      </c>
      <c r="E10" s="73">
        <v>2.08</v>
      </c>
      <c r="F10" s="73">
        <v>11.94</v>
      </c>
      <c r="G10" s="73">
        <v>7.9</v>
      </c>
      <c r="H10" s="73">
        <v>1700</v>
      </c>
      <c r="I10" s="78">
        <v>2175</v>
      </c>
      <c r="J10" s="61"/>
      <c r="K10" s="2">
        <f t="shared" si="2"/>
        <v>94.325999999999993</v>
      </c>
      <c r="L10" s="1">
        <f t="shared" si="3"/>
        <v>115</v>
      </c>
      <c r="M10" s="234">
        <f t="shared" si="4"/>
        <v>4.7449321283632502</v>
      </c>
      <c r="N10" s="3">
        <f t="shared" si="5"/>
        <v>588.23529411764707</v>
      </c>
      <c r="O10" s="3">
        <f t="shared" si="5"/>
        <v>459.77011494252872</v>
      </c>
      <c r="P10" s="3">
        <f t="shared" si="6"/>
        <v>35294.117647058825</v>
      </c>
      <c r="Q10" s="3">
        <f t="shared" si="22"/>
        <v>27586.206896551725</v>
      </c>
      <c r="R10" s="3">
        <f t="shared" si="7"/>
        <v>76.593137254901961</v>
      </c>
      <c r="S10" s="3">
        <f t="shared" si="8"/>
        <v>59.865900383141764</v>
      </c>
      <c r="T10" s="3">
        <f t="shared" si="9"/>
        <v>115</v>
      </c>
      <c r="U10" s="158">
        <f t="shared" si="0"/>
        <v>94.325999999999993</v>
      </c>
      <c r="V10" s="229">
        <f t="shared" si="23"/>
        <v>93.70277999999999</v>
      </c>
      <c r="W10" s="234">
        <f t="shared" si="24"/>
        <v>0.12565748944116001</v>
      </c>
      <c r="X10" s="230">
        <f t="shared" si="28"/>
        <v>1.8698672145440881E-2</v>
      </c>
      <c r="Y10" s="230">
        <f t="shared" si="29"/>
        <v>1.5301169397643177E-2</v>
      </c>
      <c r="Z10" s="228">
        <f t="shared" si="10"/>
        <v>1.9882830873636748</v>
      </c>
      <c r="AA10" s="229">
        <f t="shared" si="11"/>
        <v>27.498693141424127</v>
      </c>
      <c r="AB10" s="2">
        <f t="shared" si="30"/>
        <v>29.152824397752614</v>
      </c>
      <c r="AC10" s="158">
        <f t="shared" si="12"/>
        <v>27.660742392458292</v>
      </c>
      <c r="AD10" s="175">
        <f t="shared" si="13"/>
        <v>62.236670383031161</v>
      </c>
      <c r="AE10" s="175">
        <f t="shared" si="14"/>
        <v>79.442572849397052</v>
      </c>
      <c r="AF10" s="165">
        <f t="shared" si="25"/>
        <v>2.872033285377658</v>
      </c>
      <c r="AG10" s="151"/>
      <c r="AH10" s="228">
        <f t="shared" si="15"/>
        <v>3.1944444444444442</v>
      </c>
      <c r="AI10" s="228">
        <f t="shared" si="16"/>
        <v>114.99999999999999</v>
      </c>
      <c r="AJ10" s="229">
        <f t="shared" si="17"/>
        <v>36278.540299728964</v>
      </c>
      <c r="AK10" s="229">
        <f t="shared" si="18"/>
        <v>78.729471136564584</v>
      </c>
      <c r="AL10" s="229">
        <f t="shared" si="19"/>
        <v>61.261330722642683</v>
      </c>
      <c r="AM10" s="229">
        <f t="shared" si="20"/>
        <v>78.710457519993682</v>
      </c>
      <c r="AN10" s="2">
        <f t="shared" si="31"/>
        <v>61.261330722642697</v>
      </c>
      <c r="AO10" s="3">
        <f t="shared" si="21"/>
        <v>28229.221196993756</v>
      </c>
      <c r="AP10" s="227">
        <f t="shared" si="26"/>
        <v>1.5749784670713377E-2</v>
      </c>
      <c r="AQ10" s="227">
        <f t="shared" si="32"/>
        <v>0.10879268809758733</v>
      </c>
      <c r="AR10" s="231">
        <f t="shared" si="27"/>
        <v>8.5144296964872615E-7</v>
      </c>
      <c r="AS10" s="228">
        <f t="shared" si="33"/>
        <v>4.39569282253129E-2</v>
      </c>
      <c r="AT10" s="232">
        <f t="shared" si="34"/>
        <v>-5.5772528133527934E-7</v>
      </c>
      <c r="AU10" s="165">
        <f t="shared" si="35"/>
        <v>6.7106187862222805E-2</v>
      </c>
      <c r="AX10" s="150"/>
      <c r="AY10" s="152"/>
    </row>
    <row r="11" spans="1:51" ht="13.95" customHeight="1" x14ac:dyDescent="0.3">
      <c r="A11" t="s">
        <v>231</v>
      </c>
      <c r="B11" s="176">
        <v>52</v>
      </c>
      <c r="C11" s="220">
        <f t="shared" si="1"/>
        <v>1.7777777777777777</v>
      </c>
      <c r="D11" s="73">
        <v>140</v>
      </c>
      <c r="E11" s="73">
        <v>2.2999999999999998</v>
      </c>
      <c r="F11" s="73">
        <v>11.86</v>
      </c>
      <c r="G11" s="73">
        <v>10.14</v>
      </c>
      <c r="H11" s="73">
        <v>1550</v>
      </c>
      <c r="I11" s="78">
        <v>1955</v>
      </c>
      <c r="J11" s="61"/>
      <c r="K11" s="2">
        <f t="shared" si="2"/>
        <v>120.2604</v>
      </c>
      <c r="L11" s="1">
        <f t="shared" si="3"/>
        <v>140</v>
      </c>
      <c r="M11" s="234">
        <f t="shared" si="4"/>
        <v>4.9416424226093039</v>
      </c>
      <c r="N11" s="3">
        <f t="shared" si="5"/>
        <v>645.16129032258073</v>
      </c>
      <c r="O11" s="3">
        <f t="shared" si="5"/>
        <v>511.5089514066496</v>
      </c>
      <c r="P11" s="3">
        <f t="shared" si="6"/>
        <v>38709.677419354841</v>
      </c>
      <c r="Q11" s="3">
        <f t="shared" si="22"/>
        <v>30690.537084398977</v>
      </c>
      <c r="R11" s="3">
        <f t="shared" si="7"/>
        <v>84.005376344086031</v>
      </c>
      <c r="S11" s="3">
        <f t="shared" si="8"/>
        <v>66.60272804774084</v>
      </c>
      <c r="T11" s="3">
        <f t="shared" si="9"/>
        <v>140</v>
      </c>
      <c r="U11" s="158">
        <f t="shared" si="0"/>
        <v>120.2604</v>
      </c>
      <c r="V11" s="229">
        <f t="shared" si="23"/>
        <v>119.63718</v>
      </c>
      <c r="W11" s="234">
        <f t="shared" si="24"/>
        <v>0.16043609039796</v>
      </c>
      <c r="X11" s="230">
        <f t="shared" si="28"/>
        <v>2.1767433958227219E-2</v>
      </c>
      <c r="Y11" s="230">
        <f t="shared" si="29"/>
        <v>1.8369931210429513E-2</v>
      </c>
      <c r="Z11" s="228">
        <f t="shared" si="10"/>
        <v>2.6231908450787782</v>
      </c>
      <c r="AA11" s="229">
        <f t="shared" si="11"/>
        <v>41.671540842096242</v>
      </c>
      <c r="AB11" s="2">
        <f t="shared" si="30"/>
        <v>34.651091167247273</v>
      </c>
      <c r="AC11" s="158">
        <f t="shared" si="12"/>
        <v>31.77164247906239</v>
      </c>
      <c r="AD11" s="175">
        <f t="shared" si="13"/>
        <v>71.486195577890371</v>
      </c>
      <c r="AE11" s="175">
        <f t="shared" si="14"/>
        <v>88.382402019150192</v>
      </c>
      <c r="AF11" s="165">
        <f t="shared" si="25"/>
        <v>2.7818014783905007</v>
      </c>
      <c r="AH11" s="228">
        <f t="shared" si="15"/>
        <v>3.8888888888888888</v>
      </c>
      <c r="AI11" s="228">
        <f t="shared" si="16"/>
        <v>140</v>
      </c>
      <c r="AJ11" s="229">
        <f t="shared" si="17"/>
        <v>38667.206645308324</v>
      </c>
      <c r="AK11" s="229">
        <f t="shared" si="18"/>
        <v>83.913208865686471</v>
      </c>
      <c r="AL11" s="229">
        <f t="shared" si="19"/>
        <v>66.088420704350938</v>
      </c>
      <c r="AM11" s="229">
        <f t="shared" si="20"/>
        <v>83.88889959003555</v>
      </c>
      <c r="AN11" s="2">
        <f t="shared" si="31"/>
        <v>66.088420704350938</v>
      </c>
      <c r="AO11" s="3">
        <f t="shared" si="21"/>
        <v>30453.544260564915</v>
      </c>
      <c r="AP11" s="227">
        <f t="shared" si="26"/>
        <v>1.7838952456709595E-2</v>
      </c>
      <c r="AQ11" s="227">
        <f t="shared" si="32"/>
        <v>0.13133710224284473</v>
      </c>
      <c r="AR11" s="231">
        <f t="shared" si="27"/>
        <v>8.9779068942851048E-7</v>
      </c>
      <c r="AS11" s="228">
        <f t="shared" si="33"/>
        <v>4.1687687281119393E-2</v>
      </c>
      <c r="AT11" s="232">
        <f t="shared" si="34"/>
        <v>-6.5462642117750578E-7</v>
      </c>
      <c r="AU11" s="165">
        <f t="shared" si="35"/>
        <v>5.7172787858875355E-2</v>
      </c>
      <c r="AX11" s="127"/>
      <c r="AY11" s="96"/>
    </row>
    <row r="12" spans="1:51" ht="13.95" customHeight="1" x14ac:dyDescent="0.3">
      <c r="A12" t="s">
        <v>232</v>
      </c>
      <c r="B12" s="176">
        <v>55</v>
      </c>
      <c r="C12" s="220">
        <f t="shared" si="1"/>
        <v>1.8611111111111112</v>
      </c>
      <c r="D12" s="73">
        <v>155</v>
      </c>
      <c r="E12" s="73">
        <v>2.71</v>
      </c>
      <c r="F12" s="73">
        <v>11.76</v>
      </c>
      <c r="G12" s="73">
        <v>12.23</v>
      </c>
      <c r="H12" s="73">
        <v>1430</v>
      </c>
      <c r="I12" s="78">
        <v>1800</v>
      </c>
      <c r="J12" s="61"/>
      <c r="K12" s="2">
        <f t="shared" si="2"/>
        <v>143.82480000000001</v>
      </c>
      <c r="L12" s="1">
        <f t="shared" si="3"/>
        <v>155</v>
      </c>
      <c r="M12" s="234">
        <f t="shared" si="4"/>
        <v>5.0434251169192468</v>
      </c>
      <c r="N12" s="3">
        <f t="shared" si="5"/>
        <v>699.30069930069931</v>
      </c>
      <c r="O12" s="3">
        <f t="shared" si="5"/>
        <v>555.55555555555554</v>
      </c>
      <c r="P12" s="3">
        <f t="shared" si="6"/>
        <v>41958.041958041955</v>
      </c>
      <c r="Q12" s="3">
        <f t="shared" si="22"/>
        <v>33333.333333333336</v>
      </c>
      <c r="R12" s="3">
        <f t="shared" si="7"/>
        <v>91.054778554778551</v>
      </c>
      <c r="S12" s="3">
        <f t="shared" si="8"/>
        <v>72.337962962962962</v>
      </c>
      <c r="T12" s="3">
        <f t="shared" si="9"/>
        <v>155</v>
      </c>
      <c r="U12" s="158">
        <f t="shared" si="0"/>
        <v>143.82480000000001</v>
      </c>
      <c r="V12" s="229">
        <f t="shared" si="23"/>
        <v>143.20158000000001</v>
      </c>
      <c r="W12" s="234">
        <f t="shared" si="24"/>
        <v>0.19203646921476003</v>
      </c>
      <c r="X12" s="230">
        <f t="shared" si="28"/>
        <v>2.4037716948862753E-2</v>
      </c>
      <c r="Y12" s="230">
        <f t="shared" si="29"/>
        <v>2.0640214201065051E-2</v>
      </c>
      <c r="Z12" s="228">
        <f t="shared" si="10"/>
        <v>3.3405414897843171</v>
      </c>
      <c r="AA12" s="229">
        <f t="shared" si="11"/>
        <v>59.885272810955158</v>
      </c>
      <c r="AB12" s="2">
        <f t="shared" si="30"/>
        <v>41.637654153494495</v>
      </c>
      <c r="AC12" s="158">
        <f t="shared" si="12"/>
        <v>35.853632109698282</v>
      </c>
      <c r="AD12" s="175">
        <f t="shared" si="13"/>
        <v>80.670672246821127</v>
      </c>
      <c r="AE12" s="175">
        <f t="shared" si="14"/>
        <v>95.993108859688135</v>
      </c>
      <c r="AF12" s="165">
        <f t="shared" si="25"/>
        <v>2.677360791955087</v>
      </c>
      <c r="AG12" s="151"/>
      <c r="AH12" s="228">
        <f t="shared" si="15"/>
        <v>4.3055555555555554</v>
      </c>
      <c r="AI12" s="228">
        <f t="shared" si="16"/>
        <v>155</v>
      </c>
      <c r="AJ12" s="229">
        <f t="shared" si="17"/>
        <v>39903.160754331417</v>
      </c>
      <c r="AK12" s="229">
        <f t="shared" si="18"/>
        <v>86.595400942559493</v>
      </c>
      <c r="AL12" s="229">
        <f t="shared" si="19"/>
        <v>68.586074555654932</v>
      </c>
      <c r="AM12" s="229">
        <f t="shared" si="20"/>
        <v>86.568351564000523</v>
      </c>
      <c r="AN12" s="2">
        <f t="shared" si="31"/>
        <v>68.586074555654932</v>
      </c>
      <c r="AO12" s="3">
        <f t="shared" si="21"/>
        <v>31604.463155245794</v>
      </c>
      <c r="AP12" s="227">
        <f t="shared" si="26"/>
        <v>1.8963400526986033E-2</v>
      </c>
      <c r="AQ12" s="227">
        <f t="shared" si="32"/>
        <v>0.14407837389129793</v>
      </c>
      <c r="AR12" s="231">
        <f t="shared" si="27"/>
        <v>9.2177212777869636E-7</v>
      </c>
      <c r="AS12" s="228">
        <f t="shared" si="33"/>
        <v>4.060311260982491E-2</v>
      </c>
      <c r="AT12" s="232">
        <f t="shared" si="34"/>
        <v>-7.5084609076318016E-7</v>
      </c>
      <c r="AU12" s="165">
        <f t="shared" si="35"/>
        <v>4.9846190804236197E-2</v>
      </c>
      <c r="AX12" s="127"/>
      <c r="AY12" s="96"/>
    </row>
    <row r="13" spans="1:51" ht="13.95" customHeight="1" thickBot="1" x14ac:dyDescent="0.35">
      <c r="A13" t="s">
        <v>233</v>
      </c>
      <c r="B13" t="s">
        <v>234</v>
      </c>
      <c r="C13" s="221">
        <f t="shared" si="1"/>
        <v>2</v>
      </c>
      <c r="D13" s="80">
        <v>180</v>
      </c>
      <c r="E13" s="80">
        <v>3.57</v>
      </c>
      <c r="F13" s="80">
        <v>11.66</v>
      </c>
      <c r="G13" s="80">
        <v>14.37</v>
      </c>
      <c r="H13" s="80">
        <v>1350</v>
      </c>
      <c r="I13" s="81">
        <v>1700</v>
      </c>
      <c r="J13" s="61"/>
      <c r="K13" s="2">
        <f t="shared" si="2"/>
        <v>167.55419999999998</v>
      </c>
      <c r="L13" s="1">
        <f t="shared" si="3"/>
        <v>180</v>
      </c>
      <c r="M13" s="234">
        <f t="shared" si="4"/>
        <v>5.1929568508902104</v>
      </c>
      <c r="N13" s="3">
        <f t="shared" si="5"/>
        <v>740.74074074074076</v>
      </c>
      <c r="O13" s="3">
        <f t="shared" si="5"/>
        <v>588.23529411764707</v>
      </c>
      <c r="P13" s="3">
        <f t="shared" si="6"/>
        <v>44444.444444444445</v>
      </c>
      <c r="Q13" s="3">
        <f t="shared" si="22"/>
        <v>35294.117647058825</v>
      </c>
      <c r="R13" s="3">
        <f t="shared" si="7"/>
        <v>96.450617283950621</v>
      </c>
      <c r="S13" s="3">
        <f t="shared" si="8"/>
        <v>76.593137254901961</v>
      </c>
      <c r="T13" s="3">
        <f t="shared" si="9"/>
        <v>180</v>
      </c>
      <c r="U13" s="158">
        <f t="shared" si="0"/>
        <v>167.55419999999998</v>
      </c>
      <c r="V13" s="229">
        <f t="shared" si="23"/>
        <v>166.93097999999998</v>
      </c>
      <c r="W13" s="234">
        <f t="shared" si="24"/>
        <v>0.22385811666156</v>
      </c>
      <c r="X13" s="230">
        <f t="shared" si="28"/>
        <v>2.6453313645896544E-2</v>
      </c>
      <c r="Y13" s="230">
        <f t="shared" si="29"/>
        <v>2.3055810898098841E-2</v>
      </c>
      <c r="Z13" s="163">
        <f>C33/0.224</f>
        <v>4.4249528005034611</v>
      </c>
      <c r="AA13" s="229">
        <f t="shared" si="11"/>
        <v>91.297248929319878</v>
      </c>
      <c r="AB13" s="2">
        <f>AA13/U13*100</f>
        <v>54.488188854304987</v>
      </c>
      <c r="AC13" s="158">
        <f t="shared" si="12"/>
        <v>41.264733453849395</v>
      </c>
      <c r="AD13" s="175">
        <f>AC13*1/1.6/1000*3600</f>
        <v>92.845650271161119</v>
      </c>
      <c r="AE13" s="175">
        <f t="shared" si="14"/>
        <v>101.6397623220227</v>
      </c>
      <c r="AF13" s="165">
        <f t="shared" si="25"/>
        <v>2.4631144760863881</v>
      </c>
      <c r="AG13" s="151"/>
      <c r="AH13" s="228">
        <f t="shared" si="15"/>
        <v>5</v>
      </c>
      <c r="AI13" s="228">
        <f t="shared" si="16"/>
        <v>180</v>
      </c>
      <c r="AJ13" s="229">
        <f t="shared" si="17"/>
        <v>41718.934666426678</v>
      </c>
      <c r="AK13" s="229">
        <f t="shared" si="18"/>
        <v>90.535882522627332</v>
      </c>
      <c r="AL13" s="229">
        <f t="shared" si="19"/>
        <v>72.255445992290788</v>
      </c>
      <c r="AM13" s="229">
        <f t="shared" si="20"/>
        <v>90.504807584105748</v>
      </c>
      <c r="AN13" s="2">
        <f t="shared" si="31"/>
        <v>72.255445992290788</v>
      </c>
      <c r="AO13" s="3">
        <f t="shared" si="21"/>
        <v>33295.309513247594</v>
      </c>
      <c r="AP13" s="227">
        <f t="shared" si="26"/>
        <v>2.0669116788051091E-2</v>
      </c>
      <c r="AQ13" s="227">
        <f t="shared" si="32"/>
        <v>0.16418384099265923</v>
      </c>
      <c r="AR13" s="231">
        <f t="shared" si="27"/>
        <v>9.5700391333844219E-7</v>
      </c>
      <c r="AS13" s="228">
        <f t="shared" si="33"/>
        <v>3.9108322320475633E-2</v>
      </c>
      <c r="AT13" s="232">
        <f t="shared" si="34"/>
        <v>-8.7839525931599473E-7</v>
      </c>
      <c r="AU13" s="165">
        <f t="shared" si="35"/>
        <v>4.2608173379647493E-2</v>
      </c>
      <c r="AX13" s="127"/>
      <c r="AY13" s="96"/>
    </row>
    <row r="14" spans="1:51" ht="13.95" customHeight="1" x14ac:dyDescent="0.3">
      <c r="AE14" s="45"/>
      <c r="AF14" s="30"/>
      <c r="AV14" s="146"/>
      <c r="AW14" s="95"/>
      <c r="AX14" s="128"/>
      <c r="AY14" s="96"/>
    </row>
    <row r="15" spans="1:51" x14ac:dyDescent="0.3">
      <c r="A15" t="s">
        <v>235</v>
      </c>
      <c r="AE15" s="194"/>
      <c r="AF15" s="30"/>
    </row>
    <row r="16" spans="1:51" ht="13.95" customHeight="1" x14ac:dyDescent="0.3">
      <c r="A16">
        <v>1</v>
      </c>
      <c r="C16" t="s">
        <v>236</v>
      </c>
      <c r="I16" s="3" t="s">
        <v>28</v>
      </c>
      <c r="J16" s="11" t="s">
        <v>29</v>
      </c>
      <c r="K16" s="12"/>
      <c r="L16" s="12"/>
      <c r="AE16" s="45"/>
      <c r="AF16" s="30"/>
    </row>
    <row r="17" spans="1:48" ht="13.95" customHeight="1" x14ac:dyDescent="0.3">
      <c r="A17">
        <v>2</v>
      </c>
      <c r="C17" t="s">
        <v>237</v>
      </c>
      <c r="I17" s="3"/>
      <c r="J17" s="13" t="s">
        <v>276</v>
      </c>
      <c r="K17" s="14"/>
      <c r="L17" s="14"/>
      <c r="AE17" s="149"/>
      <c r="AF17" s="30"/>
    </row>
    <row r="18" spans="1:48" ht="13.95" customHeight="1" x14ac:dyDescent="0.3">
      <c r="A18">
        <v>3</v>
      </c>
      <c r="C18" t="s">
        <v>239</v>
      </c>
      <c r="I18" s="3"/>
      <c r="J18" s="15" t="s">
        <v>274</v>
      </c>
      <c r="K18" s="16"/>
      <c r="L18" s="16"/>
      <c r="AE18" s="149"/>
      <c r="AF18" s="30"/>
    </row>
    <row r="19" spans="1:48" ht="13.95" customHeight="1" x14ac:dyDescent="0.3">
      <c r="A19">
        <v>4</v>
      </c>
      <c r="C19" t="s">
        <v>238</v>
      </c>
      <c r="J19" s="288" t="s">
        <v>297</v>
      </c>
      <c r="K19" s="287"/>
      <c r="L19" s="287"/>
      <c r="M19" s="287"/>
      <c r="N19" s="287"/>
      <c r="O19" s="289"/>
      <c r="AE19" s="149"/>
      <c r="AF19" s="30"/>
      <c r="AN19" s="45"/>
    </row>
    <row r="20" spans="1:48" ht="13.95" customHeight="1" x14ac:dyDescent="0.3">
      <c r="A20">
        <v>5</v>
      </c>
      <c r="C20" t="s">
        <v>240</v>
      </c>
      <c r="O20" s="188"/>
      <c r="AE20" s="149"/>
      <c r="AF20" s="30"/>
      <c r="AN20" s="45"/>
      <c r="AO20" s="5"/>
      <c r="AU20" s="5"/>
      <c r="AV20" s="5"/>
    </row>
    <row r="21" spans="1:48" ht="13.95" customHeight="1" thickBot="1" x14ac:dyDescent="0.35">
      <c r="A21">
        <v>6</v>
      </c>
      <c r="C21" t="s">
        <v>241</v>
      </c>
      <c r="O21" s="188"/>
      <c r="AN21" s="45"/>
      <c r="AO21" s="5"/>
      <c r="AV21" s="5"/>
    </row>
    <row r="22" spans="1:48" ht="13.95" customHeight="1" x14ac:dyDescent="0.3">
      <c r="A22">
        <v>7</v>
      </c>
      <c r="C22" t="s">
        <v>243</v>
      </c>
      <c r="O22" s="188"/>
      <c r="P22" s="214" t="s">
        <v>270</v>
      </c>
      <c r="Q22" s="64"/>
      <c r="R22" s="64"/>
      <c r="S22" s="64"/>
      <c r="T22" s="29"/>
      <c r="AN22" s="45"/>
      <c r="AO22" s="5"/>
      <c r="AV22" s="5"/>
    </row>
    <row r="23" spans="1:48" ht="13.95" customHeight="1" x14ac:dyDescent="0.3">
      <c r="A23" s="45">
        <v>8</v>
      </c>
      <c r="B23" s="45"/>
      <c r="C23" s="45" t="s">
        <v>275</v>
      </c>
      <c r="D23" s="61"/>
      <c r="E23" s="61"/>
      <c r="F23" s="61"/>
      <c r="G23" s="61"/>
      <c r="O23" s="188"/>
      <c r="P23" s="268" t="s">
        <v>15</v>
      </c>
      <c r="Q23" s="269">
        <f>C45</f>
        <v>5</v>
      </c>
      <c r="R23" s="45"/>
      <c r="S23" s="30"/>
      <c r="T23" s="31" t="s">
        <v>265</v>
      </c>
      <c r="AN23" s="45"/>
      <c r="AO23" s="5"/>
      <c r="AV23" s="5"/>
    </row>
    <row r="24" spans="1:48" ht="13.95" customHeight="1" thickBot="1" x14ac:dyDescent="0.35">
      <c r="H24" s="61"/>
      <c r="I24" s="61"/>
      <c r="J24" s="61"/>
      <c r="K24" s="187"/>
      <c r="L24" s="61"/>
      <c r="M24" s="61"/>
      <c r="N24" s="188"/>
      <c r="O24" s="188"/>
      <c r="P24" s="268" t="s">
        <v>17</v>
      </c>
      <c r="Q24" s="269">
        <f>C37</f>
        <v>5</v>
      </c>
      <c r="R24" s="30"/>
      <c r="S24" s="30"/>
      <c r="T24" s="31" t="s">
        <v>265</v>
      </c>
      <c r="AN24" s="45"/>
      <c r="AO24" s="5"/>
      <c r="AV24" s="5"/>
    </row>
    <row r="25" spans="1:48" ht="13.95" customHeight="1" x14ac:dyDescent="0.3">
      <c r="A25" t="s">
        <v>32</v>
      </c>
      <c r="B25" s="17" t="s">
        <v>3</v>
      </c>
      <c r="C25" s="18">
        <v>1</v>
      </c>
      <c r="D25"/>
      <c r="F25"/>
      <c r="G25" s="61"/>
      <c r="I25" s="17" t="s">
        <v>134</v>
      </c>
      <c r="J25" s="28"/>
      <c r="K25" s="28"/>
      <c r="L25" s="29"/>
      <c r="M25" s="61"/>
      <c r="N25" s="188"/>
      <c r="O25" s="188"/>
      <c r="P25" s="268" t="s">
        <v>16</v>
      </c>
      <c r="Q25" s="269">
        <f>C36</f>
        <v>0</v>
      </c>
      <c r="R25" s="30"/>
      <c r="S25" s="30"/>
      <c r="T25" s="31" t="s">
        <v>265</v>
      </c>
      <c r="AN25" s="45"/>
      <c r="AO25" s="5"/>
      <c r="AV25" s="5"/>
    </row>
    <row r="26" spans="1:48" ht="13.95" customHeight="1" x14ac:dyDescent="0.3">
      <c r="A26" s="189"/>
      <c r="B26" s="19" t="s">
        <v>4</v>
      </c>
      <c r="C26" s="20">
        <v>4800</v>
      </c>
      <c r="D26" t="s">
        <v>77</v>
      </c>
      <c r="F26"/>
      <c r="G26" s="61"/>
      <c r="I26" s="19" t="s">
        <v>128</v>
      </c>
      <c r="J26" s="208">
        <v>25</v>
      </c>
      <c r="K26" s="30" t="s">
        <v>93</v>
      </c>
      <c r="L26" s="31"/>
      <c r="M26" s="61"/>
      <c r="N26" s="188"/>
      <c r="O26" s="188"/>
      <c r="P26" s="268" t="s">
        <v>14</v>
      </c>
      <c r="Q26" s="269">
        <f>C44</f>
        <v>0</v>
      </c>
      <c r="R26" s="45"/>
      <c r="S26" s="30"/>
      <c r="T26" s="31" t="s">
        <v>265</v>
      </c>
      <c r="AN26" s="45"/>
      <c r="AO26" s="5"/>
      <c r="AP26" s="5"/>
    </row>
    <row r="27" spans="1:48" ht="13.95" customHeight="1" x14ac:dyDescent="0.3">
      <c r="A27" s="189"/>
      <c r="B27" s="19" t="s">
        <v>5</v>
      </c>
      <c r="C27" s="20">
        <v>12</v>
      </c>
      <c r="D27"/>
      <c r="F27"/>
      <c r="G27" s="61"/>
      <c r="I27" s="19" t="s">
        <v>144</v>
      </c>
      <c r="J27" s="208">
        <v>2.1797</v>
      </c>
      <c r="K27" s="30" t="s">
        <v>94</v>
      </c>
      <c r="L27" s="31"/>
      <c r="M27" s="61"/>
      <c r="N27" s="188"/>
      <c r="O27" s="188"/>
      <c r="P27" s="268" t="s">
        <v>177</v>
      </c>
      <c r="Q27" s="270">
        <f>$C$42</f>
        <v>1.2250000000000001</v>
      </c>
      <c r="R27" s="30"/>
      <c r="S27" s="30"/>
      <c r="T27" s="31" t="s">
        <v>161</v>
      </c>
      <c r="AN27" s="45"/>
      <c r="AO27" s="5"/>
      <c r="AP27" s="5"/>
    </row>
    <row r="28" spans="1:48" ht="13.95" customHeight="1" x14ac:dyDescent="0.3">
      <c r="A28" s="189"/>
      <c r="B28" s="57" t="s">
        <v>69</v>
      </c>
      <c r="C28" s="20">
        <v>3.9899999999999998E-2</v>
      </c>
      <c r="D28" t="s">
        <v>76</v>
      </c>
      <c r="F28"/>
      <c r="G28" s="6"/>
      <c r="I28" s="19" t="s">
        <v>129</v>
      </c>
      <c r="J28" s="44">
        <f>($J$26/25.4)^2*$J$27/1000*2.2/3</f>
        <v>1.5484983053299442E-3</v>
      </c>
      <c r="K28" s="30" t="s">
        <v>96</v>
      </c>
      <c r="L28" s="177" t="s">
        <v>146</v>
      </c>
      <c r="N28" s="3"/>
      <c r="O28" s="3"/>
      <c r="P28" s="215"/>
      <c r="Q28" s="213"/>
      <c r="R28" s="213"/>
      <c r="S28" s="213"/>
      <c r="T28" s="216"/>
      <c r="AN28" s="45"/>
      <c r="AO28" s="5"/>
      <c r="AP28" s="5"/>
      <c r="AQ28" s="5"/>
      <c r="AR28" s="5"/>
      <c r="AS28" s="151"/>
      <c r="AT28" s="153"/>
      <c r="AU28" s="5"/>
    </row>
    <row r="29" spans="1:48" ht="13.95" customHeight="1" x14ac:dyDescent="0.3">
      <c r="A29" s="189"/>
      <c r="B29" s="57" t="s">
        <v>70</v>
      </c>
      <c r="C29" s="129">
        <v>4.1999999999999996E-6</v>
      </c>
      <c r="D29" t="s">
        <v>75</v>
      </c>
      <c r="F29"/>
      <c r="G29" s="6"/>
      <c r="I29" s="19" t="s">
        <v>141</v>
      </c>
      <c r="J29" s="210">
        <f>3/8/2*25.4</f>
        <v>4.7624999999999993</v>
      </c>
      <c r="K29" s="30" t="s">
        <v>93</v>
      </c>
      <c r="L29" s="31" t="s">
        <v>142</v>
      </c>
      <c r="N29" s="3"/>
      <c r="O29" s="3"/>
      <c r="P29" s="217" t="s">
        <v>271</v>
      </c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5" customHeight="1" x14ac:dyDescent="0.3">
      <c r="A30" s="189"/>
      <c r="B30" s="19" t="s">
        <v>255</v>
      </c>
      <c r="C30" s="20">
        <v>240</v>
      </c>
      <c r="D30" t="s">
        <v>256</v>
      </c>
      <c r="F30"/>
      <c r="G30" s="6"/>
      <c r="I30" s="19" t="s">
        <v>143</v>
      </c>
      <c r="J30" s="210">
        <f>3/4*25.4</f>
        <v>19.049999999999997</v>
      </c>
      <c r="K30" s="30" t="s">
        <v>93</v>
      </c>
      <c r="L30" s="31" t="s">
        <v>142</v>
      </c>
      <c r="N30" s="3"/>
      <c r="O30" s="3"/>
      <c r="P30" s="268" t="s">
        <v>27</v>
      </c>
      <c r="Q30" s="269">
        <f>$C$26*$C$27/$B$49/100</f>
        <v>460.8</v>
      </c>
      <c r="R30" s="30"/>
      <c r="S30" s="30"/>
      <c r="T30" s="31" t="s">
        <v>266</v>
      </c>
      <c r="AN30" s="45"/>
      <c r="AO30" s="5"/>
    </row>
    <row r="31" spans="1:48" x14ac:dyDescent="0.3">
      <c r="A31" s="189"/>
      <c r="B31" s="57" t="s">
        <v>71</v>
      </c>
      <c r="C31" s="130">
        <f>C26*2*PI()/60</f>
        <v>502.6548245743669</v>
      </c>
      <c r="D31" t="s">
        <v>73</v>
      </c>
      <c r="F31"/>
      <c r="G31" s="6"/>
      <c r="I31" s="19" t="s">
        <v>145</v>
      </c>
      <c r="J31" s="44">
        <f>PI()*($J$29/25.4)^2/4*3/4*0.3</f>
        <v>6.2126221909368446E-3</v>
      </c>
      <c r="K31" s="30" t="s">
        <v>148</v>
      </c>
      <c r="L31" s="31" t="s">
        <v>142</v>
      </c>
      <c r="N31" s="3"/>
      <c r="O31" s="3"/>
      <c r="P31" s="268" t="s">
        <v>18</v>
      </c>
      <c r="Q31" s="269">
        <f>C47</f>
        <v>180</v>
      </c>
      <c r="R31" s="30"/>
      <c r="S31" s="30"/>
      <c r="T31" s="31" t="s">
        <v>175</v>
      </c>
    </row>
    <row r="32" spans="1:48" ht="13.95" customHeight="1" x14ac:dyDescent="0.3">
      <c r="A32" s="189"/>
      <c r="B32" s="57" t="s">
        <v>72</v>
      </c>
      <c r="C32" s="132">
        <f>7/C31</f>
        <v>1.3926057520540842E-2</v>
      </c>
      <c r="D32" t="s">
        <v>74</v>
      </c>
      <c r="F32"/>
      <c r="G32" s="6"/>
      <c r="I32" s="19" t="s">
        <v>135</v>
      </c>
      <c r="J32" s="44">
        <f>($J$29/25.4)^2*$J$31/2</f>
        <v>1.0920624945006168E-4</v>
      </c>
      <c r="K32" s="30" t="s">
        <v>96</v>
      </c>
      <c r="L32" s="31" t="s">
        <v>147</v>
      </c>
      <c r="N32" s="3"/>
      <c r="O32" s="3"/>
      <c r="P32" s="268" t="s">
        <v>13</v>
      </c>
      <c r="Q32" s="269">
        <f>C46</f>
        <v>0</v>
      </c>
      <c r="R32" s="30"/>
      <c r="S32" s="30"/>
      <c r="T32" s="31" t="s">
        <v>175</v>
      </c>
    </row>
    <row r="33" spans="1:50" ht="13.95" customHeight="1" thickBot="1" x14ac:dyDescent="0.35">
      <c r="B33" s="131" t="s">
        <v>257</v>
      </c>
      <c r="C33" s="204">
        <f>450/454</f>
        <v>0.99118942731277537</v>
      </c>
      <c r="D33" s="6" t="s">
        <v>155</v>
      </c>
      <c r="F33" s="6"/>
      <c r="G33" s="6"/>
      <c r="I33" s="19" t="s">
        <v>95</v>
      </c>
      <c r="J33" s="44">
        <f>$J$28+$J$32</f>
        <v>1.6577045547800059E-3</v>
      </c>
      <c r="K33" s="30" t="s">
        <v>96</v>
      </c>
      <c r="L33" s="31"/>
      <c r="N33" s="3"/>
      <c r="O33" s="3"/>
      <c r="P33" s="268" t="s">
        <v>178</v>
      </c>
      <c r="Q33" s="270">
        <f>(C39^2-C40^2)*PI()/4/1000^2</f>
        <v>2.1213604393365078E-3</v>
      </c>
      <c r="R33" s="30"/>
      <c r="S33" s="30"/>
      <c r="T33" s="31" t="s">
        <v>264</v>
      </c>
    </row>
    <row r="34" spans="1:50" ht="15" customHeight="1" thickBot="1" x14ac:dyDescent="0.35">
      <c r="D34"/>
      <c r="F34" s="6"/>
      <c r="G34" s="6"/>
      <c r="I34" s="19" t="s">
        <v>95</v>
      </c>
      <c r="J34" s="44">
        <f>$J$33/144</f>
        <v>1.1511837185972264E-5</v>
      </c>
      <c r="K34" s="30" t="s">
        <v>97</v>
      </c>
      <c r="L34" s="31"/>
      <c r="N34" s="3"/>
      <c r="O34" s="3"/>
      <c r="P34" s="268" t="s">
        <v>183</v>
      </c>
      <c r="Q34" s="271">
        <f>1/1.3556</f>
        <v>0.73768073177928595</v>
      </c>
      <c r="R34" s="30"/>
      <c r="S34" s="30"/>
      <c r="T34" s="31" t="s">
        <v>269</v>
      </c>
    </row>
    <row r="35" spans="1:50" ht="15" customHeight="1" thickBot="1" x14ac:dyDescent="0.35">
      <c r="A35" t="s">
        <v>33</v>
      </c>
      <c r="B35" s="17"/>
      <c r="C35" s="222" t="s">
        <v>22</v>
      </c>
      <c r="D35"/>
      <c r="F35" s="6"/>
      <c r="G35" s="6"/>
      <c r="I35" s="21" t="s">
        <v>95</v>
      </c>
      <c r="J35" s="108">
        <f>$J$34/2048.5*6.66</f>
        <v>3.7426817504796325E-8</v>
      </c>
      <c r="K35" s="32" t="s">
        <v>98</v>
      </c>
      <c r="L35" s="33"/>
      <c r="N35" s="3"/>
      <c r="O35" s="3"/>
      <c r="P35" s="268" t="s">
        <v>184</v>
      </c>
      <c r="Q35" s="272">
        <f>$J$34/2048.5*6.66</f>
        <v>3.7426817504796325E-8</v>
      </c>
      <c r="R35" s="30"/>
      <c r="S35" s="30"/>
      <c r="T35" s="31" t="s">
        <v>80</v>
      </c>
    </row>
    <row r="36" spans="1:50" ht="15" customHeight="1" x14ac:dyDescent="0.3">
      <c r="B36" s="24" t="s">
        <v>16</v>
      </c>
      <c r="C36" s="203">
        <v>0</v>
      </c>
      <c r="D36"/>
      <c r="F36" s="6"/>
      <c r="G36" s="6"/>
      <c r="I36" s="30"/>
      <c r="J36" s="45"/>
      <c r="K36" s="30"/>
      <c r="L36" s="30"/>
      <c r="N36" s="3"/>
      <c r="O36" s="3"/>
      <c r="P36" s="268" t="s">
        <v>199</v>
      </c>
      <c r="Q36" s="270">
        <f>C39/1000</f>
        <v>5.5E-2</v>
      </c>
      <c r="R36" s="30"/>
      <c r="S36" s="30"/>
      <c r="T36" s="31" t="s">
        <v>262</v>
      </c>
    </row>
    <row r="37" spans="1:50" ht="15" thickBot="1" x14ac:dyDescent="0.35">
      <c r="B37" s="26" t="s">
        <v>17</v>
      </c>
      <c r="C37" s="200">
        <v>5</v>
      </c>
      <c r="I37" s="208" t="s">
        <v>290</v>
      </c>
      <c r="J37" s="208"/>
      <c r="K37" s="208"/>
      <c r="L37" s="208"/>
      <c r="N37" s="3"/>
      <c r="O37" s="3"/>
      <c r="P37" s="268" t="s">
        <v>218</v>
      </c>
      <c r="Q37" s="271">
        <f>$Z$13</f>
        <v>4.4249528005034611</v>
      </c>
      <c r="R37" s="30"/>
      <c r="S37" s="30"/>
      <c r="T37" s="31" t="s">
        <v>158</v>
      </c>
      <c r="AI37" s="5"/>
    </row>
    <row r="38" spans="1:50" ht="43.8" thickBot="1" x14ac:dyDescent="0.35">
      <c r="I38" s="193" t="s">
        <v>100</v>
      </c>
      <c r="J38" s="236" t="s">
        <v>294</v>
      </c>
      <c r="K38" s="292" t="s">
        <v>299</v>
      </c>
      <c r="L38" s="263" t="s">
        <v>272</v>
      </c>
      <c r="M38" s="264" t="s">
        <v>273</v>
      </c>
      <c r="P38" s="215"/>
      <c r="Q38" s="213"/>
      <c r="R38" s="213"/>
      <c r="S38" s="213"/>
      <c r="T38" s="216"/>
      <c r="AI38" s="5"/>
    </row>
    <row r="39" spans="1:50" ht="18" x14ac:dyDescent="0.35">
      <c r="A39" s="3" t="s">
        <v>246</v>
      </c>
      <c r="B39" s="17" t="s">
        <v>247</v>
      </c>
      <c r="C39" s="199">
        <v>55</v>
      </c>
      <c r="D39" t="s">
        <v>93</v>
      </c>
      <c r="E39"/>
      <c r="I39" s="248">
        <f>(K39-K41)/(K40-K41)*(I40-I41)+I41</f>
        <v>73.428571428571431</v>
      </c>
      <c r="J39" s="253">
        <f t="shared" ref="J39:J44" si="36">(I39*$Q$30*$R$43+$Q$43)/$Q$30</f>
        <v>91.763321955226317</v>
      </c>
      <c r="K39" s="242">
        <v>0</v>
      </c>
      <c r="L39" s="213"/>
      <c r="M39" s="216"/>
      <c r="P39" s="226" t="s">
        <v>289</v>
      </c>
      <c r="Q39" s="58"/>
      <c r="R39" s="58"/>
      <c r="S39" s="58"/>
      <c r="T39" s="25"/>
      <c r="AI39" s="5"/>
    </row>
    <row r="40" spans="1:50" ht="15" thickBot="1" x14ac:dyDescent="0.35">
      <c r="B40" s="21" t="s">
        <v>248</v>
      </c>
      <c r="C40" s="200">
        <v>18</v>
      </c>
      <c r="D40" t="s">
        <v>93</v>
      </c>
      <c r="E40"/>
      <c r="I40" s="241">
        <v>62</v>
      </c>
      <c r="J40" s="253">
        <f t="shared" si="36"/>
        <v>79.502892729656168</v>
      </c>
      <c r="K40" s="243">
        <v>0.04</v>
      </c>
      <c r="L40" s="249"/>
      <c r="M40" s="250"/>
      <c r="P40" s="65" t="s">
        <v>121</v>
      </c>
      <c r="Q40" s="205">
        <f>INDEX(LINEST($Q$4:$Q$13,$E$4:$E$13^{1,2},FALSE,FALSE),3)</f>
        <v>0</v>
      </c>
      <c r="R40" s="67">
        <f>INDEX(LINEST($Q$5:$Q$13,$E$5:$E$13^{1,2},FALSE,FALSE),2)</f>
        <v>15929.364786667767</v>
      </c>
      <c r="S40" s="67">
        <f>INDEX(LINEST($Q$5:$Q$13,$E$5:$E$13^{1,2},FALSE,FALSE),1)</f>
        <v>-1553.3720910828754</v>
      </c>
      <c r="T40" s="31" t="s">
        <v>267</v>
      </c>
      <c r="AI40" s="5"/>
    </row>
    <row r="41" spans="1:50" ht="15" thickBot="1" x14ac:dyDescent="0.35">
      <c r="B41" s="30"/>
      <c r="C41" s="201"/>
      <c r="D41"/>
      <c r="E41"/>
      <c r="H41" s="10"/>
      <c r="I41" s="241">
        <v>48</v>
      </c>
      <c r="J41" s="253">
        <f t="shared" si="36"/>
        <v>64.483866928332702</v>
      </c>
      <c r="K41" s="243">
        <v>8.8999999999999996E-2</v>
      </c>
      <c r="L41" s="251">
        <f>$Q$35/K41</f>
        <v>4.2052603937973403E-7</v>
      </c>
      <c r="M41" s="252">
        <f>-L41/$Q$34</f>
        <v>-5.7006509898316742E-7</v>
      </c>
      <c r="N41" s="265" t="s">
        <v>291</v>
      </c>
      <c r="P41" s="65" t="s">
        <v>21</v>
      </c>
      <c r="Q41" s="205">
        <f>INDEX(LINEST($P$3:$P$13,$M$3:$M$13),2)</f>
        <v>-21339.489964118849</v>
      </c>
      <c r="R41" s="67">
        <f>INDEX(LINEST($P$3:$P$13,$M$3:$M$13),1)</f>
        <v>12143.067320063643</v>
      </c>
      <c r="S41" s="30"/>
      <c r="T41" s="31" t="s">
        <v>267</v>
      </c>
      <c r="AI41" s="5"/>
      <c r="AW41" s="151"/>
      <c r="AX41" s="164"/>
    </row>
    <row r="42" spans="1:50" ht="15" thickBot="1" x14ac:dyDescent="0.35">
      <c r="A42" s="10" t="s">
        <v>249</v>
      </c>
      <c r="B42" s="197" t="s">
        <v>250</v>
      </c>
      <c r="C42" s="202">
        <v>1.2250000000000001</v>
      </c>
      <c r="D42" t="s">
        <v>161</v>
      </c>
      <c r="E42" t="s">
        <v>169</v>
      </c>
      <c r="G42" s="6"/>
      <c r="I42" s="241">
        <v>25</v>
      </c>
      <c r="J42" s="253">
        <f t="shared" si="36"/>
        <v>39.809753111872752</v>
      </c>
      <c r="K42" s="243">
        <v>0.28100000000000003</v>
      </c>
      <c r="L42" s="61"/>
      <c r="M42" s="250"/>
      <c r="P42" s="65" t="s">
        <v>122</v>
      </c>
      <c r="Q42" s="205">
        <f>INDEX(LINEST($Q$4:$Q$13,$P$4:$P$13),2)</f>
        <v>-5553.3093982580176</v>
      </c>
      <c r="R42" s="69">
        <f>INDEX(LINEST($Q$4:$Q$13,$P$4:$P$13),1)</f>
        <v>0.93119872839823603</v>
      </c>
      <c r="S42" s="30"/>
      <c r="T42" s="31" t="s">
        <v>267</v>
      </c>
      <c r="AI42" s="5"/>
    </row>
    <row r="43" spans="1:50" ht="15" thickBot="1" x14ac:dyDescent="0.35">
      <c r="C43" s="198"/>
      <c r="D43"/>
      <c r="E43"/>
      <c r="G43" s="6"/>
      <c r="I43" s="241">
        <v>20</v>
      </c>
      <c r="J43" s="253">
        <f t="shared" si="36"/>
        <v>34.445815325685807</v>
      </c>
      <c r="K43" s="243">
        <v>0.38600000000000001</v>
      </c>
      <c r="L43" s="61"/>
      <c r="M43" s="250"/>
      <c r="P43" s="65" t="s">
        <v>123</v>
      </c>
      <c r="Q43" s="205">
        <f>INDEX(LINEST($P$4:$P$13,$Q$4:$Q$13),2)</f>
        <v>5985.8215745762427</v>
      </c>
      <c r="R43" s="69">
        <f>INDEX(LINEST($P$4:$P$13,$Q$4:$Q$13),1)</f>
        <v>1.0727875572373891</v>
      </c>
      <c r="S43" s="30"/>
      <c r="T43" s="31" t="s">
        <v>267</v>
      </c>
      <c r="AI43" s="5"/>
    </row>
    <row r="44" spans="1:50" ht="15" thickBot="1" x14ac:dyDescent="0.35">
      <c r="A44" s="188" t="s">
        <v>251</v>
      </c>
      <c r="B44" s="193" t="s">
        <v>252</v>
      </c>
      <c r="C44" s="199">
        <v>0</v>
      </c>
      <c r="D44" s="30" t="s">
        <v>258</v>
      </c>
      <c r="E44"/>
      <c r="F44" s="6"/>
      <c r="I44" s="254">
        <f>(K44-K42)/(K43-K42)*(I43-I42)+I42</f>
        <v>14.571428571428571</v>
      </c>
      <c r="J44" s="257">
        <f t="shared" si="36"/>
        <v>28.622111443539978</v>
      </c>
      <c r="K44" s="246">
        <v>0.5</v>
      </c>
      <c r="L44" s="255"/>
      <c r="M44" s="256"/>
      <c r="P44" s="65" t="s">
        <v>180</v>
      </c>
      <c r="Q44" s="206">
        <f>AG9</f>
        <v>-0.92708178600141067</v>
      </c>
      <c r="R44" s="30"/>
      <c r="S44" s="30"/>
      <c r="T44" s="31" t="s">
        <v>261</v>
      </c>
      <c r="U44" s="5"/>
      <c r="AI44" s="5"/>
      <c r="AJ44" s="5"/>
      <c r="AK44" s="151"/>
    </row>
    <row r="45" spans="1:50" x14ac:dyDescent="0.3">
      <c r="A45" s="30"/>
      <c r="B45" s="57" t="s">
        <v>253</v>
      </c>
      <c r="C45" s="203">
        <v>5</v>
      </c>
      <c r="D45" s="45" t="s">
        <v>258</v>
      </c>
      <c r="E45"/>
      <c r="F45" s="6"/>
      <c r="P45" s="65" t="s">
        <v>182</v>
      </c>
      <c r="Q45" s="207">
        <f>AF9</f>
        <v>2.9854450965148214</v>
      </c>
      <c r="R45" s="30"/>
      <c r="S45" s="30"/>
      <c r="T45" s="31" t="s">
        <v>261</v>
      </c>
      <c r="AI45" s="5"/>
      <c r="AJ45" s="5"/>
      <c r="AK45" s="151"/>
      <c r="AX45" s="164"/>
    </row>
    <row r="46" spans="1:50" ht="15" thickBot="1" x14ac:dyDescent="0.35">
      <c r="A46" s="188"/>
      <c r="B46" s="57" t="s">
        <v>252</v>
      </c>
      <c r="C46" s="203">
        <v>0</v>
      </c>
      <c r="D46" s="45" t="s">
        <v>254</v>
      </c>
      <c r="E46"/>
      <c r="H46" s="6"/>
      <c r="I46" s="6"/>
      <c r="J46" s="6"/>
      <c r="K46" s="9"/>
      <c r="L46" s="6"/>
      <c r="M46" s="6"/>
      <c r="N46" s="10"/>
      <c r="O46" s="10"/>
      <c r="P46" s="218" t="s">
        <v>211</v>
      </c>
      <c r="Q46" s="219">
        <v>4</v>
      </c>
      <c r="R46" s="32"/>
      <c r="S46" s="32"/>
      <c r="T46" s="33" t="s">
        <v>263</v>
      </c>
      <c r="W46" s="45"/>
      <c r="X46" s="195"/>
      <c r="Y46" s="45"/>
      <c r="AI46" s="5"/>
      <c r="AJ46" s="5"/>
      <c r="AK46" s="151"/>
    </row>
    <row r="47" spans="1:50" ht="15" thickBot="1" x14ac:dyDescent="0.35">
      <c r="A47" s="188"/>
      <c r="B47" s="131" t="s">
        <v>253</v>
      </c>
      <c r="C47" s="200">
        <v>180</v>
      </c>
      <c r="D47" s="45" t="s">
        <v>254</v>
      </c>
      <c r="E47"/>
      <c r="H47" s="6"/>
      <c r="I47" s="212" t="s">
        <v>92</v>
      </c>
      <c r="J47" s="211">
        <f>INDEX(LINEST($Y$3:$Y$13,$P$3:$P$13^{1,2}),3)</f>
        <v>-2.3707465536193552E-3</v>
      </c>
      <c r="K47" s="180">
        <f>INDEX(LINEST($Y$3:$Y$13,$P$3:$P$13^{1,2}),2)</f>
        <v>1.4752397194391045E-7</v>
      </c>
      <c r="L47" s="180">
        <f>INDEX(LINEST($Y$3:$Y$13,$P$3:$P$13^{1,2}),1)</f>
        <v>9.7015893127055435E-12</v>
      </c>
      <c r="M47" s="44" t="s">
        <v>268</v>
      </c>
      <c r="N47" s="10"/>
      <c r="O47" s="10"/>
      <c r="U47" s="10"/>
      <c r="V47" s="3"/>
      <c r="W47" s="45"/>
      <c r="X47" s="61"/>
      <c r="Y47" s="45"/>
      <c r="AX47" s="164"/>
    </row>
    <row r="48" spans="1:50" ht="15" thickBot="1" x14ac:dyDescent="0.35">
      <c r="Q48" s="61"/>
      <c r="R48" s="213"/>
      <c r="T48" s="213"/>
      <c r="U48" s="188"/>
      <c r="V48" s="30"/>
    </row>
    <row r="49" spans="1:45" ht="15" thickBot="1" x14ac:dyDescent="0.35">
      <c r="A49" s="3" t="s">
        <v>244</v>
      </c>
      <c r="B49" s="209">
        <v>1.25</v>
      </c>
      <c r="C49" s="45" t="s">
        <v>245</v>
      </c>
      <c r="D49" s="5"/>
      <c r="E49" s="192">
        <f>C30</f>
        <v>240</v>
      </c>
      <c r="F49" s="192" t="s">
        <v>156</v>
      </c>
      <c r="I49" s="176" t="s">
        <v>283</v>
      </c>
      <c r="M49" s="237" t="s">
        <v>282</v>
      </c>
      <c r="N49" s="142"/>
      <c r="Q49" s="61"/>
      <c r="R49" s="213"/>
      <c r="T49" s="213"/>
      <c r="U49" s="188"/>
      <c r="V49" s="30"/>
      <c r="W49" s="194"/>
      <c r="X49" s="45"/>
      <c r="Y49" s="45"/>
    </row>
    <row r="50" spans="1:45" x14ac:dyDescent="0.3">
      <c r="I50" s="238" t="s">
        <v>277</v>
      </c>
      <c r="J50" s="236" t="s">
        <v>100</v>
      </c>
      <c r="K50" s="239" t="s">
        <v>278</v>
      </c>
      <c r="L50" s="239" t="s">
        <v>279</v>
      </c>
      <c r="M50" s="239" t="s">
        <v>280</v>
      </c>
      <c r="N50" s="240" t="s">
        <v>281</v>
      </c>
      <c r="P50" s="235" t="s">
        <v>286</v>
      </c>
      <c r="Q50" s="260">
        <v>0</v>
      </c>
      <c r="R50" s="258">
        <f ca="1">J55</f>
        <v>22.000000000000004</v>
      </c>
      <c r="S50" s="258">
        <f ca="1">J54</f>
        <v>36.5</v>
      </c>
      <c r="T50" s="258">
        <f ca="1">J53</f>
        <v>49.142857142857139</v>
      </c>
      <c r="U50" s="259">
        <f ca="1">J52</f>
        <v>67.714285714285722</v>
      </c>
      <c r="V50" s="261">
        <v>80</v>
      </c>
      <c r="W50" s="45"/>
      <c r="X50" s="45"/>
      <c r="Y50" s="45"/>
    </row>
    <row r="51" spans="1:45" x14ac:dyDescent="0.3">
      <c r="I51" s="241">
        <v>0</v>
      </c>
      <c r="J51" s="253">
        <f t="shared" ref="J51:J56" ca="1" si="37">FORECAST(I51,OFFSET(MeasNt,MATCH(I51,MeasTauT,1)-1,0,2),OFFSET(MeasTauT,MATCH(I51,MeasTauT,1)-1,0,2))</f>
        <v>73.428571428571445</v>
      </c>
      <c r="K51" s="58">
        <v>0.2</v>
      </c>
      <c r="L51" s="58">
        <v>4.4000000000000004</v>
      </c>
      <c r="M51" s="58">
        <v>0.09</v>
      </c>
      <c r="N51" s="25">
        <v>5</v>
      </c>
      <c r="P51" s="273" t="s">
        <v>278</v>
      </c>
      <c r="Q51" s="274">
        <f>K56</f>
        <v>0.47499999999999998</v>
      </c>
      <c r="R51" s="274">
        <f>K55</f>
        <v>0.47499999999999998</v>
      </c>
      <c r="S51" s="274">
        <f>K54</f>
        <v>0.32500000000000001</v>
      </c>
      <c r="T51" s="274">
        <f>K53</f>
        <v>0.22500000000000001</v>
      </c>
      <c r="U51" s="275">
        <f>K52</f>
        <v>0.2</v>
      </c>
      <c r="V51" s="276">
        <f>K51</f>
        <v>0.2</v>
      </c>
      <c r="W51" s="45" t="s">
        <v>287</v>
      </c>
      <c r="X51" s="45"/>
      <c r="Y51" s="45"/>
      <c r="AJ51" s="104"/>
      <c r="AR51" s="3"/>
    </row>
    <row r="52" spans="1:45" x14ac:dyDescent="0.3">
      <c r="I52" s="241">
        <v>0.02</v>
      </c>
      <c r="J52" s="253">
        <f t="shared" ca="1" si="37"/>
        <v>67.714285714285722</v>
      </c>
      <c r="K52" s="58">
        <v>0.2</v>
      </c>
      <c r="L52" s="58">
        <v>3.75</v>
      </c>
      <c r="M52" s="58">
        <v>0.09</v>
      </c>
      <c r="N52" s="25">
        <v>5</v>
      </c>
      <c r="P52" s="273" t="s">
        <v>279</v>
      </c>
      <c r="Q52" s="277">
        <f>L56</f>
        <v>2.4</v>
      </c>
      <c r="R52" s="277">
        <f>L55</f>
        <v>2.4</v>
      </c>
      <c r="S52" s="277">
        <f>L54</f>
        <v>2.7</v>
      </c>
      <c r="T52" s="277">
        <f>L53</f>
        <v>3.2</v>
      </c>
      <c r="U52" s="278">
        <f>L52</f>
        <v>3.75</v>
      </c>
      <c r="V52" s="279">
        <f>L51</f>
        <v>4.4000000000000004</v>
      </c>
      <c r="W52" s="45"/>
      <c r="X52" s="45"/>
      <c r="Y52" s="45"/>
      <c r="AS52" s="3"/>
    </row>
    <row r="53" spans="1:45" x14ac:dyDescent="0.3">
      <c r="I53" s="241">
        <v>8.5000000000000006E-2</v>
      </c>
      <c r="J53" s="253">
        <f t="shared" ca="1" si="37"/>
        <v>49.142857142857139</v>
      </c>
      <c r="K53" s="58">
        <v>0.22500000000000001</v>
      </c>
      <c r="L53" s="58">
        <v>3.2</v>
      </c>
      <c r="M53" s="243">
        <v>0.125</v>
      </c>
      <c r="N53" s="244">
        <v>4.05</v>
      </c>
      <c r="P53" s="273" t="s">
        <v>284</v>
      </c>
      <c r="Q53" s="280">
        <v>0.15</v>
      </c>
      <c r="R53" s="280"/>
      <c r="S53" s="280"/>
      <c r="T53" s="280"/>
      <c r="U53" s="281"/>
      <c r="V53" s="282"/>
      <c r="W53" s="45"/>
      <c r="X53" s="45"/>
      <c r="Y53" s="45"/>
    </row>
    <row r="54" spans="1:45" x14ac:dyDescent="0.3">
      <c r="I54" s="241">
        <v>0.185</v>
      </c>
      <c r="J54" s="253">
        <f t="shared" ca="1" si="37"/>
        <v>36.5</v>
      </c>
      <c r="K54" s="58">
        <v>0.32500000000000001</v>
      </c>
      <c r="L54" s="58">
        <v>2.7</v>
      </c>
      <c r="M54" s="58">
        <v>0.24</v>
      </c>
      <c r="N54" s="25">
        <v>3.75</v>
      </c>
      <c r="P54" s="273" t="s">
        <v>285</v>
      </c>
      <c r="Q54" s="280">
        <v>0.03</v>
      </c>
      <c r="R54" s="280"/>
      <c r="S54" s="280"/>
      <c r="T54" s="280"/>
      <c r="U54" s="281"/>
      <c r="V54" s="282"/>
      <c r="W54" s="45"/>
      <c r="X54" s="196"/>
      <c r="Y54" s="45"/>
    </row>
    <row r="55" spans="1:45" x14ac:dyDescent="0.3">
      <c r="I55" s="241">
        <v>0.34399999999999997</v>
      </c>
      <c r="J55" s="253">
        <f t="shared" ca="1" si="37"/>
        <v>22.000000000000004</v>
      </c>
      <c r="K55" s="58">
        <v>0.47499999999999998</v>
      </c>
      <c r="L55" s="58">
        <v>2.4</v>
      </c>
      <c r="M55" s="58">
        <v>0.42</v>
      </c>
      <c r="N55" s="25">
        <v>3.6</v>
      </c>
      <c r="P55" s="273" t="s">
        <v>280</v>
      </c>
      <c r="Q55" s="274">
        <f>M56</f>
        <v>0.42</v>
      </c>
      <c r="R55" s="274">
        <f>M55</f>
        <v>0.42</v>
      </c>
      <c r="S55" s="274">
        <f>M54</f>
        <v>0.24</v>
      </c>
      <c r="T55" s="274">
        <f>M53</f>
        <v>0.125</v>
      </c>
      <c r="U55" s="275">
        <f>M52</f>
        <v>0.09</v>
      </c>
      <c r="V55" s="276">
        <f>M51</f>
        <v>0.09</v>
      </c>
      <c r="W55" s="45" t="s">
        <v>288</v>
      </c>
      <c r="X55" s="196"/>
      <c r="Y55" s="45"/>
    </row>
    <row r="56" spans="1:45" ht="15" thickBot="1" x14ac:dyDescent="0.35">
      <c r="I56" s="245">
        <v>0.5</v>
      </c>
      <c r="J56" s="257">
        <f t="shared" ca="1" si="37"/>
        <v>14.571428571428569</v>
      </c>
      <c r="K56" s="247">
        <v>0.47499999999999998</v>
      </c>
      <c r="L56" s="247">
        <v>2.4</v>
      </c>
      <c r="M56" s="247">
        <v>0.42</v>
      </c>
      <c r="N56" s="27">
        <v>3.6</v>
      </c>
      <c r="P56" s="283" t="s">
        <v>281</v>
      </c>
      <c r="Q56" s="284">
        <f>N56</f>
        <v>3.6</v>
      </c>
      <c r="R56" s="284">
        <f>N55</f>
        <v>3.6</v>
      </c>
      <c r="S56" s="284">
        <f>N54</f>
        <v>3.75</v>
      </c>
      <c r="T56" s="284">
        <f>N53</f>
        <v>4.05</v>
      </c>
      <c r="U56" s="285">
        <f>N52</f>
        <v>5</v>
      </c>
      <c r="V56" s="286">
        <f>N51</f>
        <v>5</v>
      </c>
      <c r="W56" s="45"/>
      <c r="X56" s="196"/>
      <c r="Y56" s="45"/>
    </row>
    <row r="57" spans="1:45" x14ac:dyDescent="0.3">
      <c r="V57" s="45"/>
      <c r="W57" s="45"/>
      <c r="X57" s="196"/>
      <c r="Y57" s="45"/>
    </row>
    <row r="58" spans="1:45" x14ac:dyDescent="0.3">
      <c r="W58" s="45"/>
      <c r="X58" s="196"/>
      <c r="Y58" s="45"/>
    </row>
    <row r="59" spans="1:45" x14ac:dyDescent="0.3">
      <c r="W59" s="45"/>
      <c r="X59" s="149"/>
      <c r="Y59" s="45"/>
    </row>
    <row r="60" spans="1:45" x14ac:dyDescent="0.3">
      <c r="W60" s="45"/>
      <c r="X60" s="149"/>
      <c r="Y60" s="45"/>
    </row>
    <row r="61" spans="1:45" x14ac:dyDescent="0.3">
      <c r="W61" s="45"/>
      <c r="X61" s="149"/>
      <c r="Y61" s="45"/>
    </row>
    <row r="62" spans="1:45" x14ac:dyDescent="0.3">
      <c r="H62" s="176"/>
    </row>
    <row r="64" spans="1:45" x14ac:dyDescent="0.3">
      <c r="V64" s="45"/>
      <c r="W64" s="45"/>
      <c r="X64" s="45"/>
      <c r="Y64" s="45"/>
      <c r="Z64" s="45"/>
      <c r="AA64" s="45"/>
      <c r="AB64" s="45"/>
      <c r="AC64" s="45"/>
      <c r="AD64" s="45"/>
      <c r="AG64" s="45"/>
      <c r="AH64" s="149"/>
    </row>
    <row r="65" spans="1:36" x14ac:dyDescent="0.3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3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3">
      <c r="V67" s="45"/>
      <c r="W67" s="45"/>
      <c r="X67" s="45"/>
      <c r="Y67" s="45"/>
      <c r="Z67" s="45"/>
      <c r="AA67" s="45"/>
      <c r="AB67" s="45"/>
      <c r="AC67" s="45"/>
      <c r="AD67" s="45"/>
    </row>
    <row r="68" spans="1:36" x14ac:dyDescent="0.3">
      <c r="A68" s="45"/>
      <c r="B68" s="45"/>
      <c r="C68" s="45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</row>
    <row r="69" spans="1:36" x14ac:dyDescent="0.3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3">
      <c r="A70" s="45"/>
      <c r="B70" s="45"/>
      <c r="C70" s="45"/>
      <c r="D70" s="61"/>
      <c r="E70" s="61"/>
      <c r="F70" s="61"/>
      <c r="G70" s="61"/>
      <c r="H70" s="61"/>
      <c r="I70" s="190"/>
      <c r="J70" s="61"/>
      <c r="K70" s="187"/>
      <c r="L70" s="61"/>
      <c r="M70" s="61"/>
      <c r="N70" s="188"/>
      <c r="O70" s="188"/>
      <c r="P70" s="188"/>
      <c r="Q70" s="188"/>
      <c r="R70" s="188"/>
      <c r="S70" s="188"/>
      <c r="T70" s="188"/>
      <c r="U70" s="189"/>
      <c r="V70" s="189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3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104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3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3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149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3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3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3">
      <c r="A76" s="45"/>
      <c r="B76" s="45"/>
      <c r="C76" s="45"/>
      <c r="D76" s="61"/>
      <c r="E76" s="61"/>
      <c r="F76" s="61"/>
      <c r="G76" s="61"/>
      <c r="H76" s="61"/>
      <c r="I76" s="61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186"/>
      <c r="Y76" s="186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3">
      <c r="V77" s="45"/>
      <c r="W77" s="45"/>
      <c r="X77" s="45"/>
      <c r="Y77" s="45"/>
      <c r="Z77" s="45"/>
      <c r="AA77" s="45"/>
      <c r="AB77" s="45"/>
      <c r="AC77" s="45"/>
      <c r="AD77" s="45"/>
    </row>
    <row r="92" spans="1:36" x14ac:dyDescent="0.3">
      <c r="A92" s="45"/>
      <c r="B92" s="45"/>
      <c r="C92" s="45"/>
      <c r="D92" s="61"/>
      <c r="E92" s="61"/>
      <c r="F92" s="61"/>
      <c r="G92" s="61"/>
      <c r="H92" s="61"/>
      <c r="I92" s="61"/>
      <c r="J92" s="61"/>
      <c r="K92" s="187"/>
      <c r="L92" s="61"/>
      <c r="M92" s="61"/>
      <c r="N92" s="188"/>
      <c r="O92" s="188"/>
      <c r="P92" s="188"/>
      <c r="Q92" s="188"/>
      <c r="R92" s="188"/>
      <c r="S92" s="188"/>
      <c r="T92" s="188"/>
      <c r="U92" s="189"/>
      <c r="V92" s="189"/>
      <c r="W92" s="45"/>
      <c r="X92" s="186"/>
      <c r="Y92" s="186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</row>
    <row r="93" spans="1:36" x14ac:dyDescent="0.3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3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3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3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3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3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3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3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3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3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3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3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3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3">
      <c r="A106" s="45"/>
      <c r="B106" s="45"/>
      <c r="C106" s="45"/>
      <c r="D106" s="61"/>
      <c r="E106" s="61"/>
      <c r="F106" s="61"/>
      <c r="G106" s="61"/>
      <c r="H106" s="61"/>
      <c r="I106" s="190"/>
      <c r="J106" s="61"/>
      <c r="K106" s="187"/>
      <c r="L106" s="61"/>
      <c r="M106" s="61"/>
      <c r="N106" s="188"/>
      <c r="O106" s="188"/>
      <c r="P106" s="188"/>
      <c r="Q106" s="188"/>
      <c r="R106" s="188"/>
      <c r="S106" s="188"/>
      <c r="T106" s="188"/>
      <c r="U106" s="189"/>
      <c r="V106" s="189"/>
      <c r="W106" s="45"/>
      <c r="X106" s="186"/>
      <c r="Y106" s="186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3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3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3">
      <c r="A109" s="45"/>
      <c r="B109" s="45"/>
      <c r="C109" s="45"/>
      <c r="D109" s="61"/>
      <c r="E109" s="61"/>
      <c r="F109" s="61"/>
      <c r="G109" s="61"/>
      <c r="H109" s="61"/>
      <c r="I109" s="61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3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3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3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3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3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3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3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3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3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3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3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3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45"/>
      <c r="V121" s="45"/>
      <c r="W121" s="45"/>
      <c r="X121" s="186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3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3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3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5"/>
  <sheetViews>
    <sheetView topLeftCell="A26" zoomScaleNormal="100" workbookViewId="0">
      <selection activeCell="O38" sqref="O38"/>
    </sheetView>
  </sheetViews>
  <sheetFormatPr defaultRowHeight="14.4" x14ac:dyDescent="0.3"/>
  <cols>
    <col min="1" max="1" width="15.33203125" customWidth="1"/>
    <col min="3" max="3" width="9" customWidth="1"/>
    <col min="4" max="4" width="10.88671875" style="1" customWidth="1"/>
    <col min="5" max="5" width="6.44140625" style="1" customWidth="1"/>
    <col min="6" max="7" width="6.33203125" style="1" customWidth="1"/>
    <col min="8" max="8" width="9.109375" style="1" bestFit="1" customWidth="1"/>
    <col min="9" max="9" width="8.5546875" style="1" bestFit="1" customWidth="1"/>
    <col min="10" max="10" width="8.44140625" style="1" customWidth="1"/>
    <col min="11" max="11" width="12" style="1" customWidth="1"/>
    <col min="12" max="12" width="8.44140625" style="1" customWidth="1"/>
    <col min="13" max="13" width="11" style="1" customWidth="1"/>
    <col min="14" max="14" width="6.6640625" style="1" customWidth="1"/>
    <col min="15" max="15" width="7.88671875" style="1" customWidth="1"/>
    <col min="16" max="16" width="11.5546875" style="1" customWidth="1"/>
    <col min="17" max="17" width="8.5546875" style="1" customWidth="1"/>
    <col min="18" max="18" width="8.33203125" style="1" customWidth="1"/>
    <col min="19" max="19" width="7.6640625" style="1" customWidth="1"/>
    <col min="20" max="20" width="10.6640625" style="1" customWidth="1"/>
    <col min="21" max="21" width="7.6640625" customWidth="1"/>
    <col min="22" max="22" width="9.6640625" customWidth="1"/>
    <col min="24" max="24" width="9.88671875" bestFit="1" customWidth="1"/>
    <col min="25" max="25" width="10.6640625" customWidth="1"/>
    <col min="26" max="26" width="8.6640625" customWidth="1"/>
    <col min="27" max="27" width="7.33203125" customWidth="1"/>
    <col min="28" max="28" width="9.88671875" customWidth="1"/>
    <col min="29" max="29" width="9.109375" customWidth="1"/>
    <col min="30" max="30" width="8.44140625" customWidth="1"/>
    <col min="31" max="31" width="7.44140625" customWidth="1"/>
    <col min="32" max="32" width="10" customWidth="1"/>
    <col min="33" max="33" width="10.6640625" customWidth="1"/>
    <col min="34" max="34" width="9.6640625" customWidth="1"/>
    <col min="35" max="36" width="11.5546875" customWidth="1"/>
    <col min="37" max="37" width="8.6640625" customWidth="1"/>
    <col min="38" max="38" width="11.5546875" bestFit="1" customWidth="1"/>
    <col min="39" max="39" width="9.6640625" customWidth="1"/>
    <col min="44" max="44" width="11.33203125" customWidth="1"/>
    <col min="45" max="45" width="12.109375" customWidth="1"/>
    <col min="46" max="46" width="13.109375" bestFit="1" customWidth="1"/>
    <col min="47" max="47" width="12" bestFit="1" customWidth="1"/>
    <col min="48" max="48" width="10.44140625" bestFit="1" customWidth="1"/>
    <col min="49" max="49" width="10.33203125" customWidth="1"/>
    <col min="50" max="50" width="9.33203125" bestFit="1" customWidth="1"/>
    <col min="51" max="51" width="10.33203125" bestFit="1" customWidth="1"/>
  </cols>
  <sheetData>
    <row r="1" spans="1:51" ht="86.4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4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x14ac:dyDescent="0.3">
      <c r="A2" t="s">
        <v>222</v>
      </c>
      <c r="B2" t="s">
        <v>201</v>
      </c>
      <c r="C2" s="220">
        <f t="shared" ref="C2:C14" si="1">D2/180+1</f>
        <v>1.037117754097554</v>
      </c>
      <c r="D2" s="262">
        <f>EXP((0-$Q$42)/$R$42)</f>
        <v>6.6811957375597357</v>
      </c>
      <c r="E2" s="109">
        <v>3.3E-3</v>
      </c>
      <c r="F2" s="109">
        <v>12.19</v>
      </c>
      <c r="G2" s="109">
        <v>0.14199999999999999</v>
      </c>
      <c r="H2" s="148">
        <v>1.0000000000000001E+32</v>
      </c>
      <c r="I2" s="191">
        <v>1.0000000000000001E+32</v>
      </c>
      <c r="J2" s="189"/>
      <c r="K2" s="2">
        <f t="shared" ref="K2:K14" si="2">F2*G2</f>
        <v>1.7309799999999997</v>
      </c>
      <c r="L2" s="229">
        <f t="shared" ref="L2:L14" si="3">D2</f>
        <v>6.6811957375597357</v>
      </c>
      <c r="M2" s="234">
        <f t="shared" ref="M2:M14" si="4">LN(L2)</f>
        <v>1.8992969741581984</v>
      </c>
      <c r="N2" s="3">
        <f t="shared" ref="N2:O14" si="5">1/H2/0.000001</f>
        <v>9.999999999999999E-27</v>
      </c>
      <c r="O2" s="3">
        <f t="shared" si="5"/>
        <v>9.999999999999999E-27</v>
      </c>
      <c r="P2" s="3">
        <f t="shared" ref="P2:Q14" si="6">N2*60/$C$26</f>
        <v>5.9999999999999995E-25</v>
      </c>
      <c r="Q2" s="4">
        <v>0</v>
      </c>
      <c r="R2" s="3">
        <f t="shared" ref="R2:S14" si="7">P2/$Q$31</f>
        <v>1.3020833333333332E-27</v>
      </c>
      <c r="S2" s="3">
        <f t="shared" si="7"/>
        <v>0</v>
      </c>
      <c r="T2" s="3">
        <f t="shared" ref="T2:T14" si="8">L2</f>
        <v>6.6811957375597357</v>
      </c>
      <c r="U2" s="158">
        <f t="shared" si="0"/>
        <v>1.7309799999999997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3" si="9">$Q$38*(P2/$Q$31/100)^3</f>
        <v>9.76843480821773E-87</v>
      </c>
      <c r="AA2" s="229">
        <f t="shared" ref="AA2:AA14" si="10">SQRT(Z2^3/4/$Q$28/$Q$34)</f>
        <v>9.469612348787209E-129</v>
      </c>
      <c r="AB2" s="1"/>
      <c r="AC2" s="158">
        <f t="shared" ref="AC2:AC14" si="11">SQRT(Z2/$Q$34/$Q$28)</f>
        <v>1.9388187636407961E-42</v>
      </c>
      <c r="AD2" s="175">
        <f t="shared" ref="AD2:AD13" si="12">AC2*1/1.6/1000*3600</f>
        <v>4.3623422181917907E-42</v>
      </c>
      <c r="AE2" s="4">
        <f t="shared" ref="AE2:AE14" si="13">Q2/60*PI()*$C$40/1000</f>
        <v>0</v>
      </c>
      <c r="AF2" s="158">
        <f>AE2/AC2</f>
        <v>0</v>
      </c>
      <c r="AH2" s="228">
        <f t="shared" ref="AH2:AH14" si="14">D2/$Q$32*$Q$24</f>
        <v>0.18558877048777042</v>
      </c>
      <c r="AI2" s="228">
        <f t="shared" ref="AI2:AI14" si="15">AH2/$Q$24*$Q$32</f>
        <v>6.6811957375597357</v>
      </c>
      <c r="AJ2" s="229">
        <f t="shared" ref="AJ2:AJ14" si="16">MAX(($Q$42+$R$42*LN($AI2)),0)</f>
        <v>0</v>
      </c>
      <c r="AK2" s="229">
        <f t="shared" ref="AK2:AK14" si="17">MAX(($Q$42+$R$42*LN(AI2))/$Q$31,0)</f>
        <v>0</v>
      </c>
      <c r="AL2" s="229">
        <f t="shared" ref="AL2:AL14" si="18">($Q$43+$R$43*AK2*$Q$31)/$Q$31</f>
        <v>-13.269598334813466</v>
      </c>
      <c r="AM2" s="229">
        <f t="shared" ref="AM2:AM14" si="19">($Q$44+$R$44*AL2*$Q$31)/$Q$31</f>
        <v>4.5404925744912582E-2</v>
      </c>
      <c r="AN2" s="1"/>
      <c r="AO2" s="1">
        <f t="shared" ref="AO2:AO14" si="20">MAX($Q$43+$R$43*AJ2, 0)</f>
        <v>0</v>
      </c>
      <c r="AP2" s="227"/>
      <c r="AQ2" s="227"/>
      <c r="AR2" s="227"/>
      <c r="AS2" s="1"/>
      <c r="AT2" s="227"/>
      <c r="AU2" s="1"/>
    </row>
    <row r="3" spans="1:51" ht="15" customHeight="1" x14ac:dyDescent="0.3">
      <c r="A3" t="s">
        <v>223</v>
      </c>
      <c r="B3" t="s">
        <v>201</v>
      </c>
      <c r="C3" s="220">
        <f t="shared" si="1"/>
        <v>1.05</v>
      </c>
      <c r="D3" s="73">
        <v>9</v>
      </c>
      <c r="E3" s="109">
        <v>3.6</v>
      </c>
      <c r="F3" s="73">
        <v>12.17</v>
      </c>
      <c r="G3" s="106">
        <v>0.32</v>
      </c>
      <c r="H3" s="73">
        <v>7340</v>
      </c>
      <c r="I3" s="191">
        <v>1.0000000000000001E+32</v>
      </c>
      <c r="J3" s="61"/>
      <c r="K3" s="2">
        <f t="shared" si="2"/>
        <v>3.8944000000000001</v>
      </c>
      <c r="L3" s="1">
        <f t="shared" si="3"/>
        <v>9</v>
      </c>
      <c r="M3" s="234">
        <f t="shared" si="4"/>
        <v>2.1972245773362196</v>
      </c>
      <c r="N3" s="3">
        <f t="shared" si="5"/>
        <v>136.23978201634878</v>
      </c>
      <c r="O3" s="3">
        <f t="shared" si="5"/>
        <v>9.999999999999999E-27</v>
      </c>
      <c r="P3" s="3">
        <f t="shared" si="6"/>
        <v>8174.3869209809272</v>
      </c>
      <c r="Q3" s="3">
        <f t="shared" si="6"/>
        <v>5.9999999999999995E-25</v>
      </c>
      <c r="R3" s="3">
        <f t="shared" si="7"/>
        <v>17.739554950045413</v>
      </c>
      <c r="S3" s="3">
        <f t="shared" si="7"/>
        <v>1.3020833333333332E-27</v>
      </c>
      <c r="T3" s="3">
        <f>L3</f>
        <v>9</v>
      </c>
      <c r="U3" s="158">
        <f>K3</f>
        <v>3.8944000000000001</v>
      </c>
      <c r="V3" s="1">
        <f t="shared" ref="V3:V14" si="21">($U3-$U$2)</f>
        <v>2.1634200000000003</v>
      </c>
      <c r="W3" s="234">
        <f t="shared" ref="W3:W14" si="22">($U3-$U$2)*0.001341022</f>
        <v>2.9011938152400008E-3</v>
      </c>
      <c r="X3" s="230">
        <f>$W3/$P3*5252</f>
        <v>1.8640015532580192E-3</v>
      </c>
      <c r="Y3" s="230">
        <f>X3-$X$3</f>
        <v>0</v>
      </c>
      <c r="Z3" s="228">
        <f t="shared" si="9"/>
        <v>2.4702266497496038E-2</v>
      </c>
      <c r="AA3" s="229">
        <f t="shared" si="10"/>
        <v>3.8080262312436351E-2</v>
      </c>
      <c r="AB3" s="2">
        <f>AA3/U3*100</f>
        <v>0.97782103308433521</v>
      </c>
      <c r="AC3" s="158">
        <f t="shared" si="11"/>
        <v>3.083139137560222</v>
      </c>
      <c r="AD3" s="175">
        <f t="shared" si="12"/>
        <v>6.937063059510499</v>
      </c>
      <c r="AE3" s="4">
        <f t="shared" si="13"/>
        <v>1.7278759594743859E-27</v>
      </c>
      <c r="AF3" s="158">
        <f t="shared" ref="AF3:AF14" si="23">AE3/AC3</f>
        <v>5.6042750014898925E-28</v>
      </c>
      <c r="AH3" s="228">
        <f t="shared" si="14"/>
        <v>0.25</v>
      </c>
      <c r="AI3" s="228">
        <f t="shared" si="15"/>
        <v>9</v>
      </c>
      <c r="AJ3" s="229">
        <f t="shared" si="16"/>
        <v>3729.6385021300412</v>
      </c>
      <c r="AK3" s="229">
        <f t="shared" si="17"/>
        <v>8.0938335549697076</v>
      </c>
      <c r="AL3" s="229">
        <f t="shared" si="18"/>
        <v>-5.5215603472329233</v>
      </c>
      <c r="AM3" s="229">
        <f t="shared" si="19"/>
        <v>8.1330184277578077</v>
      </c>
      <c r="AN3" s="1"/>
      <c r="AO3" s="1">
        <f t="shared" si="20"/>
        <v>0</v>
      </c>
      <c r="AP3" s="227">
        <f t="shared" ref="AP3:AP14" si="24">MAX($J$48+$AJ3*($K$48+$AJ3*$L$48), 0)</f>
        <v>0</v>
      </c>
      <c r="AQ3" s="227">
        <f>AJ3*AP3/5252</f>
        <v>0</v>
      </c>
      <c r="AR3" s="231">
        <f t="shared" ref="AR3:AR14" si="25">MAX($K$48+$L$48*2*AJ3,1E-32)</f>
        <v>2.1320278842575145E-7</v>
      </c>
      <c r="AS3" s="228"/>
      <c r="AT3" s="1"/>
      <c r="AU3" s="228"/>
      <c r="AX3" s="128"/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1.0722222222222222</v>
      </c>
      <c r="D4" s="73">
        <v>13</v>
      </c>
      <c r="E4" s="109">
        <v>0.26</v>
      </c>
      <c r="F4" s="73">
        <v>12.17</v>
      </c>
      <c r="G4" s="106">
        <v>0.45400000000000001</v>
      </c>
      <c r="H4" s="73">
        <v>5820</v>
      </c>
      <c r="I4" s="78">
        <v>17300</v>
      </c>
      <c r="J4" s="61"/>
      <c r="K4" s="2">
        <f t="shared" si="2"/>
        <v>5.5251799999999998</v>
      </c>
      <c r="L4" s="1">
        <f t="shared" si="3"/>
        <v>13</v>
      </c>
      <c r="M4" s="234">
        <f t="shared" si="4"/>
        <v>2.5649493574615367</v>
      </c>
      <c r="N4" s="3">
        <f t="shared" si="5"/>
        <v>171.82130584192441</v>
      </c>
      <c r="O4" s="3">
        <f t="shared" si="5"/>
        <v>57.80346820809249</v>
      </c>
      <c r="P4" s="3">
        <f t="shared" si="6"/>
        <v>10309.278350515466</v>
      </c>
      <c r="Q4" s="3">
        <f t="shared" si="6"/>
        <v>3468.2080924855495</v>
      </c>
      <c r="R4" s="3">
        <f t="shared" si="7"/>
        <v>22.372565864833909</v>
      </c>
      <c r="S4" s="3">
        <f t="shared" si="7"/>
        <v>7.526493256262043</v>
      </c>
      <c r="T4" s="3">
        <f t="shared" si="8"/>
        <v>13</v>
      </c>
      <c r="U4" s="158">
        <f t="shared" si="0"/>
        <v>5.5251799999999998</v>
      </c>
      <c r="V4" s="229">
        <f t="shared" si="21"/>
        <v>3.7942</v>
      </c>
      <c r="W4" s="234">
        <f t="shared" si="22"/>
        <v>5.0881056724000001E-3</v>
      </c>
      <c r="X4" s="230">
        <f t="shared" ref="X4:X14" si="26">$W4/$P4*5252</f>
        <v>2.592104906170145E-3</v>
      </c>
      <c r="Y4" s="230">
        <f t="shared" ref="Y4:Y14" si="27">X4-$X$3</f>
        <v>7.2810335291212586E-4</v>
      </c>
      <c r="Z4" s="228">
        <f t="shared" si="9"/>
        <v>4.9551411319530933E-2</v>
      </c>
      <c r="AA4" s="229">
        <f t="shared" si="10"/>
        <v>0.10818791970271985</v>
      </c>
      <c r="AB4" s="2">
        <f t="shared" ref="AB4:AB13" si="28">AA4/U4*100</f>
        <v>1.9580885998776485</v>
      </c>
      <c r="AC4" s="158">
        <f t="shared" si="11"/>
        <v>4.3666937760893623</v>
      </c>
      <c r="AD4" s="175">
        <f t="shared" si="12"/>
        <v>9.8250609962010635</v>
      </c>
      <c r="AE4" s="175">
        <f t="shared" si="13"/>
        <v>9.9877223091004996</v>
      </c>
      <c r="AF4" s="158">
        <f t="shared" si="23"/>
        <v>2.2872504510827198</v>
      </c>
      <c r="AG4" s="151"/>
      <c r="AH4" s="228">
        <f t="shared" si="14"/>
        <v>0.36111111111111105</v>
      </c>
      <c r="AI4" s="228">
        <f t="shared" si="15"/>
        <v>12.999999999999998</v>
      </c>
      <c r="AJ4" s="229">
        <f t="shared" si="16"/>
        <v>8333.0404142488842</v>
      </c>
      <c r="AK4" s="229">
        <f t="shared" si="17"/>
        <v>18.083855065644279</v>
      </c>
      <c r="AL4" s="229">
        <f t="shared" si="18"/>
        <v>4.0416541216298496</v>
      </c>
      <c r="AM4" s="229">
        <f t="shared" si="19"/>
        <v>18.11536267865009</v>
      </c>
      <c r="AN4" s="2">
        <f t="shared" ref="AN4:AN14" si="29">AO4/$Q$31</f>
        <v>4.0416541216298523</v>
      </c>
      <c r="AO4" s="3">
        <f t="shared" si="20"/>
        <v>1862.3942192470358</v>
      </c>
      <c r="AP4" s="227">
        <f t="shared" si="24"/>
        <v>9.692031962258243E-5</v>
      </c>
      <c r="AQ4" s="227">
        <f t="shared" ref="AQ4:AQ14" si="30">AJ4*AP4/5252</f>
        <v>1.5377778758128306E-4</v>
      </c>
      <c r="AR4" s="231">
        <f t="shared" si="25"/>
        <v>3.1333590050170288E-7</v>
      </c>
      <c r="AS4" s="228">
        <f t="shared" ref="AS4:AS14" si="31">$Q$36/AR4</f>
        <v>0.11944631127448137</v>
      </c>
      <c r="AT4" s="1"/>
      <c r="AU4" s="228"/>
      <c r="AX4" s="127"/>
      <c r="AY4" s="96"/>
    </row>
    <row r="5" spans="1:51" ht="13.95" customHeight="1" x14ac:dyDescent="0.3">
      <c r="A5" t="s">
        <v>225</v>
      </c>
      <c r="B5" s="176">
        <v>16</v>
      </c>
      <c r="C5" s="220">
        <f t="shared" si="1"/>
        <v>1.1333333333333333</v>
      </c>
      <c r="D5" s="73">
        <v>24</v>
      </c>
      <c r="E5" s="73">
        <v>0.7</v>
      </c>
      <c r="F5" s="73">
        <v>12.14</v>
      </c>
      <c r="G5" s="73">
        <v>1.0900000000000001</v>
      </c>
      <c r="H5" s="73">
        <v>3740</v>
      </c>
      <c r="I5" s="78">
        <v>6700</v>
      </c>
      <c r="J5" s="61"/>
      <c r="K5" s="2">
        <f t="shared" si="2"/>
        <v>13.232600000000001</v>
      </c>
      <c r="L5" s="1">
        <f t="shared" si="3"/>
        <v>24</v>
      </c>
      <c r="M5" s="234">
        <f t="shared" si="4"/>
        <v>3.1780538303479458</v>
      </c>
      <c r="N5" s="3">
        <f t="shared" si="5"/>
        <v>267.37967914438502</v>
      </c>
      <c r="O5" s="3">
        <f t="shared" si="5"/>
        <v>149.25373134328359</v>
      </c>
      <c r="P5" s="3">
        <f t="shared" si="6"/>
        <v>16042.780748663101</v>
      </c>
      <c r="Q5" s="3">
        <f t="shared" si="6"/>
        <v>8955.2238805970155</v>
      </c>
      <c r="R5" s="3">
        <f t="shared" si="7"/>
        <v>34.815062388591798</v>
      </c>
      <c r="S5" s="3">
        <f t="shared" si="7"/>
        <v>19.434079601990049</v>
      </c>
      <c r="T5" s="3">
        <f t="shared" si="8"/>
        <v>24</v>
      </c>
      <c r="U5" s="158">
        <f t="shared" si="0"/>
        <v>13.232600000000001</v>
      </c>
      <c r="V5" s="229">
        <f t="shared" si="21"/>
        <v>11.501620000000003</v>
      </c>
      <c r="W5" s="234">
        <f t="shared" si="22"/>
        <v>1.5423925455640005E-2</v>
      </c>
      <c r="X5" s="230">
        <f t="shared" si="26"/>
        <v>5.0494024547316609E-3</v>
      </c>
      <c r="Y5" s="230">
        <f t="shared" si="27"/>
        <v>3.185400901473642E-3</v>
      </c>
      <c r="Z5" s="228">
        <f t="shared" si="9"/>
        <v>0.18672831398982662</v>
      </c>
      <c r="AA5" s="229">
        <f t="shared" si="10"/>
        <v>0.79142541210756745</v>
      </c>
      <c r="AB5" s="2">
        <f t="shared" si="28"/>
        <v>5.9808761098164176</v>
      </c>
      <c r="AC5" s="158">
        <f t="shared" si="11"/>
        <v>8.4767585075575198</v>
      </c>
      <c r="AD5" s="175">
        <f t="shared" si="12"/>
        <v>19.07270664200442</v>
      </c>
      <c r="AE5" s="175">
        <f t="shared" si="13"/>
        <v>25.789193424990842</v>
      </c>
      <c r="AF5" s="158">
        <f t="shared" si="23"/>
        <v>3.0423414093958541</v>
      </c>
      <c r="AG5" s="151"/>
      <c r="AH5" s="228">
        <f t="shared" si="14"/>
        <v>0.66666666666666663</v>
      </c>
      <c r="AI5" s="228">
        <f t="shared" si="15"/>
        <v>24</v>
      </c>
      <c r="AJ5" s="229">
        <f t="shared" si="16"/>
        <v>16008.254202811288</v>
      </c>
      <c r="AK5" s="229">
        <f t="shared" si="17"/>
        <v>34.740134988739776</v>
      </c>
      <c r="AL5" s="229">
        <f t="shared" si="18"/>
        <v>19.986322207456581</v>
      </c>
      <c r="AM5" s="229">
        <f t="shared" si="19"/>
        <v>34.75884237025064</v>
      </c>
      <c r="AN5" s="2">
        <f t="shared" si="29"/>
        <v>19.986322207456581</v>
      </c>
      <c r="AO5" s="3">
        <f t="shared" si="20"/>
        <v>9209.6972731959922</v>
      </c>
      <c r="AP5" s="227">
        <f t="shared" si="24"/>
        <v>3.1425330605874798E-3</v>
      </c>
      <c r="AQ5" s="227">
        <f t="shared" si="30"/>
        <v>9.5785354292884511E-3</v>
      </c>
      <c r="AR5" s="231">
        <f t="shared" si="25"/>
        <v>4.8028700691579907E-7</v>
      </c>
      <c r="AS5" s="228">
        <f t="shared" si="31"/>
        <v>7.7925942126012504E-2</v>
      </c>
      <c r="AT5" s="232"/>
      <c r="AU5" s="165"/>
      <c r="AX5" s="127"/>
      <c r="AY5" s="96"/>
    </row>
    <row r="6" spans="1:51" ht="13.95" customHeight="1" x14ac:dyDescent="0.3">
      <c r="A6" t="s">
        <v>226</v>
      </c>
      <c r="B6" s="176">
        <v>20</v>
      </c>
      <c r="C6" s="220">
        <f t="shared" si="1"/>
        <v>1.1555555555555554</v>
      </c>
      <c r="D6" s="73">
        <v>28</v>
      </c>
      <c r="E6" s="73">
        <v>0.78</v>
      </c>
      <c r="F6" s="73">
        <v>12.14</v>
      </c>
      <c r="G6" s="73">
        <v>1.29</v>
      </c>
      <c r="H6" s="73">
        <v>3460</v>
      </c>
      <c r="I6" s="78">
        <v>5640</v>
      </c>
      <c r="J6" s="61"/>
      <c r="K6" s="2">
        <f t="shared" si="2"/>
        <v>15.660600000000001</v>
      </c>
      <c r="L6" s="1">
        <f t="shared" si="3"/>
        <v>28</v>
      </c>
      <c r="M6" s="234">
        <f t="shared" si="4"/>
        <v>3.3322045101752038</v>
      </c>
      <c r="N6" s="3">
        <f t="shared" si="5"/>
        <v>289.01734104046244</v>
      </c>
      <c r="O6" s="3">
        <f t="shared" si="5"/>
        <v>177.3049645390071</v>
      </c>
      <c r="P6" s="3">
        <f t="shared" si="6"/>
        <v>17341.040462427747</v>
      </c>
      <c r="Q6" s="3">
        <f t="shared" si="6"/>
        <v>10638.297872340427</v>
      </c>
      <c r="R6" s="3">
        <f t="shared" si="7"/>
        <v>37.632466281310215</v>
      </c>
      <c r="S6" s="3">
        <f t="shared" si="7"/>
        <v>23.086583924349885</v>
      </c>
      <c r="T6" s="3">
        <f t="shared" si="8"/>
        <v>28</v>
      </c>
      <c r="U6" s="158">
        <f t="shared" si="0"/>
        <v>15.660600000000001</v>
      </c>
      <c r="V6" s="229">
        <f t="shared" si="21"/>
        <v>13.92962</v>
      </c>
      <c r="W6" s="234">
        <f t="shared" si="22"/>
        <v>1.8679926871640003E-2</v>
      </c>
      <c r="X6" s="230">
        <f t="shared" si="26"/>
        <v>5.6575022786215391E-3</v>
      </c>
      <c r="Y6" s="230">
        <f t="shared" si="27"/>
        <v>3.7935007253635201E-3</v>
      </c>
      <c r="Z6" s="228">
        <f t="shared" si="9"/>
        <v>0.23582871582730708</v>
      </c>
      <c r="AA6" s="229">
        <f t="shared" si="10"/>
        <v>1.1232844746570794</v>
      </c>
      <c r="AB6" s="2">
        <f t="shared" si="28"/>
        <v>7.1726784073220653</v>
      </c>
      <c r="AC6" s="158">
        <f t="shared" si="11"/>
        <v>9.526273937561017</v>
      </c>
      <c r="AD6" s="175">
        <f t="shared" si="12"/>
        <v>21.434116359512288</v>
      </c>
      <c r="AE6" s="175">
        <f t="shared" si="13"/>
        <v>30.63609857224089</v>
      </c>
      <c r="AF6" s="158">
        <f t="shared" si="23"/>
        <v>3.2159581776717787</v>
      </c>
      <c r="AG6" s="151"/>
      <c r="AH6" s="228">
        <f t="shared" si="14"/>
        <v>0.77777777777777779</v>
      </c>
      <c r="AI6" s="228">
        <f t="shared" si="15"/>
        <v>28</v>
      </c>
      <c r="AJ6" s="229">
        <f t="shared" si="16"/>
        <v>17938.005942765791</v>
      </c>
      <c r="AK6" s="229">
        <f t="shared" si="17"/>
        <v>38.92796428551604</v>
      </c>
      <c r="AL6" s="229">
        <f t="shared" si="18"/>
        <v>23.995233467684084</v>
      </c>
      <c r="AM6" s="229">
        <f t="shared" si="19"/>
        <v>38.943453350289467</v>
      </c>
      <c r="AN6" s="2">
        <f t="shared" si="29"/>
        <v>23.995233467684077</v>
      </c>
      <c r="AO6" s="3">
        <f t="shared" si="20"/>
        <v>11057.003581908823</v>
      </c>
      <c r="AP6" s="227">
        <f t="shared" si="24"/>
        <v>4.1098693037237254E-3</v>
      </c>
      <c r="AQ6" s="227">
        <f t="shared" si="30"/>
        <v>1.4037102055252645E-2</v>
      </c>
      <c r="AR6" s="231">
        <f t="shared" si="25"/>
        <v>5.2226293057932422E-7</v>
      </c>
      <c r="AS6" s="228">
        <f t="shared" si="31"/>
        <v>7.1662787675319667E-2</v>
      </c>
      <c r="AT6" s="232">
        <f t="shared" ref="AT6:AT14" si="32">$Q$45*$Q$28*$Q$37^2*$Q$34*PI()/240*($AC6-$Q$47)/$Q$46*$Q$35</f>
        <v>-1.170257314108135E-7</v>
      </c>
      <c r="AU6" s="165">
        <f t="shared" ref="AU6:AU14" si="33">-$Q$36/AT6</f>
        <v>0.31981699284075554</v>
      </c>
      <c r="AX6" s="127"/>
      <c r="AY6" s="96"/>
    </row>
    <row r="7" spans="1:51" ht="13.95" customHeight="1" x14ac:dyDescent="0.3">
      <c r="A7" t="s">
        <v>227</v>
      </c>
      <c r="B7" s="176">
        <v>25</v>
      </c>
      <c r="C7" s="220">
        <f t="shared" si="1"/>
        <v>1.2</v>
      </c>
      <c r="D7" s="73">
        <v>36</v>
      </c>
      <c r="E7" s="73">
        <v>1.012</v>
      </c>
      <c r="F7" s="73">
        <v>12.11</v>
      </c>
      <c r="G7" s="73">
        <v>1.8839999999999999</v>
      </c>
      <c r="H7" s="73">
        <v>2980</v>
      </c>
      <c r="I7" s="78">
        <v>4440</v>
      </c>
      <c r="J7" s="61"/>
      <c r="K7" s="2">
        <f t="shared" si="2"/>
        <v>22.815239999999999</v>
      </c>
      <c r="L7" s="1">
        <f t="shared" si="3"/>
        <v>36</v>
      </c>
      <c r="M7" s="234">
        <f t="shared" si="4"/>
        <v>3.5835189384561099</v>
      </c>
      <c r="N7" s="3">
        <f t="shared" si="5"/>
        <v>335.57046979865771</v>
      </c>
      <c r="O7" s="3">
        <f t="shared" si="5"/>
        <v>225.22522522522524</v>
      </c>
      <c r="P7" s="3">
        <f t="shared" si="6"/>
        <v>20134.228187919463</v>
      </c>
      <c r="Q7" s="3">
        <f t="shared" si="6"/>
        <v>13513.513513513515</v>
      </c>
      <c r="R7" s="3">
        <f t="shared" si="7"/>
        <v>43.694071588366889</v>
      </c>
      <c r="S7" s="3">
        <f t="shared" si="7"/>
        <v>29.326201201201204</v>
      </c>
      <c r="T7" s="3">
        <f t="shared" si="8"/>
        <v>36</v>
      </c>
      <c r="U7" s="158">
        <f t="shared" si="0"/>
        <v>22.815239999999999</v>
      </c>
      <c r="V7" s="229">
        <f t="shared" si="21"/>
        <v>21.08426</v>
      </c>
      <c r="W7" s="234">
        <f t="shared" si="22"/>
        <v>2.8274456513720004E-2</v>
      </c>
      <c r="X7" s="230">
        <f t="shared" si="26"/>
        <v>7.3753731319661864E-3</v>
      </c>
      <c r="Y7" s="230">
        <f t="shared" si="27"/>
        <v>5.5113715787081675E-3</v>
      </c>
      <c r="Z7" s="228">
        <f t="shared" si="9"/>
        <v>0.36912732059267428</v>
      </c>
      <c r="AA7" s="229">
        <f t="shared" si="10"/>
        <v>2.1996775003419557</v>
      </c>
      <c r="AB7" s="2">
        <f t="shared" si="28"/>
        <v>9.6412639110610101</v>
      </c>
      <c r="AC7" s="158">
        <f t="shared" si="11"/>
        <v>11.918258972595867</v>
      </c>
      <c r="AD7" s="175">
        <f t="shared" si="12"/>
        <v>26.8160826883407</v>
      </c>
      <c r="AE7" s="175">
        <f t="shared" si="13"/>
        <v>38.916125213387083</v>
      </c>
      <c r="AF7" s="158">
        <f t="shared" si="23"/>
        <v>3.2652525257983149</v>
      </c>
      <c r="AG7" s="151"/>
      <c r="AH7" s="228">
        <f t="shared" si="14"/>
        <v>1</v>
      </c>
      <c r="AI7" s="228">
        <f t="shared" si="15"/>
        <v>36</v>
      </c>
      <c r="AJ7" s="233">
        <f t="shared" si="16"/>
        <v>21084.112439306809</v>
      </c>
      <c r="AK7" s="233">
        <f t="shared" si="17"/>
        <v>45.755452342245682</v>
      </c>
      <c r="AL7" s="233">
        <f t="shared" si="18"/>
        <v>30.531028460751699</v>
      </c>
      <c r="AM7" s="233">
        <f t="shared" si="19"/>
        <v>45.765694531482751</v>
      </c>
      <c r="AN7" s="9">
        <f t="shared" si="29"/>
        <v>30.531028460751699</v>
      </c>
      <c r="AO7" s="10">
        <f t="shared" si="20"/>
        <v>14068.697914714383</v>
      </c>
      <c r="AP7" s="230">
        <f t="shared" si="24"/>
        <v>5.8606145064138918E-3</v>
      </c>
      <c r="AQ7" s="230">
        <f t="shared" si="30"/>
        <v>2.3527390559151384E-2</v>
      </c>
      <c r="AR7" s="232">
        <f t="shared" si="25"/>
        <v>5.9069698010076173E-7</v>
      </c>
      <c r="AS7" s="228">
        <f t="shared" si="31"/>
        <v>6.336043481788585E-2</v>
      </c>
      <c r="AT7" s="232">
        <f t="shared" si="32"/>
        <v>-1.5991755619886186E-7</v>
      </c>
      <c r="AU7" s="165">
        <f t="shared" si="33"/>
        <v>0.2340382031492218</v>
      </c>
      <c r="AX7" s="127"/>
      <c r="AY7" s="96"/>
    </row>
    <row r="8" spans="1:51" ht="13.95" customHeight="1" x14ac:dyDescent="0.3">
      <c r="A8" t="s">
        <v>228</v>
      </c>
      <c r="B8" s="176">
        <v>36</v>
      </c>
      <c r="C8" s="220">
        <f t="shared" si="1"/>
        <v>1.2888888888888888</v>
      </c>
      <c r="D8" s="73">
        <v>52</v>
      </c>
      <c r="E8" s="73">
        <v>1.34</v>
      </c>
      <c r="F8" s="73">
        <v>12.06</v>
      </c>
      <c r="G8" s="73">
        <v>3.07</v>
      </c>
      <c r="H8" s="73">
        <v>2430</v>
      </c>
      <c r="I8" s="78">
        <v>3360</v>
      </c>
      <c r="J8" s="61"/>
      <c r="K8" s="2">
        <f t="shared" si="2"/>
        <v>37.0242</v>
      </c>
      <c r="L8" s="1">
        <f t="shared" si="3"/>
        <v>52</v>
      </c>
      <c r="M8" s="234">
        <f t="shared" si="4"/>
        <v>3.9512437185814275</v>
      </c>
      <c r="N8" s="3">
        <f t="shared" si="5"/>
        <v>411.52263374485597</v>
      </c>
      <c r="O8" s="3">
        <f t="shared" si="5"/>
        <v>297.61904761904765</v>
      </c>
      <c r="P8" s="3">
        <f t="shared" si="6"/>
        <v>24691.358024691359</v>
      </c>
      <c r="Q8" s="3">
        <f t="shared" si="6"/>
        <v>17857.142857142859</v>
      </c>
      <c r="R8" s="3">
        <f t="shared" si="7"/>
        <v>53.583676268861453</v>
      </c>
      <c r="S8" s="3">
        <f t="shared" si="7"/>
        <v>38.752480158730158</v>
      </c>
      <c r="T8" s="3">
        <f t="shared" si="8"/>
        <v>52</v>
      </c>
      <c r="U8" s="158">
        <f t="shared" si="0"/>
        <v>37.0242</v>
      </c>
      <c r="V8" s="229">
        <f t="shared" si="21"/>
        <v>35.293219999999998</v>
      </c>
      <c r="W8" s="234">
        <f t="shared" si="22"/>
        <v>4.7328984470840003E-2</v>
      </c>
      <c r="X8" s="230">
        <f t="shared" si="26"/>
        <v>1.0067158970854492E-2</v>
      </c>
      <c r="Y8" s="230">
        <f t="shared" si="27"/>
        <v>8.2031574175964721E-3</v>
      </c>
      <c r="Z8" s="228">
        <f t="shared" si="9"/>
        <v>0.68077901739956448</v>
      </c>
      <c r="AA8" s="229">
        <f t="shared" si="10"/>
        <v>5.5093957511159575</v>
      </c>
      <c r="AB8" s="2">
        <f t="shared" si="28"/>
        <v>14.880526118365712</v>
      </c>
      <c r="AC8" s="158">
        <f t="shared" si="11"/>
        <v>16.185562745928078</v>
      </c>
      <c r="AD8" s="175">
        <f t="shared" si="12"/>
        <v>36.417516178338168</v>
      </c>
      <c r="AE8" s="175">
        <f t="shared" si="13"/>
        <v>51.424879746261503</v>
      </c>
      <c r="AF8" s="158">
        <f t="shared" si="23"/>
        <v>3.1772067831993573</v>
      </c>
      <c r="AG8" s="151"/>
      <c r="AH8" s="228">
        <f t="shared" si="14"/>
        <v>1.4444444444444442</v>
      </c>
      <c r="AI8" s="228">
        <f t="shared" si="15"/>
        <v>51.999999999999993</v>
      </c>
      <c r="AJ8" s="229">
        <f t="shared" si="16"/>
        <v>25687.514351425656</v>
      </c>
      <c r="AK8" s="229">
        <f t="shared" si="17"/>
        <v>55.745473852920256</v>
      </c>
      <c r="AL8" s="229">
        <f t="shared" si="18"/>
        <v>40.094242929614474</v>
      </c>
      <c r="AM8" s="229">
        <f t="shared" si="19"/>
        <v>55.748038782375041</v>
      </c>
      <c r="AN8" s="2">
        <f t="shared" si="29"/>
        <v>40.094242929614481</v>
      </c>
      <c r="AO8" s="3">
        <f t="shared" si="20"/>
        <v>18475.427141966353</v>
      </c>
      <c r="AP8" s="227">
        <f t="shared" si="24"/>
        <v>8.8103065938909889E-3</v>
      </c>
      <c r="AQ8" s="227">
        <f t="shared" si="30"/>
        <v>4.3091179944979983E-2</v>
      </c>
      <c r="AR8" s="231">
        <f t="shared" si="25"/>
        <v>6.9083009217671322E-7</v>
      </c>
      <c r="AS8" s="228">
        <f t="shared" si="31"/>
        <v>5.4176588322708163E-2</v>
      </c>
      <c r="AT8" s="232">
        <f t="shared" si="32"/>
        <v>-2.3643661592637232E-7</v>
      </c>
      <c r="AU8" s="165">
        <f t="shared" si="33"/>
        <v>0.15829535268112299</v>
      </c>
      <c r="AX8" s="127"/>
      <c r="AY8" s="96"/>
    </row>
    <row r="9" spans="1:51" ht="13.95" customHeight="1" x14ac:dyDescent="0.3">
      <c r="A9" t="s">
        <v>229</v>
      </c>
      <c r="B9" s="176">
        <v>45</v>
      </c>
      <c r="C9" s="220">
        <f t="shared" si="1"/>
        <v>1.4055555555555554</v>
      </c>
      <c r="D9" s="73">
        <v>73</v>
      </c>
      <c r="E9" s="73">
        <v>1.65</v>
      </c>
      <c r="F9" s="73">
        <v>11.98</v>
      </c>
      <c r="G9" s="73">
        <v>4.68</v>
      </c>
      <c r="H9" s="73">
        <v>2040</v>
      </c>
      <c r="I9" s="78">
        <v>2740</v>
      </c>
      <c r="J9" s="61"/>
      <c r="K9" s="2">
        <f t="shared" si="2"/>
        <v>56.066400000000002</v>
      </c>
      <c r="L9" s="1">
        <f t="shared" si="3"/>
        <v>73</v>
      </c>
      <c r="M9" s="234">
        <f t="shared" si="4"/>
        <v>4.290459441148391</v>
      </c>
      <c r="N9" s="3">
        <f t="shared" si="5"/>
        <v>490.19607843137254</v>
      </c>
      <c r="O9" s="3">
        <f t="shared" si="5"/>
        <v>364.96350364963502</v>
      </c>
      <c r="P9" s="3">
        <f t="shared" si="6"/>
        <v>29411.764705882353</v>
      </c>
      <c r="Q9" s="3">
        <f t="shared" si="6"/>
        <v>21897.810218978102</v>
      </c>
      <c r="R9" s="3">
        <f t="shared" si="7"/>
        <v>63.827614379084963</v>
      </c>
      <c r="S9" s="3">
        <f t="shared" si="7"/>
        <v>47.521289537712896</v>
      </c>
      <c r="T9" s="3">
        <f t="shared" si="8"/>
        <v>73</v>
      </c>
      <c r="U9" s="158">
        <f t="shared" si="0"/>
        <v>56.066400000000002</v>
      </c>
      <c r="V9" s="229">
        <f t="shared" si="21"/>
        <v>54.335419999999999</v>
      </c>
      <c r="W9" s="234">
        <f t="shared" si="22"/>
        <v>7.2864993599240008E-2</v>
      </c>
      <c r="X9" s="230">
        <f t="shared" si="26"/>
        <v>1.3011356177029089E-2</v>
      </c>
      <c r="Y9" s="230">
        <f t="shared" si="27"/>
        <v>1.1147354623771069E-2</v>
      </c>
      <c r="Z9" s="228">
        <f t="shared" si="9"/>
        <v>1.1506267866687925</v>
      </c>
      <c r="AA9" s="229">
        <f t="shared" si="10"/>
        <v>12.105882310531264</v>
      </c>
      <c r="AB9" s="2">
        <f t="shared" si="28"/>
        <v>21.592044986892798</v>
      </c>
      <c r="AC9" s="158">
        <f t="shared" si="11"/>
        <v>21.042239674567803</v>
      </c>
      <c r="AD9" s="175">
        <f t="shared" si="12"/>
        <v>47.345039267777551</v>
      </c>
      <c r="AE9" s="175">
        <f t="shared" si="13"/>
        <v>63.061166404174671</v>
      </c>
      <c r="AF9" s="165">
        <f t="shared" si="23"/>
        <v>2.9968847128184759</v>
      </c>
      <c r="AG9" s="151">
        <f>$M$42/($Q$28*$Q$37*$Q$34*($AC9-$Q$47)^2/4/$AF9)/(PI()*$Q$37/60/($AC9-$Q$47))</f>
        <v>-0.86209649393412002</v>
      </c>
      <c r="AH9" s="228">
        <f t="shared" si="14"/>
        <v>2.0277777777777777</v>
      </c>
      <c r="AI9" s="228">
        <f t="shared" si="15"/>
        <v>73</v>
      </c>
      <c r="AJ9" s="229">
        <f t="shared" si="16"/>
        <v>29934.022583352191</v>
      </c>
      <c r="AK9" s="229">
        <f t="shared" si="17"/>
        <v>64.960986509010823</v>
      </c>
      <c r="AL9" s="229">
        <f t="shared" si="18"/>
        <v>48.916038145625215</v>
      </c>
      <c r="AM9" s="229">
        <f t="shared" si="19"/>
        <v>64.956469383175516</v>
      </c>
      <c r="AN9" s="2">
        <f t="shared" si="29"/>
        <v>48.916038145625222</v>
      </c>
      <c r="AO9" s="3">
        <f t="shared" si="20"/>
        <v>22540.510377504103</v>
      </c>
      <c r="AP9" s="227">
        <f t="shared" si="24"/>
        <v>1.1940047180732638E-2</v>
      </c>
      <c r="AQ9" s="227">
        <f t="shared" si="30"/>
        <v>6.8052864043096239E-2</v>
      </c>
      <c r="AR9" s="231">
        <f t="shared" si="25"/>
        <v>7.8320005961308517E-7</v>
      </c>
      <c r="AS9" s="228">
        <f t="shared" si="31"/>
        <v>4.7787046292215356E-2</v>
      </c>
      <c r="AT9" s="232">
        <f t="shared" si="32"/>
        <v>-3.2352400686915766E-7</v>
      </c>
      <c r="AU9" s="165">
        <f t="shared" si="33"/>
        <v>0.1156848231047435</v>
      </c>
      <c r="AX9" s="127"/>
      <c r="AY9" s="96"/>
    </row>
    <row r="10" spans="1:51" ht="13.95" customHeight="1" x14ac:dyDescent="0.3">
      <c r="A10" t="s">
        <v>230</v>
      </c>
      <c r="B10" s="176">
        <v>50</v>
      </c>
      <c r="C10" s="220">
        <f t="shared" si="1"/>
        <v>1.5222222222222221</v>
      </c>
      <c r="D10" s="73">
        <v>94</v>
      </c>
      <c r="E10" s="73">
        <v>1.89</v>
      </c>
      <c r="F10" s="73">
        <v>11.91</v>
      </c>
      <c r="G10" s="73">
        <v>6.33</v>
      </c>
      <c r="H10" s="73">
        <v>1850</v>
      </c>
      <c r="I10" s="78">
        <v>2380</v>
      </c>
      <c r="J10" s="61"/>
      <c r="K10" s="2">
        <f t="shared" si="2"/>
        <v>75.390299999999996</v>
      </c>
      <c r="L10" s="1">
        <f t="shared" si="3"/>
        <v>94</v>
      </c>
      <c r="M10" s="234">
        <f t="shared" si="4"/>
        <v>4.5432947822700038</v>
      </c>
      <c r="N10" s="3">
        <f t="shared" si="5"/>
        <v>540.54054054054052</v>
      </c>
      <c r="O10" s="3">
        <f t="shared" si="5"/>
        <v>420.1680672268908</v>
      </c>
      <c r="P10" s="3">
        <f t="shared" si="6"/>
        <v>32432.43243243243</v>
      </c>
      <c r="Q10" s="3">
        <f t="shared" si="6"/>
        <v>25210.08403361345</v>
      </c>
      <c r="R10" s="3">
        <f t="shared" si="7"/>
        <v>70.382882882882882</v>
      </c>
      <c r="S10" s="3">
        <f t="shared" si="7"/>
        <v>54.709383753501406</v>
      </c>
      <c r="T10" s="3">
        <f t="shared" si="8"/>
        <v>94</v>
      </c>
      <c r="U10" s="158">
        <f t="shared" si="0"/>
        <v>75.390299999999996</v>
      </c>
      <c r="V10" s="229">
        <f t="shared" si="21"/>
        <v>73.659319999999994</v>
      </c>
      <c r="W10" s="234">
        <f t="shared" si="22"/>
        <v>9.8778768625039995E-2</v>
      </c>
      <c r="X10" s="230">
        <f t="shared" si="26"/>
        <v>1.5995904528576896E-2</v>
      </c>
      <c r="Y10" s="230">
        <f t="shared" si="27"/>
        <v>1.4131902975318876E-2</v>
      </c>
      <c r="Z10" s="228">
        <f t="shared" si="9"/>
        <v>1.5428005935629054</v>
      </c>
      <c r="AA10" s="229">
        <f t="shared" si="10"/>
        <v>18.795739753258349</v>
      </c>
      <c r="AB10" s="2">
        <f t="shared" si="28"/>
        <v>24.93124414315681</v>
      </c>
      <c r="AC10" s="158">
        <f t="shared" si="11"/>
        <v>24.365740889238232</v>
      </c>
      <c r="AD10" s="175">
        <f t="shared" si="12"/>
        <v>54.82291700078602</v>
      </c>
      <c r="AE10" s="175">
        <f t="shared" si="13"/>
        <v>72.599830230016238</v>
      </c>
      <c r="AF10" s="165">
        <f t="shared" si="23"/>
        <v>2.9795864020733247</v>
      </c>
      <c r="AG10" s="151"/>
      <c r="AH10" s="228">
        <f t="shared" si="14"/>
        <v>2.6111111111111112</v>
      </c>
      <c r="AI10" s="228">
        <f t="shared" si="15"/>
        <v>94</v>
      </c>
      <c r="AJ10" s="229">
        <f t="shared" si="16"/>
        <v>33099.1687896367</v>
      </c>
      <c r="AK10" s="229">
        <f t="shared" si="17"/>
        <v>71.829793380287981</v>
      </c>
      <c r="AL10" s="229">
        <f t="shared" si="18"/>
        <v>55.491386675659186</v>
      </c>
      <c r="AM10" s="229">
        <f t="shared" si="19"/>
        <v>71.81999762570409</v>
      </c>
      <c r="AN10" s="2">
        <f t="shared" si="29"/>
        <v>55.491386675659186</v>
      </c>
      <c r="AO10" s="3">
        <f t="shared" si="20"/>
        <v>25570.430980143752</v>
      </c>
      <c r="AP10" s="227">
        <f t="shared" si="24"/>
        <v>1.452794718917157E-2</v>
      </c>
      <c r="AQ10" s="227">
        <f t="shared" si="30"/>
        <v>9.1558068579839655E-2</v>
      </c>
      <c r="AR10" s="231">
        <f t="shared" si="25"/>
        <v>8.5204826054385741E-7</v>
      </c>
      <c r="AS10" s="228">
        <f t="shared" si="31"/>
        <v>4.3925701439619165E-2</v>
      </c>
      <c r="AT10" s="232">
        <f t="shared" si="32"/>
        <v>-3.8311929266509618E-7</v>
      </c>
      <c r="AU10" s="165">
        <f t="shared" si="33"/>
        <v>9.7689722813079499E-2</v>
      </c>
      <c r="AX10" s="150"/>
      <c r="AY10" s="152"/>
    </row>
    <row r="11" spans="1:51" ht="13.95" customHeight="1" x14ac:dyDescent="0.3">
      <c r="A11" t="s">
        <v>231</v>
      </c>
      <c r="B11" s="176">
        <v>52</v>
      </c>
      <c r="C11" s="220">
        <f t="shared" si="1"/>
        <v>1.55</v>
      </c>
      <c r="D11" s="73">
        <v>99</v>
      </c>
      <c r="E11" s="73">
        <v>1.93</v>
      </c>
      <c r="F11" s="73">
        <v>11.89</v>
      </c>
      <c r="G11" s="73">
        <v>6.65</v>
      </c>
      <c r="H11" s="73">
        <v>1820</v>
      </c>
      <c r="I11" s="78">
        <v>2345</v>
      </c>
      <c r="J11" s="61"/>
      <c r="K11" s="2">
        <f t="shared" si="2"/>
        <v>79.068500000000014</v>
      </c>
      <c r="L11" s="1">
        <f t="shared" si="3"/>
        <v>99</v>
      </c>
      <c r="M11" s="234">
        <f t="shared" si="4"/>
        <v>4.5951198501345898</v>
      </c>
      <c r="N11" s="3">
        <f t="shared" si="5"/>
        <v>549.45054945054949</v>
      </c>
      <c r="O11" s="3">
        <f t="shared" si="5"/>
        <v>426.43923240938165</v>
      </c>
      <c r="P11" s="3">
        <f t="shared" si="6"/>
        <v>32967.032967032967</v>
      </c>
      <c r="Q11" s="3">
        <f t="shared" si="6"/>
        <v>25586.353944562899</v>
      </c>
      <c r="R11" s="3">
        <f t="shared" si="7"/>
        <v>71.543040293040292</v>
      </c>
      <c r="S11" s="3">
        <f t="shared" si="7"/>
        <v>55.52594171997157</v>
      </c>
      <c r="T11" s="3">
        <f t="shared" si="8"/>
        <v>99</v>
      </c>
      <c r="U11" s="158">
        <f t="shared" si="0"/>
        <v>79.068500000000014</v>
      </c>
      <c r="V11" s="229">
        <f t="shared" si="21"/>
        <v>77.337520000000012</v>
      </c>
      <c r="W11" s="234">
        <f t="shared" si="22"/>
        <v>0.10371131574544003</v>
      </c>
      <c r="X11" s="230">
        <f t="shared" si="26"/>
        <v>1.6522318852283214E-2</v>
      </c>
      <c r="Y11" s="230">
        <f t="shared" si="27"/>
        <v>1.4658317299025194E-2</v>
      </c>
      <c r="Z11" s="228">
        <f t="shared" si="9"/>
        <v>1.6203574063057316</v>
      </c>
      <c r="AA11" s="229">
        <f t="shared" si="10"/>
        <v>20.230702096643892</v>
      </c>
      <c r="AB11" s="2">
        <f t="shared" si="28"/>
        <v>25.586298079062946</v>
      </c>
      <c r="AC11" s="158">
        <f t="shared" si="11"/>
        <v>24.970666370165908</v>
      </c>
      <c r="AD11" s="175">
        <f t="shared" si="12"/>
        <v>56.183999332873292</v>
      </c>
      <c r="AE11" s="175">
        <f t="shared" si="13"/>
        <v>73.683409785688113</v>
      </c>
      <c r="AF11" s="163">
        <f t="shared" si="23"/>
        <v>2.9507986968951103</v>
      </c>
      <c r="AG11" s="159">
        <f>$M$42/($Q$28*$Q$37*$Q$34*($AC11-$Q$47)^2/4/$AF11)/(PI()*$Q$37/60/($AC11-$Q$47))</f>
        <v>-0.69706398367606981</v>
      </c>
      <c r="AH11" s="228">
        <f t="shared" si="14"/>
        <v>2.75</v>
      </c>
      <c r="AI11" s="228">
        <f t="shared" si="15"/>
        <v>99.000000000000014</v>
      </c>
      <c r="AJ11" s="229">
        <f t="shared" si="16"/>
        <v>33747.946433673147</v>
      </c>
      <c r="AK11" s="229">
        <f t="shared" si="17"/>
        <v>73.237730975853182</v>
      </c>
      <c r="AL11" s="229">
        <f t="shared" si="18"/>
        <v>56.839172480802645</v>
      </c>
      <c r="AM11" s="229">
        <f t="shared" si="19"/>
        <v>73.226853231338964</v>
      </c>
      <c r="AN11" s="2">
        <f t="shared" si="29"/>
        <v>56.839172480802645</v>
      </c>
      <c r="AO11" s="3">
        <f t="shared" si="20"/>
        <v>26191.49067915386</v>
      </c>
      <c r="AP11" s="227">
        <f t="shared" si="24"/>
        <v>1.5085314891910312E-2</v>
      </c>
      <c r="AQ11" s="227">
        <f t="shared" si="30"/>
        <v>9.6934196288515045E-2</v>
      </c>
      <c r="AR11" s="231">
        <f t="shared" si="25"/>
        <v>8.6616045969198081E-7</v>
      </c>
      <c r="AS11" s="228">
        <f t="shared" si="31"/>
        <v>4.321002775641114E-2</v>
      </c>
      <c r="AT11" s="232">
        <f t="shared" si="32"/>
        <v>-3.9396650005048754E-7</v>
      </c>
      <c r="AU11" s="165">
        <f t="shared" si="33"/>
        <v>9.5000000000000029E-2</v>
      </c>
      <c r="AX11" s="127"/>
      <c r="AY11" s="96"/>
    </row>
    <row r="12" spans="1:51" ht="13.95" customHeight="1" x14ac:dyDescent="0.3">
      <c r="A12" t="s">
        <v>232</v>
      </c>
      <c r="B12" s="176">
        <v>55</v>
      </c>
      <c r="C12" s="220">
        <f t="shared" si="1"/>
        <v>1.6111111111111112</v>
      </c>
      <c r="D12" s="73">
        <v>110</v>
      </c>
      <c r="E12" s="73">
        <v>2.02</v>
      </c>
      <c r="F12" s="73">
        <v>11.85</v>
      </c>
      <c r="G12" s="73">
        <v>7.55</v>
      </c>
      <c r="H12" s="73">
        <v>1710</v>
      </c>
      <c r="I12" s="78">
        <v>2220</v>
      </c>
      <c r="J12" s="61"/>
      <c r="K12" s="2">
        <f t="shared" si="2"/>
        <v>89.467500000000001</v>
      </c>
      <c r="L12" s="1">
        <f t="shared" si="3"/>
        <v>110</v>
      </c>
      <c r="M12" s="234">
        <f t="shared" si="4"/>
        <v>4.7004803657924166</v>
      </c>
      <c r="N12" s="3">
        <f t="shared" si="5"/>
        <v>584.79532163742692</v>
      </c>
      <c r="O12" s="3">
        <f t="shared" si="5"/>
        <v>450.45045045045049</v>
      </c>
      <c r="P12" s="3">
        <f t="shared" si="6"/>
        <v>35087.719298245618</v>
      </c>
      <c r="Q12" s="3">
        <f t="shared" si="6"/>
        <v>27027.02702702703</v>
      </c>
      <c r="R12" s="3">
        <f t="shared" si="7"/>
        <v>76.145224171539965</v>
      </c>
      <c r="S12" s="3">
        <f t="shared" si="7"/>
        <v>58.652402402402409</v>
      </c>
      <c r="T12" s="3">
        <f t="shared" si="8"/>
        <v>110</v>
      </c>
      <c r="U12" s="158">
        <f t="shared" si="0"/>
        <v>89.467500000000001</v>
      </c>
      <c r="V12" s="229">
        <f t="shared" si="21"/>
        <v>87.736519999999999</v>
      </c>
      <c r="W12" s="234">
        <f t="shared" si="22"/>
        <v>0.11765660352344001</v>
      </c>
      <c r="X12" s="230">
        <f t="shared" si="26"/>
        <v>1.7611075728595545E-2</v>
      </c>
      <c r="Y12" s="230">
        <f t="shared" si="27"/>
        <v>1.5747074175337526E-2</v>
      </c>
      <c r="Z12" s="228">
        <f t="shared" si="9"/>
        <v>1.953604519532822</v>
      </c>
      <c r="AA12" s="229">
        <f t="shared" si="10"/>
        <v>26.782413083507471</v>
      </c>
      <c r="AB12" s="2">
        <f t="shared" si="28"/>
        <v>29.935354272230107</v>
      </c>
      <c r="AC12" s="158">
        <f t="shared" si="11"/>
        <v>27.418459381852905</v>
      </c>
      <c r="AD12" s="175">
        <f t="shared" si="12"/>
        <v>61.691533609169035</v>
      </c>
      <c r="AE12" s="175">
        <f t="shared" si="13"/>
        <v>77.832250426774166</v>
      </c>
      <c r="AF12" s="165">
        <f t="shared" si="23"/>
        <v>2.8386806619152343</v>
      </c>
      <c r="AG12" s="151"/>
      <c r="AH12" s="228">
        <f t="shared" si="14"/>
        <v>3.0555555555555558</v>
      </c>
      <c r="AI12" s="228">
        <f t="shared" si="15"/>
        <v>110.00000000000001</v>
      </c>
      <c r="AJ12" s="229">
        <f t="shared" si="16"/>
        <v>35066.913295454338</v>
      </c>
      <c r="AK12" s="229">
        <f t="shared" si="17"/>
        <v>76.100072255760281</v>
      </c>
      <c r="AL12" s="229">
        <f t="shared" si="18"/>
        <v>59.579224993560686</v>
      </c>
      <c r="AM12" s="229">
        <f t="shared" si="19"/>
        <v>76.086994822529888</v>
      </c>
      <c r="AN12" s="2">
        <f t="shared" si="29"/>
        <v>59.579224993560686</v>
      </c>
      <c r="AO12" s="3">
        <f t="shared" si="20"/>
        <v>27454.106877032766</v>
      </c>
      <c r="AP12" s="227">
        <f t="shared" si="24"/>
        <v>1.6246672508802271E-2</v>
      </c>
      <c r="AQ12" s="227">
        <f t="shared" si="30"/>
        <v>0.1084768956979838</v>
      </c>
      <c r="AR12" s="231">
        <f t="shared" si="25"/>
        <v>8.9485060213805108E-7</v>
      </c>
      <c r="AS12" s="228">
        <f t="shared" si="31"/>
        <v>4.1824654769604085E-2</v>
      </c>
      <c r="AT12" s="232">
        <f t="shared" si="32"/>
        <v>-4.3785904429174298E-7</v>
      </c>
      <c r="AU12" s="165">
        <f t="shared" si="33"/>
        <v>8.5476862914493204E-2</v>
      </c>
      <c r="AX12" s="127"/>
      <c r="AY12" s="96"/>
    </row>
    <row r="13" spans="1:51" ht="13.95" customHeight="1" x14ac:dyDescent="0.3">
      <c r="A13" t="s">
        <v>232</v>
      </c>
      <c r="B13" s="176">
        <v>62</v>
      </c>
      <c r="C13" s="220">
        <f t="shared" si="1"/>
        <v>1.7333333333333334</v>
      </c>
      <c r="D13" s="73">
        <v>132</v>
      </c>
      <c r="E13" s="73">
        <v>2.2200000000000002</v>
      </c>
      <c r="F13" s="73">
        <v>11.77</v>
      </c>
      <c r="G13" s="73">
        <v>9.31</v>
      </c>
      <c r="H13" s="73">
        <v>1610</v>
      </c>
      <c r="I13" s="78">
        <v>2030</v>
      </c>
      <c r="J13" s="61"/>
      <c r="K13" s="2">
        <f t="shared" si="2"/>
        <v>109.5787</v>
      </c>
      <c r="L13" s="1">
        <f t="shared" si="3"/>
        <v>132</v>
      </c>
      <c r="M13" s="234">
        <f t="shared" si="4"/>
        <v>4.8828019225863706</v>
      </c>
      <c r="N13" s="3">
        <f t="shared" si="5"/>
        <v>621.11801242236027</v>
      </c>
      <c r="O13" s="3">
        <f t="shared" si="5"/>
        <v>492.61083743842363</v>
      </c>
      <c r="P13" s="3">
        <f t="shared" si="6"/>
        <v>37267.080745341613</v>
      </c>
      <c r="Q13" s="3">
        <f t="shared" si="6"/>
        <v>29556.650246305417</v>
      </c>
      <c r="R13" s="3">
        <f t="shared" si="7"/>
        <v>80.874741200828154</v>
      </c>
      <c r="S13" s="3">
        <f t="shared" si="7"/>
        <v>64.142036124794743</v>
      </c>
      <c r="T13" s="3">
        <f t="shared" si="8"/>
        <v>132</v>
      </c>
      <c r="U13" s="158">
        <f t="shared" si="0"/>
        <v>109.5787</v>
      </c>
      <c r="V13" s="229">
        <f t="shared" si="21"/>
        <v>107.84772</v>
      </c>
      <c r="W13" s="234">
        <f t="shared" si="22"/>
        <v>0.14462616516984</v>
      </c>
      <c r="X13" s="230">
        <f t="shared" si="26"/>
        <v>2.0381972622498658E-2</v>
      </c>
      <c r="Y13" s="230">
        <f t="shared" si="27"/>
        <v>1.8517971069240639E-2</v>
      </c>
      <c r="Z13" s="228">
        <f t="shared" si="9"/>
        <v>2.3407086194813465</v>
      </c>
      <c r="AA13" s="229">
        <f t="shared" si="10"/>
        <v>35.124953566728934</v>
      </c>
      <c r="AB13" s="2">
        <f t="shared" si="28"/>
        <v>32.054544876631077</v>
      </c>
      <c r="AC13" s="158">
        <f t="shared" si="11"/>
        <v>30.012239263263716</v>
      </c>
      <c r="AD13" s="175">
        <f t="shared" si="12"/>
        <v>67.527538342343348</v>
      </c>
      <c r="AE13" s="175">
        <f t="shared" si="13"/>
        <v>85.117042338639706</v>
      </c>
      <c r="AF13" s="165">
        <f t="shared" si="23"/>
        <v>2.8360776945699837</v>
      </c>
      <c r="AG13" s="151"/>
      <c r="AH13" s="228">
        <f t="shared" si="14"/>
        <v>3.6666666666666665</v>
      </c>
      <c r="AI13" s="228">
        <f t="shared" si="15"/>
        <v>132</v>
      </c>
      <c r="AJ13" s="229">
        <f t="shared" si="16"/>
        <v>37349.325165766008</v>
      </c>
      <c r="AK13" s="229">
        <f t="shared" si="17"/>
        <v>81.053223015985253</v>
      </c>
      <c r="AL13" s="229">
        <f t="shared" si="18"/>
        <v>64.320760631499823</v>
      </c>
      <c r="AM13" s="229">
        <f t="shared" si="19"/>
        <v>81.036339121969291</v>
      </c>
      <c r="AN13" s="2">
        <f t="shared" si="29"/>
        <v>64.320760631499837</v>
      </c>
      <c r="AO13" s="3">
        <f t="shared" si="20"/>
        <v>29639.006498995124</v>
      </c>
      <c r="AP13" s="227">
        <f t="shared" si="24"/>
        <v>1.8345747573751899E-2</v>
      </c>
      <c r="AQ13" s="227">
        <f t="shared" si="30"/>
        <v>0.13046483083418173</v>
      </c>
      <c r="AR13" s="231">
        <f t="shared" si="25"/>
        <v>9.4449758234452328E-7</v>
      </c>
      <c r="AS13" s="228">
        <f t="shared" si="31"/>
        <v>3.962616549201943E-2</v>
      </c>
      <c r="AT13" s="232">
        <f t="shared" si="32"/>
        <v>-4.8436934873878421E-7</v>
      </c>
      <c r="AU13" s="165">
        <f t="shared" si="33"/>
        <v>7.7269169905670995E-2</v>
      </c>
      <c r="AX13" s="127"/>
      <c r="AY13" s="96"/>
    </row>
    <row r="14" spans="1:51" ht="13.95" customHeight="1" thickBot="1" x14ac:dyDescent="0.35">
      <c r="A14" t="s">
        <v>233</v>
      </c>
      <c r="B14" t="s">
        <v>234</v>
      </c>
      <c r="C14" s="221">
        <f t="shared" si="1"/>
        <v>2</v>
      </c>
      <c r="D14" s="80">
        <v>180</v>
      </c>
      <c r="E14" s="80">
        <v>2.65</v>
      </c>
      <c r="F14" s="80">
        <v>11.51</v>
      </c>
      <c r="G14" s="80">
        <v>14.62</v>
      </c>
      <c r="H14" s="80">
        <v>1370</v>
      </c>
      <c r="I14" s="81">
        <v>1680</v>
      </c>
      <c r="J14" s="61"/>
      <c r="K14" s="2">
        <f t="shared" si="2"/>
        <v>168.27619999999999</v>
      </c>
      <c r="L14" s="1">
        <f t="shared" si="3"/>
        <v>180</v>
      </c>
      <c r="M14" s="234">
        <f t="shared" si="4"/>
        <v>5.1929568508902104</v>
      </c>
      <c r="N14" s="3">
        <f t="shared" si="5"/>
        <v>729.92700729927003</v>
      </c>
      <c r="O14" s="3">
        <f t="shared" si="5"/>
        <v>595.2380952380953</v>
      </c>
      <c r="P14" s="3">
        <f t="shared" si="6"/>
        <v>43795.620437956204</v>
      </c>
      <c r="Q14" s="3">
        <f t="shared" si="6"/>
        <v>35714.285714285717</v>
      </c>
      <c r="R14" s="3">
        <f t="shared" si="7"/>
        <v>95.042579075425792</v>
      </c>
      <c r="S14" s="3">
        <f t="shared" si="7"/>
        <v>77.504960317460316</v>
      </c>
      <c r="T14" s="3">
        <f t="shared" si="8"/>
        <v>180</v>
      </c>
      <c r="U14" s="158">
        <f t="shared" si="0"/>
        <v>168.27619999999999</v>
      </c>
      <c r="V14" s="229">
        <f t="shared" si="21"/>
        <v>166.54522</v>
      </c>
      <c r="W14" s="234">
        <f t="shared" si="22"/>
        <v>0.22334080401484002</v>
      </c>
      <c r="X14" s="230">
        <f t="shared" si="26"/>
        <v>2.6783178111328961E-2</v>
      </c>
      <c r="Y14" s="230">
        <f t="shared" si="27"/>
        <v>2.4919176558070941E-2</v>
      </c>
      <c r="Z14" s="163">
        <f>C34/0.224</f>
        <v>4.4249528005034611</v>
      </c>
      <c r="AA14" s="229">
        <f t="shared" si="10"/>
        <v>91.297248929319878</v>
      </c>
      <c r="AB14" s="2">
        <f>AA14/U14*100</f>
        <v>54.254403729891621</v>
      </c>
      <c r="AC14" s="158">
        <f t="shared" si="11"/>
        <v>41.264733453849395</v>
      </c>
      <c r="AD14" s="175">
        <f>AC14*1/1.6/1000*3600</f>
        <v>92.845650271161119</v>
      </c>
      <c r="AE14" s="175">
        <f t="shared" si="13"/>
        <v>102.84975949252301</v>
      </c>
      <c r="AF14" s="165">
        <f t="shared" si="23"/>
        <v>2.4924372674683695</v>
      </c>
      <c r="AG14" s="151"/>
      <c r="AH14" s="228">
        <f t="shared" si="14"/>
        <v>5</v>
      </c>
      <c r="AI14" s="228">
        <f t="shared" si="15"/>
        <v>180</v>
      </c>
      <c r="AJ14" s="229">
        <f t="shared" si="16"/>
        <v>41232.032742667434</v>
      </c>
      <c r="AK14" s="229">
        <f t="shared" si="17"/>
        <v>89.479237722802594</v>
      </c>
      <c r="AL14" s="229">
        <f t="shared" si="18"/>
        <v>72.386787884092314</v>
      </c>
      <c r="AM14" s="229">
        <f t="shared" si="19"/>
        <v>89.455878497000398</v>
      </c>
      <c r="AN14" s="2">
        <f t="shared" si="29"/>
        <v>72.386787884092286</v>
      </c>
      <c r="AO14" s="3">
        <f t="shared" si="20"/>
        <v>33355.831856989724</v>
      </c>
      <c r="AP14" s="227">
        <f t="shared" si="24"/>
        <v>2.2176915599306801E-2</v>
      </c>
      <c r="AQ14" s="227">
        <f t="shared" si="30"/>
        <v>0.174104971462679</v>
      </c>
      <c r="AR14" s="231">
        <f t="shared" si="25"/>
        <v>1.0289541647542625E-6</v>
      </c>
      <c r="AS14" s="228">
        <f t="shared" si="31"/>
        <v>3.6373648882343262E-2</v>
      </c>
      <c r="AT14" s="232">
        <f t="shared" si="32"/>
        <v>-6.8614319020602452E-7</v>
      </c>
      <c r="AU14" s="165">
        <f t="shared" si="33"/>
        <v>5.4546657372724745E-2</v>
      </c>
      <c r="AX14" s="127"/>
      <c r="AY14" s="96"/>
    </row>
    <row r="15" spans="1:51" ht="13.95" customHeight="1" x14ac:dyDescent="0.3">
      <c r="AE15" s="45"/>
      <c r="AF15" s="30"/>
      <c r="AV15" s="146"/>
      <c r="AW15" s="95"/>
      <c r="AX15" s="128"/>
      <c r="AY15" s="96"/>
    </row>
    <row r="16" spans="1:51" x14ac:dyDescent="0.3">
      <c r="A16" t="s">
        <v>235</v>
      </c>
      <c r="AE16" s="194"/>
      <c r="AF16" s="30"/>
    </row>
    <row r="17" spans="1:48" ht="13.95" customHeight="1" x14ac:dyDescent="0.3">
      <c r="A17">
        <v>1</v>
      </c>
      <c r="C17" t="s">
        <v>236</v>
      </c>
      <c r="I17" s="3" t="s">
        <v>28</v>
      </c>
      <c r="J17" s="11" t="s">
        <v>29</v>
      </c>
      <c r="K17" s="12"/>
      <c r="L17" s="12"/>
      <c r="AE17" s="45"/>
      <c r="AF17" s="30"/>
    </row>
    <row r="18" spans="1:48" ht="13.95" customHeight="1" x14ac:dyDescent="0.3">
      <c r="A18">
        <v>2</v>
      </c>
      <c r="C18" t="s">
        <v>237</v>
      </c>
      <c r="I18" s="3"/>
      <c r="J18" s="13" t="s">
        <v>276</v>
      </c>
      <c r="K18" s="14"/>
      <c r="L18" s="14"/>
      <c r="AE18" s="149"/>
      <c r="AF18" s="30"/>
    </row>
    <row r="19" spans="1:48" ht="13.95" customHeight="1" x14ac:dyDescent="0.3">
      <c r="A19">
        <v>3</v>
      </c>
      <c r="C19" t="s">
        <v>239</v>
      </c>
      <c r="I19" s="3"/>
      <c r="J19" s="15" t="s">
        <v>274</v>
      </c>
      <c r="K19" s="16"/>
      <c r="L19" s="16"/>
      <c r="AE19" s="149"/>
      <c r="AF19" s="30"/>
    </row>
    <row r="20" spans="1:48" ht="13.95" customHeight="1" x14ac:dyDescent="0.3">
      <c r="A20">
        <v>4</v>
      </c>
      <c r="C20" t="s">
        <v>238</v>
      </c>
      <c r="J20" s="288" t="s">
        <v>297</v>
      </c>
      <c r="K20" s="287"/>
      <c r="L20" s="287"/>
      <c r="M20" s="287"/>
      <c r="N20" s="287"/>
      <c r="O20" s="289"/>
      <c r="AE20" s="149"/>
      <c r="AF20" s="30"/>
      <c r="AN20" s="45"/>
    </row>
    <row r="21" spans="1:48" ht="13.95" customHeight="1" x14ac:dyDescent="0.3">
      <c r="A21">
        <v>5</v>
      </c>
      <c r="C21" t="s">
        <v>240</v>
      </c>
      <c r="O21" s="188"/>
      <c r="AE21" s="149"/>
      <c r="AF21" s="30"/>
      <c r="AN21" s="45"/>
      <c r="AO21" s="5"/>
      <c r="AU21" s="5"/>
      <c r="AV21" s="5"/>
    </row>
    <row r="22" spans="1:48" ht="13.95" customHeight="1" thickBot="1" x14ac:dyDescent="0.35">
      <c r="A22">
        <v>6</v>
      </c>
      <c r="C22" t="s">
        <v>241</v>
      </c>
      <c r="O22" s="188"/>
      <c r="AN22" s="45"/>
      <c r="AO22" s="5"/>
      <c r="AV22" s="5"/>
    </row>
    <row r="23" spans="1:48" ht="13.95" customHeight="1" x14ac:dyDescent="0.3">
      <c r="A23">
        <v>7</v>
      </c>
      <c r="C23" t="s">
        <v>243</v>
      </c>
      <c r="O23" s="188"/>
      <c r="P23" s="214" t="s">
        <v>270</v>
      </c>
      <c r="Q23" s="64"/>
      <c r="R23" s="64"/>
      <c r="S23" s="64"/>
      <c r="T23" s="29"/>
      <c r="AN23" s="45"/>
      <c r="AO23" s="5"/>
      <c r="AV23" s="5"/>
    </row>
    <row r="24" spans="1:48" ht="13.95" customHeight="1" x14ac:dyDescent="0.3">
      <c r="A24" s="45">
        <v>8</v>
      </c>
      <c r="B24" s="45"/>
      <c r="C24" s="45" t="s">
        <v>275</v>
      </c>
      <c r="D24" s="61"/>
      <c r="E24" s="61"/>
      <c r="F24" s="61"/>
      <c r="G24" s="61"/>
      <c r="O24" s="188"/>
      <c r="P24" s="268" t="s">
        <v>15</v>
      </c>
      <c r="Q24" s="269">
        <f>C46</f>
        <v>5</v>
      </c>
      <c r="R24" s="45"/>
      <c r="S24" s="30"/>
      <c r="T24" s="31" t="s">
        <v>265</v>
      </c>
      <c r="AN24" s="45"/>
      <c r="AO24" s="5"/>
      <c r="AV24" s="5"/>
    </row>
    <row r="25" spans="1:48" ht="13.95" customHeight="1" thickBot="1" x14ac:dyDescent="0.35">
      <c r="H25" s="61"/>
      <c r="I25" s="61"/>
      <c r="J25" s="61"/>
      <c r="K25" s="187"/>
      <c r="L25" s="61"/>
      <c r="M25" s="61"/>
      <c r="N25" s="188"/>
      <c r="O25" s="188"/>
      <c r="P25" s="268" t="s">
        <v>17</v>
      </c>
      <c r="Q25" s="269">
        <f>C38</f>
        <v>5</v>
      </c>
      <c r="R25" s="30"/>
      <c r="S25" s="30"/>
      <c r="T25" s="31" t="s">
        <v>265</v>
      </c>
      <c r="AN25" s="45"/>
      <c r="AO25" s="5"/>
      <c r="AV25" s="5"/>
    </row>
    <row r="26" spans="1:48" ht="13.95" customHeight="1" x14ac:dyDescent="0.3">
      <c r="A26" t="s">
        <v>32</v>
      </c>
      <c r="B26" s="17" t="s">
        <v>3</v>
      </c>
      <c r="C26" s="18">
        <v>1</v>
      </c>
      <c r="D26"/>
      <c r="F26"/>
      <c r="G26" s="61"/>
      <c r="I26" s="17" t="s">
        <v>134</v>
      </c>
      <c r="J26" s="28"/>
      <c r="K26" s="28"/>
      <c r="L26" s="29"/>
      <c r="M26" s="61"/>
      <c r="N26" s="188"/>
      <c r="O26" s="188"/>
      <c r="P26" s="268" t="s">
        <v>16</v>
      </c>
      <c r="Q26" s="269">
        <f>C37</f>
        <v>0</v>
      </c>
      <c r="R26" s="30"/>
      <c r="S26" s="30"/>
      <c r="T26" s="31" t="s">
        <v>265</v>
      </c>
      <c r="AN26" s="45"/>
      <c r="AO26" s="5"/>
      <c r="AV26" s="5"/>
    </row>
    <row r="27" spans="1:48" ht="13.95" customHeight="1" x14ac:dyDescent="0.3">
      <c r="A27" s="189"/>
      <c r="B27" s="19" t="s">
        <v>4</v>
      </c>
      <c r="C27" s="20">
        <v>4800</v>
      </c>
      <c r="D27" t="s">
        <v>77</v>
      </c>
      <c r="F27"/>
      <c r="G27" s="61"/>
      <c r="I27" s="19" t="s">
        <v>128</v>
      </c>
      <c r="J27" s="208">
        <v>25</v>
      </c>
      <c r="K27" s="30" t="s">
        <v>93</v>
      </c>
      <c r="L27" s="31"/>
      <c r="M27" s="61"/>
      <c r="N27" s="188"/>
      <c r="O27" s="188"/>
      <c r="P27" s="268" t="s">
        <v>14</v>
      </c>
      <c r="Q27" s="269">
        <f>C45</f>
        <v>0</v>
      </c>
      <c r="R27" s="45"/>
      <c r="S27" s="30"/>
      <c r="T27" s="31" t="s">
        <v>265</v>
      </c>
      <c r="AN27" s="45"/>
      <c r="AO27" s="5"/>
      <c r="AP27" s="5"/>
    </row>
    <row r="28" spans="1:48" ht="13.95" customHeight="1" x14ac:dyDescent="0.3">
      <c r="A28" s="189"/>
      <c r="B28" s="19" t="s">
        <v>5</v>
      </c>
      <c r="C28" s="20">
        <v>12</v>
      </c>
      <c r="D28"/>
      <c r="F28"/>
      <c r="G28" s="61"/>
      <c r="I28" s="19" t="s">
        <v>144</v>
      </c>
      <c r="J28" s="208">
        <v>2.1797</v>
      </c>
      <c r="K28" s="30" t="s">
        <v>94</v>
      </c>
      <c r="L28" s="31"/>
      <c r="M28" s="61"/>
      <c r="N28" s="188"/>
      <c r="O28" s="188"/>
      <c r="P28" s="268" t="s">
        <v>177</v>
      </c>
      <c r="Q28" s="270">
        <f>$C$43</f>
        <v>1.2250000000000001</v>
      </c>
      <c r="R28" s="30"/>
      <c r="S28" s="30"/>
      <c r="T28" s="31" t="s">
        <v>161</v>
      </c>
      <c r="AN28" s="45"/>
      <c r="AO28" s="5"/>
      <c r="AP28" s="5"/>
    </row>
    <row r="29" spans="1:48" ht="13.95" customHeight="1" x14ac:dyDescent="0.3">
      <c r="A29" s="189"/>
      <c r="B29" s="57" t="s">
        <v>69</v>
      </c>
      <c r="C29" s="20">
        <v>3.9899999999999998E-2</v>
      </c>
      <c r="D29" t="s">
        <v>76</v>
      </c>
      <c r="F29"/>
      <c r="G29" s="6"/>
      <c r="I29" s="19" t="s">
        <v>129</v>
      </c>
      <c r="J29" s="44">
        <f>($J$27/25.4)^2*$J$28/1000*2.2/3</f>
        <v>1.5484983053299442E-3</v>
      </c>
      <c r="K29" s="30" t="s">
        <v>96</v>
      </c>
      <c r="L29" s="177" t="s">
        <v>146</v>
      </c>
      <c r="N29" s="3"/>
      <c r="O29" s="3"/>
      <c r="P29" s="215"/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5" customHeight="1" x14ac:dyDescent="0.3">
      <c r="A30" s="189"/>
      <c r="B30" s="57" t="s">
        <v>70</v>
      </c>
      <c r="C30" s="129">
        <v>4.1999999999999996E-6</v>
      </c>
      <c r="D30" t="s">
        <v>75</v>
      </c>
      <c r="F30"/>
      <c r="G30" s="6"/>
      <c r="I30" s="19" t="s">
        <v>141</v>
      </c>
      <c r="J30" s="210">
        <f>3/8/2*25.4</f>
        <v>4.7624999999999993</v>
      </c>
      <c r="K30" s="30" t="s">
        <v>93</v>
      </c>
      <c r="L30" s="31" t="s">
        <v>142</v>
      </c>
      <c r="N30" s="3"/>
      <c r="O30" s="3"/>
      <c r="P30" s="217" t="s">
        <v>271</v>
      </c>
      <c r="Q30" s="213"/>
      <c r="R30" s="213"/>
      <c r="S30" s="213"/>
      <c r="T30" s="216"/>
      <c r="AN30" s="45"/>
      <c r="AO30" s="5"/>
      <c r="AP30" s="5"/>
      <c r="AQ30" s="5"/>
      <c r="AR30" s="5"/>
      <c r="AS30" s="151"/>
      <c r="AT30" s="153"/>
      <c r="AU30" s="5"/>
    </row>
    <row r="31" spans="1:48" ht="13.95" customHeight="1" x14ac:dyDescent="0.3">
      <c r="A31" s="189"/>
      <c r="B31" s="19" t="s">
        <v>255</v>
      </c>
      <c r="C31" s="20">
        <v>240</v>
      </c>
      <c r="D31" t="s">
        <v>256</v>
      </c>
      <c r="F31"/>
      <c r="G31" s="6"/>
      <c r="I31" s="19" t="s">
        <v>143</v>
      </c>
      <c r="J31" s="210">
        <f>3/4*25.4</f>
        <v>19.049999999999997</v>
      </c>
      <c r="K31" s="30" t="s">
        <v>93</v>
      </c>
      <c r="L31" s="31" t="s">
        <v>142</v>
      </c>
      <c r="N31" s="3"/>
      <c r="O31" s="3"/>
      <c r="P31" s="268" t="s">
        <v>27</v>
      </c>
      <c r="Q31" s="269">
        <f>$C$27*$C$28/$B$50/100</f>
        <v>460.8</v>
      </c>
      <c r="R31" s="30"/>
      <c r="S31" s="30"/>
      <c r="T31" s="31" t="s">
        <v>266</v>
      </c>
      <c r="AN31" s="45"/>
      <c r="AO31" s="5"/>
    </row>
    <row r="32" spans="1:48" x14ac:dyDescent="0.3">
      <c r="A32" s="189"/>
      <c r="B32" s="57" t="s">
        <v>71</v>
      </c>
      <c r="C32" s="130">
        <f>C27*2*PI()/60</f>
        <v>502.6548245743669</v>
      </c>
      <c r="D32" t="s">
        <v>73</v>
      </c>
      <c r="F32"/>
      <c r="G32" s="6"/>
      <c r="I32" s="19" t="s">
        <v>145</v>
      </c>
      <c r="J32" s="44">
        <f>PI()*($J$30/25.4)^2/4*3/4*0.3</f>
        <v>6.2126221909368446E-3</v>
      </c>
      <c r="K32" s="30" t="s">
        <v>148</v>
      </c>
      <c r="L32" s="31" t="s">
        <v>142</v>
      </c>
      <c r="N32" s="3"/>
      <c r="O32" s="3"/>
      <c r="P32" s="268" t="s">
        <v>18</v>
      </c>
      <c r="Q32" s="269">
        <f>C48</f>
        <v>180</v>
      </c>
      <c r="R32" s="30"/>
      <c r="S32" s="30"/>
      <c r="T32" s="31" t="s">
        <v>175</v>
      </c>
    </row>
    <row r="33" spans="1:50" ht="13.95" customHeight="1" x14ac:dyDescent="0.3">
      <c r="A33" s="189"/>
      <c r="B33" s="57" t="s">
        <v>72</v>
      </c>
      <c r="C33" s="132">
        <f>7/C32</f>
        <v>1.3926057520540842E-2</v>
      </c>
      <c r="D33" t="s">
        <v>74</v>
      </c>
      <c r="F33"/>
      <c r="G33" s="6"/>
      <c r="I33" s="19" t="s">
        <v>135</v>
      </c>
      <c r="J33" s="44">
        <f>($J$30/25.4)^2*$J$32/2</f>
        <v>1.0920624945006168E-4</v>
      </c>
      <c r="K33" s="30" t="s">
        <v>96</v>
      </c>
      <c r="L33" s="31" t="s">
        <v>147</v>
      </c>
      <c r="N33" s="3"/>
      <c r="O33" s="3"/>
      <c r="P33" s="268" t="s">
        <v>13</v>
      </c>
      <c r="Q33" s="269">
        <f>C47</f>
        <v>0</v>
      </c>
      <c r="R33" s="30"/>
      <c r="S33" s="30"/>
      <c r="T33" s="31" t="s">
        <v>175</v>
      </c>
    </row>
    <row r="34" spans="1:50" ht="13.95" customHeight="1" thickBot="1" x14ac:dyDescent="0.35">
      <c r="B34" s="131" t="s">
        <v>257</v>
      </c>
      <c r="C34" s="204">
        <f>450/454</f>
        <v>0.99118942731277537</v>
      </c>
      <c r="D34" s="6" t="s">
        <v>155</v>
      </c>
      <c r="F34" s="6"/>
      <c r="G34" s="6"/>
      <c r="I34" s="19" t="s">
        <v>95</v>
      </c>
      <c r="J34" s="44">
        <f>$J$29+$J$33</f>
        <v>1.6577045547800059E-3</v>
      </c>
      <c r="K34" s="30" t="s">
        <v>96</v>
      </c>
      <c r="L34" s="31"/>
      <c r="N34" s="3"/>
      <c r="O34" s="3"/>
      <c r="P34" s="268" t="s">
        <v>178</v>
      </c>
      <c r="Q34" s="270">
        <f>(C40^2-C41^2)*PI()/4/1000^2</f>
        <v>2.1213604393365078E-3</v>
      </c>
      <c r="R34" s="30"/>
      <c r="S34" s="30"/>
      <c r="T34" s="31" t="s">
        <v>264</v>
      </c>
    </row>
    <row r="35" spans="1:50" ht="15" customHeight="1" thickBot="1" x14ac:dyDescent="0.35">
      <c r="D35"/>
      <c r="F35" s="6"/>
      <c r="G35" s="6"/>
      <c r="I35" s="19" t="s">
        <v>95</v>
      </c>
      <c r="J35" s="44">
        <f>$J$34/144</f>
        <v>1.1511837185972264E-5</v>
      </c>
      <c r="K35" s="30" t="s">
        <v>97</v>
      </c>
      <c r="L35" s="31"/>
      <c r="N35" s="3"/>
      <c r="O35" s="3"/>
      <c r="P35" s="268" t="s">
        <v>183</v>
      </c>
      <c r="Q35" s="271">
        <f>1/1.3556</f>
        <v>0.73768073177928595</v>
      </c>
      <c r="R35" s="30"/>
      <c r="S35" s="30"/>
      <c r="T35" s="31" t="s">
        <v>269</v>
      </c>
    </row>
    <row r="36" spans="1:50" ht="15" customHeight="1" thickBot="1" x14ac:dyDescent="0.35">
      <c r="A36" t="s">
        <v>33</v>
      </c>
      <c r="B36" s="17"/>
      <c r="C36" s="222" t="s">
        <v>22</v>
      </c>
      <c r="D36"/>
      <c r="F36" s="6"/>
      <c r="G36" s="6"/>
      <c r="I36" s="21" t="s">
        <v>95</v>
      </c>
      <c r="J36" s="108">
        <f>$J$35/2048.5*6.66</f>
        <v>3.7426817504796325E-8</v>
      </c>
      <c r="K36" s="32" t="s">
        <v>98</v>
      </c>
      <c r="L36" s="33"/>
      <c r="N36" s="3"/>
      <c r="O36" s="3"/>
      <c r="P36" s="268" t="s">
        <v>184</v>
      </c>
      <c r="Q36" s="272">
        <f>$J$35/2048.5*6.66</f>
        <v>3.7426817504796325E-8</v>
      </c>
      <c r="R36" s="30"/>
      <c r="S36" s="30"/>
      <c r="T36" s="31" t="s">
        <v>80</v>
      </c>
    </row>
    <row r="37" spans="1:50" ht="15" customHeight="1" x14ac:dyDescent="0.3">
      <c r="B37" s="24" t="s">
        <v>16</v>
      </c>
      <c r="C37" s="203">
        <v>0</v>
      </c>
      <c r="D37"/>
      <c r="F37" s="6"/>
      <c r="G37" s="6"/>
      <c r="I37" s="30"/>
      <c r="J37" s="45"/>
      <c r="K37" s="30"/>
      <c r="L37" s="30"/>
      <c r="N37" s="3"/>
      <c r="O37" s="3"/>
      <c r="P37" s="268" t="s">
        <v>199</v>
      </c>
      <c r="Q37" s="270">
        <f>C40/1000</f>
        <v>5.5E-2</v>
      </c>
      <c r="R37" s="30"/>
      <c r="S37" s="30"/>
      <c r="T37" s="31" t="s">
        <v>262</v>
      </c>
    </row>
    <row r="38" spans="1:50" ht="15" thickBot="1" x14ac:dyDescent="0.35">
      <c r="B38" s="26" t="s">
        <v>17</v>
      </c>
      <c r="C38" s="200">
        <v>5</v>
      </c>
      <c r="I38" s="208" t="s">
        <v>292</v>
      </c>
      <c r="J38" s="208"/>
      <c r="K38" s="208"/>
      <c r="L38" s="208"/>
      <c r="N38" s="3"/>
      <c r="O38" s="3"/>
      <c r="P38" s="268" t="s">
        <v>218</v>
      </c>
      <c r="Q38" s="271">
        <f>$Z$14</f>
        <v>4.4249528005034611</v>
      </c>
      <c r="R38" s="30"/>
      <c r="S38" s="30"/>
      <c r="T38" s="31" t="s">
        <v>158</v>
      </c>
      <c r="AI38" s="5"/>
    </row>
    <row r="39" spans="1:50" ht="43.8" thickBot="1" x14ac:dyDescent="0.35">
      <c r="I39" s="193" t="s">
        <v>100</v>
      </c>
      <c r="J39" s="236" t="s">
        <v>294</v>
      </c>
      <c r="K39" s="292" t="s">
        <v>300</v>
      </c>
      <c r="L39" s="263" t="s">
        <v>272</v>
      </c>
      <c r="M39" s="264" t="s">
        <v>273</v>
      </c>
      <c r="P39" s="215"/>
      <c r="Q39" s="213"/>
      <c r="R39" s="213"/>
      <c r="S39" s="213"/>
      <c r="T39" s="216"/>
      <c r="AI39" s="5"/>
    </row>
    <row r="40" spans="1:50" ht="18" x14ac:dyDescent="0.35">
      <c r="A40" s="3" t="s">
        <v>246</v>
      </c>
      <c r="B40" s="17" t="s">
        <v>247</v>
      </c>
      <c r="C40" s="199">
        <v>55</v>
      </c>
      <c r="D40" t="s">
        <v>93</v>
      </c>
      <c r="E40"/>
      <c r="I40" s="248">
        <f>(K40-K42)/(K41-K42)*(I41-I42)+I42</f>
        <v>76.913043478260875</v>
      </c>
      <c r="J40" s="253">
        <f t="shared" ref="J40:J45" si="34">(I40*$Q$31*$R$44+$Q$44)/$Q$31</f>
        <v>94.180507611575763</v>
      </c>
      <c r="K40" s="242">
        <v>0</v>
      </c>
      <c r="L40" s="213"/>
      <c r="M40" s="216"/>
      <c r="P40" s="226" t="s">
        <v>296</v>
      </c>
      <c r="Q40" s="58"/>
      <c r="R40" s="58"/>
      <c r="S40" s="58"/>
      <c r="T40" s="25"/>
      <c r="AI40" s="5"/>
    </row>
    <row r="41" spans="1:50" ht="15" thickBot="1" x14ac:dyDescent="0.35">
      <c r="B41" s="21" t="s">
        <v>248</v>
      </c>
      <c r="C41" s="200">
        <v>18</v>
      </c>
      <c r="D41" t="s">
        <v>93</v>
      </c>
      <c r="E41"/>
      <c r="I41" s="241">
        <v>62</v>
      </c>
      <c r="J41" s="253">
        <f t="shared" si="34"/>
        <v>78.613865839269394</v>
      </c>
      <c r="K41" s="243">
        <v>4.9000000000000002E-2</v>
      </c>
      <c r="L41" s="249"/>
      <c r="M41" s="250"/>
      <c r="P41" s="65" t="s">
        <v>121</v>
      </c>
      <c r="Q41" s="205">
        <f>INDEX(LINEST($Q$4:$Q$14,$E$4:$E$14^{1,2},FALSE,FALSE),3)</f>
        <v>0</v>
      </c>
      <c r="R41" s="67">
        <f>INDEX(LINEST($Q$4:$Q$14,$E$4:$E$14^{1,2},FALSE,FALSE),2)</f>
        <v>13129.73420728842</v>
      </c>
      <c r="S41" s="67">
        <f>INDEX(LINEST($Q$4:$Q$14,$E$4:$E$14^{1,2},FALSE,FALSE),1)</f>
        <v>110.96926069752767</v>
      </c>
      <c r="T41" s="31" t="s">
        <v>267</v>
      </c>
      <c r="AI41" s="5"/>
    </row>
    <row r="42" spans="1:50" ht="15" thickBot="1" x14ac:dyDescent="0.35">
      <c r="B42" s="30"/>
      <c r="C42" s="201"/>
      <c r="D42"/>
      <c r="E42"/>
      <c r="H42" s="10"/>
      <c r="I42" s="241">
        <v>48</v>
      </c>
      <c r="J42" s="253">
        <f t="shared" si="34"/>
        <v>64.000283767308289</v>
      </c>
      <c r="K42" s="243">
        <v>9.5000000000000001E-2</v>
      </c>
      <c r="L42" s="251">
        <f>$Q$36/K42</f>
        <v>3.9396650005048765E-7</v>
      </c>
      <c r="M42" s="252">
        <f>-L42/$Q$35</f>
        <v>-5.3406098746844102E-7</v>
      </c>
      <c r="N42" s="266" t="s">
        <v>291</v>
      </c>
      <c r="P42" s="65" t="s">
        <v>21</v>
      </c>
      <c r="Q42" s="205">
        <f>INDEX(LINEST($P$4:$P$14,$M$4:$M$14),2)</f>
        <v>-23776.551908037785</v>
      </c>
      <c r="R42" s="67">
        <f>INDEX(LINEST($P$4:$P$14,$M$4:$M$14),1)</f>
        <v>12518.606743200846</v>
      </c>
      <c r="S42" s="30"/>
      <c r="T42" s="31" t="s">
        <v>267</v>
      </c>
      <c r="AI42" s="5"/>
      <c r="AW42" s="151"/>
      <c r="AX42" s="164"/>
    </row>
    <row r="43" spans="1:50" ht="15" thickBot="1" x14ac:dyDescent="0.35">
      <c r="A43" s="10" t="s">
        <v>249</v>
      </c>
      <c r="B43" s="197" t="s">
        <v>250</v>
      </c>
      <c r="C43" s="202">
        <v>1.2250000000000001</v>
      </c>
      <c r="D43" t="s">
        <v>161</v>
      </c>
      <c r="E43" t="s">
        <v>169</v>
      </c>
      <c r="G43" s="6"/>
      <c r="I43" s="241">
        <v>25</v>
      </c>
      <c r="J43" s="253">
        <f t="shared" si="34"/>
        <v>39.992256077657927</v>
      </c>
      <c r="K43" s="243">
        <v>0.28299999999999997</v>
      </c>
      <c r="L43" s="61"/>
      <c r="M43" s="250"/>
      <c r="P43" s="65" t="s">
        <v>122</v>
      </c>
      <c r="Q43" s="205">
        <f>INDEX(LINEST($Q$4:$Q$14,$P$4:$P$14),2)</f>
        <v>-6114.6309126820452</v>
      </c>
      <c r="R43" s="69">
        <f>INDEX(LINEST($Q$4:$Q$14,$P$4:$P$14),1)</f>
        <v>0.95727666438398118</v>
      </c>
      <c r="S43" s="30"/>
      <c r="T43" s="31" t="s">
        <v>267</v>
      </c>
      <c r="AI43" s="5"/>
    </row>
    <row r="44" spans="1:50" ht="15" thickBot="1" x14ac:dyDescent="0.35">
      <c r="C44" s="198"/>
      <c r="D44"/>
      <c r="E44"/>
      <c r="G44" s="6"/>
      <c r="I44" s="241">
        <v>16</v>
      </c>
      <c r="J44" s="253">
        <f t="shared" si="34"/>
        <v>30.597810459968649</v>
      </c>
      <c r="K44" s="243">
        <v>0.44500000000000001</v>
      </c>
      <c r="L44" s="61"/>
      <c r="M44" s="250"/>
      <c r="P44" s="65" t="s">
        <v>123</v>
      </c>
      <c r="Q44" s="205">
        <f>INDEX(LINEST($P$4:$P$14,$Q$4:$Q$14),2)</f>
        <v>6403.5412099425012</v>
      </c>
      <c r="R44" s="69">
        <f>INDEX(LINEST($P$4:$P$14,$Q$4:$Q$14),1)</f>
        <v>1.0438272908543638</v>
      </c>
      <c r="S44" s="30"/>
      <c r="T44" s="31" t="s">
        <v>267</v>
      </c>
      <c r="AI44" s="5"/>
    </row>
    <row r="45" spans="1:50" ht="15" thickBot="1" x14ac:dyDescent="0.35">
      <c r="A45" s="188" t="s">
        <v>251</v>
      </c>
      <c r="B45" s="193" t="s">
        <v>252</v>
      </c>
      <c r="C45" s="199">
        <v>0</v>
      </c>
      <c r="D45" s="30" t="s">
        <v>258</v>
      </c>
      <c r="E45"/>
      <c r="F45" s="6"/>
      <c r="I45" s="254">
        <f>(K45-K43)/(K44-K43)*(I44-I43)+I43</f>
        <v>12.944444444444445</v>
      </c>
      <c r="J45" s="257">
        <f t="shared" si="34"/>
        <v>27.408338182358097</v>
      </c>
      <c r="K45" s="246">
        <v>0.5</v>
      </c>
      <c r="L45" s="255"/>
      <c r="M45" s="256"/>
      <c r="P45" s="65" t="s">
        <v>180</v>
      </c>
      <c r="Q45" s="206">
        <f>AG11</f>
        <v>-0.69706398367606981</v>
      </c>
      <c r="R45" s="30"/>
      <c r="S45" s="30"/>
      <c r="T45" s="31" t="s">
        <v>261</v>
      </c>
      <c r="U45" s="5"/>
      <c r="AI45" s="5"/>
      <c r="AJ45" s="5"/>
      <c r="AK45" s="151"/>
    </row>
    <row r="46" spans="1:50" x14ac:dyDescent="0.3">
      <c r="A46" s="30"/>
      <c r="B46" s="57" t="s">
        <v>253</v>
      </c>
      <c r="C46" s="203">
        <v>5</v>
      </c>
      <c r="D46" s="45" t="s">
        <v>258</v>
      </c>
      <c r="E46"/>
      <c r="F46" s="6"/>
      <c r="P46" s="65" t="s">
        <v>182</v>
      </c>
      <c r="Q46" s="207">
        <f>AF11</f>
        <v>2.9507986968951103</v>
      </c>
      <c r="R46" s="30"/>
      <c r="S46" s="30"/>
      <c r="T46" s="31" t="s">
        <v>261</v>
      </c>
      <c r="AI46" s="5"/>
      <c r="AJ46" s="5"/>
      <c r="AK46" s="151"/>
      <c r="AX46" s="164"/>
    </row>
    <row r="47" spans="1:50" ht="15" thickBot="1" x14ac:dyDescent="0.35">
      <c r="A47" s="188"/>
      <c r="B47" s="57" t="s">
        <v>252</v>
      </c>
      <c r="C47" s="203">
        <v>0</v>
      </c>
      <c r="D47" s="45" t="s">
        <v>254</v>
      </c>
      <c r="E47"/>
      <c r="H47" s="6"/>
      <c r="I47" s="6"/>
      <c r="J47" s="6"/>
      <c r="K47" s="9"/>
      <c r="L47" s="6"/>
      <c r="M47" s="6"/>
      <c r="N47" s="10"/>
      <c r="O47" s="10"/>
      <c r="P47" s="218" t="s">
        <v>211</v>
      </c>
      <c r="Q47" s="219">
        <v>3</v>
      </c>
      <c r="R47" s="32"/>
      <c r="S47" s="32"/>
      <c r="T47" s="33" t="s">
        <v>263</v>
      </c>
      <c r="W47" s="45"/>
      <c r="X47" s="195"/>
      <c r="Y47" s="45"/>
      <c r="AI47" s="5"/>
      <c r="AJ47" s="5"/>
      <c r="AK47" s="151"/>
    </row>
    <row r="48" spans="1:50" ht="15" thickBot="1" x14ac:dyDescent="0.35">
      <c r="A48" s="188"/>
      <c r="B48" s="131" t="s">
        <v>253</v>
      </c>
      <c r="C48" s="200">
        <v>180</v>
      </c>
      <c r="D48" s="45" t="s">
        <v>254</v>
      </c>
      <c r="E48"/>
      <c r="H48" s="6"/>
      <c r="I48" s="212" t="s">
        <v>92</v>
      </c>
      <c r="J48" s="211">
        <f>INDEX(LINEST($Y$3:$Y$14,$P$3:$P$14^{1,2}),3)</f>
        <v>-1.7588963712643103E-3</v>
      </c>
      <c r="K48" s="180">
        <f>INDEX(LINEST($Y$3:$Y$14,$P$3:$P$14^{1,2}),2)</f>
        <v>1.3207576166030541E-7</v>
      </c>
      <c r="L48" s="180">
        <f>INDEX(LINEST($Y$3:$Y$14,$P$3:$P$14^{1,2}),1)</f>
        <v>1.0875990624709801E-11</v>
      </c>
      <c r="M48" s="44" t="s">
        <v>268</v>
      </c>
      <c r="N48" s="10"/>
      <c r="O48" s="10"/>
      <c r="U48" s="10"/>
      <c r="V48" s="3"/>
      <c r="W48" s="45"/>
      <c r="X48" s="61"/>
      <c r="Y48" s="45"/>
      <c r="AX48" s="164"/>
    </row>
    <row r="49" spans="1:45" ht="15" thickBot="1" x14ac:dyDescent="0.35">
      <c r="Q49" s="61"/>
      <c r="R49" s="213"/>
      <c r="T49" s="213"/>
      <c r="U49" s="188"/>
      <c r="V49" s="30"/>
    </row>
    <row r="50" spans="1:45" ht="15" thickBot="1" x14ac:dyDescent="0.35">
      <c r="A50" s="3" t="s">
        <v>244</v>
      </c>
      <c r="B50" s="209">
        <v>1.25</v>
      </c>
      <c r="C50" s="45" t="s">
        <v>245</v>
      </c>
      <c r="D50" s="5"/>
      <c r="E50" s="192">
        <f>C31</f>
        <v>240</v>
      </c>
      <c r="F50" s="192" t="s">
        <v>156</v>
      </c>
      <c r="I50" s="176" t="s">
        <v>283</v>
      </c>
      <c r="M50" s="237" t="s">
        <v>282</v>
      </c>
      <c r="N50" s="142"/>
      <c r="Q50" s="61"/>
      <c r="R50" s="213"/>
      <c r="T50" s="213"/>
      <c r="U50" s="188"/>
      <c r="V50" s="30"/>
      <c r="W50" s="194"/>
      <c r="X50" s="45"/>
      <c r="Y50" s="45"/>
    </row>
    <row r="51" spans="1:45" x14ac:dyDescent="0.3">
      <c r="I51" s="238" t="s">
        <v>277</v>
      </c>
      <c r="J51" s="236" t="s">
        <v>100</v>
      </c>
      <c r="K51" s="239" t="s">
        <v>278</v>
      </c>
      <c r="L51" s="239" t="s">
        <v>279</v>
      </c>
      <c r="M51" s="239" t="s">
        <v>280</v>
      </c>
      <c r="N51" s="240" t="s">
        <v>281</v>
      </c>
      <c r="P51" s="235" t="s">
        <v>286</v>
      </c>
      <c r="Q51" s="260">
        <v>0</v>
      </c>
      <c r="R51" s="258">
        <f ca="1">J56</f>
        <v>21.611111111111111</v>
      </c>
      <c r="S51" s="258">
        <f ca="1">J55</f>
        <v>36.989361702127667</v>
      </c>
      <c r="T51" s="258">
        <f ca="1">J54</f>
        <v>51.04347826086957</v>
      </c>
      <c r="U51" s="259">
        <f ca="1">J53</f>
        <v>70.826086956521749</v>
      </c>
      <c r="V51" s="261">
        <v>80</v>
      </c>
      <c r="W51" s="45"/>
      <c r="X51" s="45"/>
      <c r="Y51" s="45"/>
    </row>
    <row r="52" spans="1:45" x14ac:dyDescent="0.3">
      <c r="I52" s="241">
        <v>0</v>
      </c>
      <c r="J52" s="253">
        <f t="shared" ref="J52:J57" ca="1" si="35">FORECAST(I52,OFFSET(MeasNt,MATCH(I52,MeasTauT,1)-1,0,2),OFFSET(MeasTauT,MATCH(I52,MeasTauT,1)-1,0,2))</f>
        <v>76.913043478260875</v>
      </c>
      <c r="K52" s="58">
        <v>0.2</v>
      </c>
      <c r="L52" s="58">
        <v>4.4000000000000004</v>
      </c>
      <c r="M52" s="58">
        <v>0.09</v>
      </c>
      <c r="N52" s="25">
        <v>5</v>
      </c>
      <c r="P52" s="273" t="s">
        <v>278</v>
      </c>
      <c r="Q52" s="274">
        <f>K57</f>
        <v>0.47499999999999998</v>
      </c>
      <c r="R52" s="274">
        <f>K56</f>
        <v>0.47499999999999998</v>
      </c>
      <c r="S52" s="274">
        <f>K55</f>
        <v>0.32500000000000001</v>
      </c>
      <c r="T52" s="274">
        <f>K54</f>
        <v>0.22500000000000001</v>
      </c>
      <c r="U52" s="275">
        <f>K53</f>
        <v>0.2</v>
      </c>
      <c r="V52" s="276">
        <f>K52</f>
        <v>0.2</v>
      </c>
      <c r="W52" s="45" t="s">
        <v>287</v>
      </c>
      <c r="X52" s="45"/>
      <c r="Y52" s="45"/>
      <c r="AJ52" s="104"/>
      <c r="AR52" s="3"/>
    </row>
    <row r="53" spans="1:45" x14ac:dyDescent="0.3">
      <c r="I53" s="241">
        <v>0.02</v>
      </c>
      <c r="J53" s="253">
        <f t="shared" ca="1" si="35"/>
        <v>70.826086956521749</v>
      </c>
      <c r="K53" s="58">
        <v>0.2</v>
      </c>
      <c r="L53" s="58">
        <v>3.75</v>
      </c>
      <c r="M53" s="58">
        <v>0.09</v>
      </c>
      <c r="N53" s="25">
        <v>5</v>
      </c>
      <c r="P53" s="273" t="s">
        <v>279</v>
      </c>
      <c r="Q53" s="277">
        <f>L57</f>
        <v>2.4</v>
      </c>
      <c r="R53" s="277">
        <f>L56</f>
        <v>2.4</v>
      </c>
      <c r="S53" s="277">
        <f>L55</f>
        <v>2.7</v>
      </c>
      <c r="T53" s="277">
        <f>L54</f>
        <v>3.2</v>
      </c>
      <c r="U53" s="278">
        <f>L53</f>
        <v>3.75</v>
      </c>
      <c r="V53" s="279">
        <f>L52</f>
        <v>4.4000000000000004</v>
      </c>
      <c r="W53" s="45"/>
      <c r="X53" s="45"/>
      <c r="Y53" s="45"/>
      <c r="AS53" s="3"/>
    </row>
    <row r="54" spans="1:45" x14ac:dyDescent="0.3">
      <c r="I54" s="241">
        <v>8.5000000000000006E-2</v>
      </c>
      <c r="J54" s="253">
        <f t="shared" ca="1" si="35"/>
        <v>51.04347826086957</v>
      </c>
      <c r="K54" s="58">
        <v>0.22500000000000001</v>
      </c>
      <c r="L54" s="58">
        <v>3.2</v>
      </c>
      <c r="M54" s="243">
        <v>0.125</v>
      </c>
      <c r="N54" s="244">
        <v>4.05</v>
      </c>
      <c r="P54" s="273" t="s">
        <v>284</v>
      </c>
      <c r="Q54" s="280">
        <v>0.15</v>
      </c>
      <c r="R54" s="280"/>
      <c r="S54" s="280"/>
      <c r="T54" s="280"/>
      <c r="U54" s="281"/>
      <c r="V54" s="282"/>
      <c r="W54" s="45"/>
      <c r="X54" s="45"/>
      <c r="Y54" s="45"/>
    </row>
    <row r="55" spans="1:45" x14ac:dyDescent="0.3">
      <c r="I55" s="241">
        <v>0.185</v>
      </c>
      <c r="J55" s="253">
        <f t="shared" ca="1" si="35"/>
        <v>36.989361702127667</v>
      </c>
      <c r="K55" s="58">
        <v>0.32500000000000001</v>
      </c>
      <c r="L55" s="58">
        <v>2.7</v>
      </c>
      <c r="M55" s="58">
        <v>0.24</v>
      </c>
      <c r="N55" s="25">
        <v>3.75</v>
      </c>
      <c r="P55" s="273" t="s">
        <v>285</v>
      </c>
      <c r="Q55" s="280">
        <v>0.03</v>
      </c>
      <c r="R55" s="280"/>
      <c r="S55" s="280"/>
      <c r="T55" s="280"/>
      <c r="U55" s="281"/>
      <c r="V55" s="282"/>
      <c r="W55" s="45"/>
      <c r="X55" s="196"/>
      <c r="Y55" s="45"/>
    </row>
    <row r="56" spans="1:45" x14ac:dyDescent="0.3">
      <c r="I56" s="241">
        <v>0.34399999999999997</v>
      </c>
      <c r="J56" s="253">
        <f t="shared" ca="1" si="35"/>
        <v>21.611111111111111</v>
      </c>
      <c r="K56" s="58">
        <v>0.47499999999999998</v>
      </c>
      <c r="L56" s="58">
        <v>2.4</v>
      </c>
      <c r="M56" s="58">
        <v>0.42</v>
      </c>
      <c r="N56" s="25">
        <v>3.6</v>
      </c>
      <c r="P56" s="273" t="s">
        <v>280</v>
      </c>
      <c r="Q56" s="274">
        <f>M57</f>
        <v>0.42</v>
      </c>
      <c r="R56" s="274">
        <f>M56</f>
        <v>0.42</v>
      </c>
      <c r="S56" s="274">
        <f>M55</f>
        <v>0.24</v>
      </c>
      <c r="T56" s="274">
        <f>M54</f>
        <v>0.125</v>
      </c>
      <c r="U56" s="275">
        <f>M53</f>
        <v>0.09</v>
      </c>
      <c r="V56" s="276">
        <f>M52</f>
        <v>0.09</v>
      </c>
      <c r="W56" s="45" t="s">
        <v>288</v>
      </c>
      <c r="X56" s="196"/>
      <c r="Y56" s="45"/>
    </row>
    <row r="57" spans="1:45" ht="15" thickBot="1" x14ac:dyDescent="0.35">
      <c r="I57" s="245">
        <v>0.5</v>
      </c>
      <c r="J57" s="257">
        <f t="shared" ca="1" si="35"/>
        <v>12.94444444444445</v>
      </c>
      <c r="K57" s="247">
        <v>0.47499999999999998</v>
      </c>
      <c r="L57" s="247">
        <v>2.4</v>
      </c>
      <c r="M57" s="247">
        <v>0.42</v>
      </c>
      <c r="N57" s="27">
        <v>3.6</v>
      </c>
      <c r="P57" s="283" t="s">
        <v>281</v>
      </c>
      <c r="Q57" s="284">
        <f>N57</f>
        <v>3.6</v>
      </c>
      <c r="R57" s="284">
        <f>N56</f>
        <v>3.6</v>
      </c>
      <c r="S57" s="284">
        <f>N55</f>
        <v>3.75</v>
      </c>
      <c r="T57" s="284">
        <f>N54</f>
        <v>4.05</v>
      </c>
      <c r="U57" s="285">
        <f>N53</f>
        <v>5</v>
      </c>
      <c r="V57" s="286">
        <f>N52</f>
        <v>5</v>
      </c>
      <c r="W57" s="45"/>
      <c r="X57" s="196"/>
      <c r="Y57" s="45"/>
    </row>
    <row r="58" spans="1:45" x14ac:dyDescent="0.3">
      <c r="V58" s="45"/>
      <c r="W58" s="45"/>
      <c r="X58" s="196"/>
      <c r="Y58" s="45"/>
    </row>
    <row r="59" spans="1:45" x14ac:dyDescent="0.3">
      <c r="W59" s="45"/>
      <c r="X59" s="196"/>
      <c r="Y59" s="45"/>
    </row>
    <row r="60" spans="1:45" x14ac:dyDescent="0.3">
      <c r="W60" s="45"/>
      <c r="X60" s="149"/>
      <c r="Y60" s="45"/>
    </row>
    <row r="61" spans="1:45" x14ac:dyDescent="0.3">
      <c r="W61" s="45"/>
      <c r="X61" s="149"/>
      <c r="Y61" s="45"/>
    </row>
    <row r="62" spans="1:45" x14ac:dyDescent="0.3">
      <c r="W62" s="45"/>
      <c r="X62" s="149"/>
      <c r="Y62" s="45"/>
    </row>
    <row r="63" spans="1:45" x14ac:dyDescent="0.3">
      <c r="H63" s="176"/>
    </row>
    <row r="65" spans="1:36" x14ac:dyDescent="0.3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3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3">
      <c r="V67" s="45"/>
      <c r="W67" s="45"/>
      <c r="X67" s="45"/>
      <c r="Y67" s="45"/>
      <c r="Z67" s="45"/>
      <c r="AA67" s="45"/>
      <c r="AB67" s="45"/>
      <c r="AC67" s="45"/>
      <c r="AD67" s="45"/>
      <c r="AG67" s="45"/>
      <c r="AH67" s="149"/>
    </row>
    <row r="68" spans="1:36" x14ac:dyDescent="0.3">
      <c r="V68" s="45"/>
      <c r="W68" s="45"/>
      <c r="X68" s="45"/>
      <c r="Y68" s="45"/>
      <c r="Z68" s="45"/>
      <c r="AA68" s="45"/>
      <c r="AB68" s="45"/>
      <c r="AC68" s="45"/>
      <c r="AD68" s="45"/>
    </row>
    <row r="69" spans="1:36" x14ac:dyDescent="0.3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3">
      <c r="A70" s="45"/>
      <c r="B70" s="45"/>
      <c r="C70" s="45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3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3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104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3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3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3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3">
      <c r="A76" s="45"/>
      <c r="B76" s="45"/>
      <c r="C76" s="45"/>
      <c r="D76" s="61"/>
      <c r="E76" s="61"/>
      <c r="F76" s="61"/>
      <c r="G76" s="61"/>
      <c r="H76" s="61"/>
      <c r="I76" s="190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45"/>
      <c r="Y76" s="45"/>
      <c r="Z76" s="45"/>
      <c r="AA76" s="149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3">
      <c r="A77" s="45"/>
      <c r="B77" s="45"/>
      <c r="C77" s="45"/>
      <c r="D77" s="61"/>
      <c r="E77" s="61"/>
      <c r="F77" s="61"/>
      <c r="G77" s="61"/>
      <c r="H77" s="61"/>
      <c r="I77" s="61"/>
      <c r="J77" s="61"/>
      <c r="K77" s="187"/>
      <c r="L77" s="61"/>
      <c r="M77" s="61"/>
      <c r="N77" s="188"/>
      <c r="O77" s="188"/>
      <c r="P77" s="188"/>
      <c r="Q77" s="188"/>
      <c r="R77" s="188"/>
      <c r="S77" s="188"/>
      <c r="T77" s="188"/>
      <c r="U77" s="189"/>
      <c r="V77" s="189"/>
      <c r="W77" s="45"/>
      <c r="X77" s="186"/>
      <c r="Y77" s="186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</row>
    <row r="78" spans="1:36" x14ac:dyDescent="0.3">
      <c r="V78" s="45"/>
      <c r="W78" s="45"/>
      <c r="X78" s="45"/>
      <c r="Y78" s="45"/>
      <c r="Z78" s="45"/>
      <c r="AA78" s="45"/>
      <c r="AB78" s="45"/>
      <c r="AC78" s="45"/>
      <c r="AD78" s="45"/>
    </row>
    <row r="93" spans="1:36" x14ac:dyDescent="0.3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3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3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3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3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3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3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3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3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187"/>
      <c r="L101" s="61"/>
      <c r="M101" s="61"/>
      <c r="N101" s="188"/>
      <c r="O101" s="188"/>
      <c r="P101" s="188"/>
      <c r="Q101" s="188"/>
      <c r="R101" s="188"/>
      <c r="S101" s="188"/>
      <c r="T101" s="188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3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3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189"/>
      <c r="V103" s="189"/>
      <c r="W103" s="45"/>
      <c r="X103" s="186"/>
      <c r="Y103" s="186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3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3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3">
      <c r="A106" s="45"/>
      <c r="B106" s="45"/>
      <c r="C106" s="45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3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3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3">
      <c r="A109" s="45"/>
      <c r="B109" s="45"/>
      <c r="C109" s="45"/>
      <c r="D109" s="61"/>
      <c r="E109" s="61"/>
      <c r="F109" s="61"/>
      <c r="G109" s="61"/>
      <c r="H109" s="61"/>
      <c r="I109" s="190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3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3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3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3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3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3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3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3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3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3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187"/>
      <c r="L119" s="61"/>
      <c r="M119" s="61"/>
      <c r="N119" s="188"/>
      <c r="O119" s="188"/>
      <c r="P119" s="188"/>
      <c r="Q119" s="188"/>
      <c r="R119" s="188"/>
      <c r="S119" s="188"/>
      <c r="T119" s="188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3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3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189"/>
      <c r="V121" s="189"/>
      <c r="W121" s="45"/>
      <c r="X121" s="186"/>
      <c r="Y121" s="186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3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3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186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3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  <row r="125" spans="1:36" x14ac:dyDescent="0.3">
      <c r="A125" s="45"/>
      <c r="B125" s="45"/>
      <c r="C125" s="45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3"/>
  <sheetViews>
    <sheetView topLeftCell="I36" zoomScale="90" zoomScaleNormal="90" workbookViewId="0">
      <selection activeCell="R51" sqref="R51"/>
    </sheetView>
  </sheetViews>
  <sheetFormatPr defaultRowHeight="14.4" x14ac:dyDescent="0.3"/>
  <cols>
    <col min="1" max="1" width="15.33203125" customWidth="1"/>
    <col min="3" max="3" width="9" customWidth="1"/>
    <col min="4" max="4" width="10.88671875" style="1" customWidth="1"/>
    <col min="5" max="5" width="6.44140625" style="1" customWidth="1"/>
    <col min="6" max="7" width="6.33203125" style="1" customWidth="1"/>
    <col min="8" max="8" width="9.109375" style="1" customWidth="1"/>
    <col min="9" max="9" width="8.5546875" style="1" customWidth="1"/>
    <col min="10" max="10" width="8.44140625" style="1" customWidth="1"/>
    <col min="11" max="11" width="12" style="1" customWidth="1"/>
    <col min="12" max="12" width="8.44140625" style="1" customWidth="1"/>
    <col min="13" max="13" width="11" style="1" customWidth="1"/>
    <col min="14" max="14" width="6.6640625" style="1" customWidth="1"/>
    <col min="15" max="15" width="7.88671875" style="1" customWidth="1"/>
    <col min="16" max="16" width="11.5546875" style="1" customWidth="1"/>
    <col min="17" max="17" width="8.5546875" style="1" customWidth="1"/>
    <col min="18" max="18" width="8.33203125" style="1" customWidth="1"/>
    <col min="19" max="19" width="7.6640625" style="1" customWidth="1"/>
    <col min="20" max="20" width="10.6640625" style="1" customWidth="1"/>
    <col min="21" max="21" width="7.6640625" customWidth="1"/>
    <col min="22" max="22" width="9.6640625" customWidth="1"/>
    <col min="24" max="24" width="9.88671875" bestFit="1" customWidth="1"/>
    <col min="25" max="25" width="10.6640625" customWidth="1"/>
    <col min="26" max="26" width="8.6640625" customWidth="1"/>
    <col min="27" max="27" width="7.33203125" customWidth="1"/>
    <col min="28" max="28" width="9.88671875" customWidth="1"/>
    <col min="29" max="29" width="9.109375" customWidth="1"/>
    <col min="30" max="30" width="8.44140625" customWidth="1"/>
    <col min="31" max="31" width="7.44140625" customWidth="1"/>
    <col min="32" max="32" width="10" customWidth="1"/>
    <col min="33" max="33" width="7.44140625" customWidth="1"/>
    <col min="34" max="34" width="9.6640625" customWidth="1"/>
    <col min="35" max="36" width="11.5546875" customWidth="1"/>
    <col min="37" max="37" width="8.6640625" customWidth="1"/>
    <col min="38" max="38" width="11.5546875" bestFit="1" customWidth="1"/>
    <col min="39" max="39" width="9.6640625" customWidth="1"/>
    <col min="44" max="44" width="11.33203125" customWidth="1"/>
    <col min="45" max="45" width="12.109375" customWidth="1"/>
    <col min="46" max="46" width="13.109375" bestFit="1" customWidth="1"/>
    <col min="47" max="47" width="12" bestFit="1" customWidth="1"/>
    <col min="48" max="48" width="10.44140625" bestFit="1" customWidth="1"/>
    <col min="49" max="49" width="10.33203125" customWidth="1"/>
    <col min="50" max="50" width="9.33203125" bestFit="1" customWidth="1"/>
    <col min="51" max="51" width="10.33203125" bestFit="1" customWidth="1"/>
  </cols>
  <sheetData>
    <row r="1" spans="1:51" ht="86.4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2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x14ac:dyDescent="0.3">
      <c r="A2" t="s">
        <v>222</v>
      </c>
      <c r="B2" t="s">
        <v>201</v>
      </c>
      <c r="C2" s="220">
        <f t="shared" ref="C2:C12" si="1">D2/180+1</f>
        <v>1.0372724106884923</v>
      </c>
      <c r="D2" s="262">
        <f>EXP((0-$Q$40)/$R$40)</f>
        <v>6.7090339239286205</v>
      </c>
      <c r="E2" s="109">
        <v>3.3999999999999998E-3</v>
      </c>
      <c r="F2" s="109">
        <v>12.23</v>
      </c>
      <c r="G2" s="109">
        <v>7.5999999999999998E-2</v>
      </c>
      <c r="H2" s="148">
        <v>1.0000000000000001E+32</v>
      </c>
      <c r="I2" s="191">
        <v>1.0000000000000001E+32</v>
      </c>
      <c r="J2" s="189"/>
      <c r="K2" s="2">
        <f t="shared" ref="K2:K12" si="2">F2*G2</f>
        <v>0.92947999999999997</v>
      </c>
      <c r="L2" s="229">
        <f t="shared" ref="L2:L12" si="3">D2</f>
        <v>6.7090339239286205</v>
      </c>
      <c r="M2" s="234">
        <f t="shared" ref="M2:M12" si="4">LN(L2)</f>
        <v>1.9034549650486081</v>
      </c>
      <c r="N2" s="3">
        <f t="shared" ref="N2:O12" si="5">1/H2/0.000001</f>
        <v>9.999999999999999E-27</v>
      </c>
      <c r="O2" s="3">
        <f t="shared" si="5"/>
        <v>9.999999999999999E-27</v>
      </c>
      <c r="P2" s="3">
        <f t="shared" ref="P2:P12" si="6">N2*60/$C$24</f>
        <v>5.9999999999999995E-25</v>
      </c>
      <c r="Q2" s="4">
        <v>0</v>
      </c>
      <c r="R2" s="3">
        <f t="shared" ref="R2:R12" si="7">P2/$Q$29</f>
        <v>1.3020833333333332E-27</v>
      </c>
      <c r="S2" s="3">
        <f t="shared" ref="S2:S12" si="8">Q2/$Q$29</f>
        <v>0</v>
      </c>
      <c r="T2" s="3">
        <f t="shared" ref="T2:T12" si="9">L2</f>
        <v>6.7090339239286205</v>
      </c>
      <c r="U2" s="158">
        <f t="shared" si="0"/>
        <v>0.92947999999999997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1" si="10">$Q$36*(P2/$Q$29/100)^3</f>
        <v>9.76843480821773E-87</v>
      </c>
      <c r="AA2" s="229">
        <f t="shared" ref="AA2:AA12" si="11">SQRT(Z2^3/4/$Q$26/$Q$32)</f>
        <v>9.469612348787209E-129</v>
      </c>
      <c r="AB2" s="1"/>
      <c r="AC2" s="158">
        <f t="shared" ref="AC2:AC12" si="12">SQRT(Z2/$Q$32/$Q$26)</f>
        <v>1.9388187636407961E-42</v>
      </c>
      <c r="AD2" s="175">
        <f t="shared" ref="AD2:AD11" si="13">AC2*1/1.6/1000*3600</f>
        <v>4.3623422181917907E-42</v>
      </c>
      <c r="AE2" s="4">
        <f t="shared" ref="AE2:AE12" si="14">Q2/60*PI()*$C$38/1000</f>
        <v>0</v>
      </c>
      <c r="AF2" s="158">
        <f>AE2/AC2</f>
        <v>0</v>
      </c>
      <c r="AH2" s="228">
        <f t="shared" ref="AH2:AH13" si="15">D2/$Q$30*$Q$22</f>
        <v>0.18636205344246171</v>
      </c>
      <c r="AI2" s="228">
        <f t="shared" ref="AI2:AI13" si="16">AH2/$Q$22*$Q$30</f>
        <v>6.7090339239286205</v>
      </c>
      <c r="AJ2" s="229">
        <f t="shared" ref="AJ2:AJ13" si="17">MAX(($Q$40+$R$40*LN($AI2)),0)</f>
        <v>0</v>
      </c>
      <c r="AK2" s="229">
        <f t="shared" ref="AK2:AK13" si="18">MAX(($Q$40+$R$40*LN(AI2))/$Q$29,0)</f>
        <v>0</v>
      </c>
      <c r="AL2" s="229">
        <f t="shared" ref="AL2:AL13" si="19">($Q$41+$R$41*AK2*$Q$29)/$Q$29</f>
        <v>-13.964544696589824</v>
      </c>
      <c r="AM2" s="229">
        <f t="shared" ref="AM2:AM13" si="20">($Q$42+$R$42*AL2*$Q$29)/$Q$29</f>
        <v>9.1881258622900461E-2</v>
      </c>
      <c r="AN2" s="1"/>
      <c r="AO2" s="1">
        <f t="shared" ref="AO2:AO13" si="21">MAX($Q$41+$R$41*AJ2, 0)</f>
        <v>0</v>
      </c>
      <c r="AP2" s="227"/>
      <c r="AQ2" s="227"/>
      <c r="AR2" s="227"/>
      <c r="AS2" s="1"/>
      <c r="AT2" s="227"/>
      <c r="AU2" s="1"/>
    </row>
    <row r="3" spans="1:51" ht="15" customHeight="1" x14ac:dyDescent="0.3">
      <c r="A3" t="s">
        <v>223</v>
      </c>
      <c r="B3" t="s">
        <v>201</v>
      </c>
      <c r="C3" s="220">
        <f t="shared" si="1"/>
        <v>1.0555555555555556</v>
      </c>
      <c r="D3" s="73">
        <v>10</v>
      </c>
      <c r="E3" s="109">
        <v>7.0000000000000007E-2</v>
      </c>
      <c r="F3" s="73">
        <v>12.22</v>
      </c>
      <c r="G3" s="106">
        <v>0.35699999999999998</v>
      </c>
      <c r="H3" s="73">
        <v>7360</v>
      </c>
      <c r="I3" s="191">
        <v>1.0000000000000001E+32</v>
      </c>
      <c r="J3" s="61"/>
      <c r="K3" s="2">
        <f t="shared" si="2"/>
        <v>4.3625400000000001</v>
      </c>
      <c r="L3" s="1">
        <f t="shared" si="3"/>
        <v>10</v>
      </c>
      <c r="M3" s="234">
        <f t="shared" si="4"/>
        <v>2.3025850929940459</v>
      </c>
      <c r="N3" s="3">
        <f t="shared" si="5"/>
        <v>135.86956521739131</v>
      </c>
      <c r="O3" s="3">
        <f t="shared" si="5"/>
        <v>9.999999999999999E-27</v>
      </c>
      <c r="P3" s="3">
        <f t="shared" si="6"/>
        <v>8152.1739130434789</v>
      </c>
      <c r="Q3" s="3">
        <f t="shared" ref="Q3:Q12" si="22">O3*60/$C$24</f>
        <v>5.9999999999999995E-25</v>
      </c>
      <c r="R3" s="3">
        <f t="shared" si="7"/>
        <v>17.69134963768116</v>
      </c>
      <c r="S3" s="3">
        <f t="shared" si="8"/>
        <v>1.3020833333333332E-27</v>
      </c>
      <c r="T3" s="3">
        <f>L3</f>
        <v>10</v>
      </c>
      <c r="U3" s="158">
        <f>K3</f>
        <v>4.3625400000000001</v>
      </c>
      <c r="V3" s="1">
        <f t="shared" ref="V3:V12" si="23">($U3-$U$2)</f>
        <v>3.4330600000000002</v>
      </c>
      <c r="W3" s="234">
        <f t="shared" ref="W3:W12" si="24">($U3-$U$2)*0.001341022</f>
        <v>4.603808987320001E-3</v>
      </c>
      <c r="X3" s="230">
        <f>$W3/$P3*5252</f>
        <v>2.9659824556389695E-3</v>
      </c>
      <c r="Y3" s="230">
        <f>X3-$X$3</f>
        <v>0</v>
      </c>
      <c r="Z3" s="228">
        <f t="shared" si="10"/>
        <v>2.4501436049868833E-2</v>
      </c>
      <c r="AA3" s="229">
        <f t="shared" si="11"/>
        <v>3.7616816315326256E-2</v>
      </c>
      <c r="AB3" s="2">
        <f>AA3/U3*100</f>
        <v>0.86226868556680858</v>
      </c>
      <c r="AC3" s="158">
        <f t="shared" si="12"/>
        <v>3.0705805356684497</v>
      </c>
      <c r="AD3" s="175">
        <f t="shared" si="13"/>
        <v>6.9088062052540122</v>
      </c>
      <c r="AE3" s="4">
        <f t="shared" si="14"/>
        <v>1.7278759594743859E-27</v>
      </c>
      <c r="AF3" s="158">
        <f t="shared" ref="AF3:AF12" si="25">AE3/AC3</f>
        <v>5.627196353924116E-28</v>
      </c>
      <c r="AH3" s="228">
        <f t="shared" si="15"/>
        <v>0.27777777777777779</v>
      </c>
      <c r="AI3" s="228">
        <f t="shared" si="16"/>
        <v>10</v>
      </c>
      <c r="AJ3" s="229">
        <f t="shared" si="17"/>
        <v>4955.5552609427614</v>
      </c>
      <c r="AK3" s="229">
        <f t="shared" si="18"/>
        <v>10.754243187809811</v>
      </c>
      <c r="AL3" s="229">
        <f t="shared" si="19"/>
        <v>-3.4566594209835877</v>
      </c>
      <c r="AM3" s="229">
        <f t="shared" si="20"/>
        <v>10.830615370281183</v>
      </c>
      <c r="AN3" s="1"/>
      <c r="AO3" s="1">
        <f t="shared" si="21"/>
        <v>0</v>
      </c>
      <c r="AP3" s="227">
        <f t="shared" ref="AP3:AP13" si="26">MAX($J$46+$AJ3*($K$46+$AJ3*$L$46), 0)</f>
        <v>0</v>
      </c>
      <c r="AQ3" s="227">
        <f>AJ3*AP3/5252</f>
        <v>0</v>
      </c>
      <c r="AR3" s="231">
        <f t="shared" ref="AR3:AR13" si="27">MAX($K$46+$L$46*2*AJ3,1E-32)</f>
        <v>2.4215538624094316E-7</v>
      </c>
      <c r="AS3" s="228"/>
      <c r="AT3" s="1"/>
      <c r="AU3" s="228"/>
      <c r="AX3" s="128"/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1.0777777777777777</v>
      </c>
      <c r="D4" s="73">
        <v>14</v>
      </c>
      <c r="E4" s="109">
        <v>0.3</v>
      </c>
      <c r="F4" s="73">
        <v>12.22</v>
      </c>
      <c r="G4" s="106">
        <v>0.54700000000000004</v>
      </c>
      <c r="H4" s="73">
        <v>5440</v>
      </c>
      <c r="I4" s="78">
        <v>80000</v>
      </c>
      <c r="J4" s="61"/>
      <c r="K4" s="2">
        <f t="shared" si="2"/>
        <v>6.6843400000000006</v>
      </c>
      <c r="L4" s="1">
        <f t="shared" si="3"/>
        <v>14</v>
      </c>
      <c r="M4" s="234">
        <f t="shared" si="4"/>
        <v>2.6390573296152584</v>
      </c>
      <c r="N4" s="3">
        <f t="shared" si="5"/>
        <v>183.82352941176472</v>
      </c>
      <c r="O4" s="3">
        <f t="shared" si="5"/>
        <v>12.500000000000002</v>
      </c>
      <c r="P4" s="3">
        <f t="shared" si="6"/>
        <v>11029.411764705883</v>
      </c>
      <c r="Q4" s="3">
        <f t="shared" si="22"/>
        <v>750.00000000000011</v>
      </c>
      <c r="R4" s="3">
        <f t="shared" si="7"/>
        <v>23.935355392156865</v>
      </c>
      <c r="S4" s="3">
        <f t="shared" si="8"/>
        <v>1.627604166666667</v>
      </c>
      <c r="T4" s="3">
        <f t="shared" si="9"/>
        <v>14</v>
      </c>
      <c r="U4" s="158">
        <f t="shared" si="0"/>
        <v>6.6843400000000006</v>
      </c>
      <c r="V4" s="229">
        <f t="shared" si="23"/>
        <v>5.7548600000000008</v>
      </c>
      <c r="W4" s="234">
        <f t="shared" si="24"/>
        <v>7.7173938669200014E-3</v>
      </c>
      <c r="X4" s="230">
        <f t="shared" ref="X4:X12" si="28">$W4/$P4*5252</f>
        <v>3.6748789014084552E-3</v>
      </c>
      <c r="Y4" s="230">
        <f t="shared" ref="Y4:Y12" si="29">X4-$X$3</f>
        <v>7.0889644576948565E-4</v>
      </c>
      <c r="Z4" s="228">
        <f t="shared" si="10"/>
        <v>6.0677584453237142E-2</v>
      </c>
      <c r="AA4" s="229">
        <f t="shared" si="11"/>
        <v>0.14660107411535164</v>
      </c>
      <c r="AB4" s="2">
        <f t="shared" ref="AB4:AB11" si="30">AA4/U4*100</f>
        <v>2.1932019334048181</v>
      </c>
      <c r="AC4" s="158">
        <f t="shared" si="12"/>
        <v>4.8321328357536641</v>
      </c>
      <c r="AD4" s="175">
        <f t="shared" si="13"/>
        <v>10.872298880445744</v>
      </c>
      <c r="AE4" s="175">
        <f t="shared" si="14"/>
        <v>2.1598449493429834</v>
      </c>
      <c r="AF4" s="158">
        <f t="shared" si="25"/>
        <v>0.44697549151835642</v>
      </c>
      <c r="AG4" s="151"/>
      <c r="AH4" s="228">
        <f t="shared" si="15"/>
        <v>0.3888888888888889</v>
      </c>
      <c r="AI4" s="228">
        <f t="shared" si="16"/>
        <v>14</v>
      </c>
      <c r="AJ4" s="229">
        <f t="shared" si="17"/>
        <v>9133.1571145852577</v>
      </c>
      <c r="AK4" s="229">
        <f t="shared" si="18"/>
        <v>19.820219432693701</v>
      </c>
      <c r="AL4" s="229">
        <f t="shared" si="19"/>
        <v>5.4016336851826967</v>
      </c>
      <c r="AM4" s="229">
        <f t="shared" si="20"/>
        <v>19.88351724874855</v>
      </c>
      <c r="AN4" s="2">
        <f t="shared" ref="AN4:AN13" si="31">AO4/$Q$29</f>
        <v>5.4016336851826967</v>
      </c>
      <c r="AO4" s="3">
        <f t="shared" si="21"/>
        <v>2489.0728021321866</v>
      </c>
      <c r="AP4" s="227">
        <f t="shared" si="26"/>
        <v>4.7406206488910443E-5</v>
      </c>
      <c r="AQ4" s="227">
        <f t="shared" ref="AQ4:AQ13" si="32">AJ4*AP4/5252</f>
        <v>8.2438753250131417E-5</v>
      </c>
      <c r="AR4" s="231">
        <f t="shared" si="27"/>
        <v>3.298719185561271E-7</v>
      </c>
      <c r="AS4" s="228">
        <f t="shared" ref="AS4:AS13" si="33">$Q$34/AR4</f>
        <v>0.11345863469863143</v>
      </c>
      <c r="AT4" s="1"/>
      <c r="AU4" s="228"/>
      <c r="AX4" s="127"/>
      <c r="AY4" s="96"/>
    </row>
    <row r="5" spans="1:51" ht="13.95" customHeight="1" x14ac:dyDescent="0.3">
      <c r="A5" t="s">
        <v>225</v>
      </c>
      <c r="B5" s="176">
        <v>16</v>
      </c>
      <c r="C5" s="220">
        <f t="shared" si="1"/>
        <v>1.1444444444444444</v>
      </c>
      <c r="D5" s="73">
        <v>26</v>
      </c>
      <c r="E5" s="73">
        <v>0.72</v>
      </c>
      <c r="F5" s="73">
        <v>12.18</v>
      </c>
      <c r="G5" s="73">
        <v>1.21</v>
      </c>
      <c r="H5" s="73">
        <v>3610</v>
      </c>
      <c r="I5" s="78">
        <v>6240</v>
      </c>
      <c r="J5" s="61"/>
      <c r="K5" s="2">
        <f t="shared" si="2"/>
        <v>14.7378</v>
      </c>
      <c r="L5" s="1">
        <f t="shared" si="3"/>
        <v>26</v>
      </c>
      <c r="M5" s="234">
        <f t="shared" si="4"/>
        <v>3.2580965380214821</v>
      </c>
      <c r="N5" s="3">
        <f t="shared" si="5"/>
        <v>277.0083102493075</v>
      </c>
      <c r="O5" s="3">
        <f t="shared" si="5"/>
        <v>160.25641025641028</v>
      </c>
      <c r="P5" s="3">
        <f t="shared" si="6"/>
        <v>16620.498614958451</v>
      </c>
      <c r="Q5" s="3">
        <f t="shared" si="22"/>
        <v>9615.3846153846171</v>
      </c>
      <c r="R5" s="3">
        <f t="shared" si="7"/>
        <v>36.068790397045248</v>
      </c>
      <c r="S5" s="3">
        <f t="shared" si="8"/>
        <v>20.866720085470089</v>
      </c>
      <c r="T5" s="3">
        <f t="shared" si="9"/>
        <v>26</v>
      </c>
      <c r="U5" s="158">
        <f t="shared" si="0"/>
        <v>14.7378</v>
      </c>
      <c r="V5" s="229">
        <f t="shared" si="23"/>
        <v>13.80832</v>
      </c>
      <c r="W5" s="234">
        <f t="shared" si="24"/>
        <v>1.8517260903040001E-2</v>
      </c>
      <c r="X5" s="230">
        <f t="shared" si="28"/>
        <v>5.8513680314764257E-3</v>
      </c>
      <c r="Y5" s="230">
        <f t="shared" si="29"/>
        <v>2.8853855758374561E-3</v>
      </c>
      <c r="Z5" s="228">
        <f t="shared" si="10"/>
        <v>0.20763634563922254</v>
      </c>
      <c r="AA5" s="229">
        <f t="shared" si="11"/>
        <v>0.92800388075325091</v>
      </c>
      <c r="AB5" s="2">
        <f t="shared" si="30"/>
        <v>6.2967599014320381</v>
      </c>
      <c r="AC5" s="158">
        <f t="shared" si="12"/>
        <v>8.9387421830829101</v>
      </c>
      <c r="AD5" s="175">
        <f t="shared" si="13"/>
        <v>20.112169911936547</v>
      </c>
      <c r="AE5" s="175">
        <f t="shared" si="14"/>
        <v>27.690319863371577</v>
      </c>
      <c r="AF5" s="158">
        <f t="shared" si="25"/>
        <v>3.0977870595459303</v>
      </c>
      <c r="AG5" s="151"/>
      <c r="AH5" s="228">
        <f t="shared" si="15"/>
        <v>0.7222222222222221</v>
      </c>
      <c r="AI5" s="228">
        <f t="shared" si="16"/>
        <v>25.999999999999996</v>
      </c>
      <c r="AJ5" s="229">
        <f t="shared" si="17"/>
        <v>16819.07905121908</v>
      </c>
      <c r="AK5" s="229">
        <f t="shared" si="18"/>
        <v>36.499737524346962</v>
      </c>
      <c r="AL5" s="229">
        <f t="shared" si="19"/>
        <v>21.699057827325941</v>
      </c>
      <c r="AM5" s="229">
        <f t="shared" si="20"/>
        <v>36.538981214812814</v>
      </c>
      <c r="AN5" s="2">
        <f t="shared" si="31"/>
        <v>21.699057827325941</v>
      </c>
      <c r="AO5" s="3">
        <f t="shared" si="21"/>
        <v>9998.925846831793</v>
      </c>
      <c r="AP5" s="227">
        <f t="shared" si="26"/>
        <v>3.2029540127219589E-3</v>
      </c>
      <c r="AQ5" s="227">
        <f t="shared" si="32"/>
        <v>1.0257185212755138E-2</v>
      </c>
      <c r="AR5" s="231">
        <f t="shared" si="27"/>
        <v>4.9125216577592726E-7</v>
      </c>
      <c r="AS5" s="228">
        <f t="shared" si="33"/>
        <v>7.6186569978131474E-2</v>
      </c>
      <c r="AT5" s="232"/>
      <c r="AU5" s="165"/>
      <c r="AX5" s="127"/>
      <c r="AY5" s="96"/>
    </row>
    <row r="6" spans="1:51" ht="13.95" customHeight="1" x14ac:dyDescent="0.3">
      <c r="A6" t="s">
        <v>227</v>
      </c>
      <c r="B6" s="176">
        <v>25</v>
      </c>
      <c r="C6" s="220">
        <f t="shared" si="1"/>
        <v>1.1888888888888889</v>
      </c>
      <c r="D6" s="73">
        <v>34</v>
      </c>
      <c r="E6" s="73">
        <v>0.97</v>
      </c>
      <c r="F6" s="73">
        <v>12.16</v>
      </c>
      <c r="G6" s="73">
        <v>1.74</v>
      </c>
      <c r="H6" s="73">
        <v>3080</v>
      </c>
      <c r="I6" s="78">
        <v>4780</v>
      </c>
      <c r="J6" s="61"/>
      <c r="K6" s="2">
        <f t="shared" si="2"/>
        <v>21.1584</v>
      </c>
      <c r="L6" s="1">
        <f t="shared" si="3"/>
        <v>34</v>
      </c>
      <c r="M6" s="234">
        <f t="shared" si="4"/>
        <v>3.5263605246161616</v>
      </c>
      <c r="N6" s="3">
        <f t="shared" si="5"/>
        <v>324.6753246753247</v>
      </c>
      <c r="O6" s="3">
        <f t="shared" si="5"/>
        <v>209.20502092050208</v>
      </c>
      <c r="P6" s="3">
        <f t="shared" si="6"/>
        <v>19480.519480519481</v>
      </c>
      <c r="Q6" s="3">
        <f t="shared" si="22"/>
        <v>12552.301255230124</v>
      </c>
      <c r="R6" s="3">
        <f t="shared" si="7"/>
        <v>42.275432900432897</v>
      </c>
      <c r="S6" s="3">
        <f t="shared" si="8"/>
        <v>27.240237099023705</v>
      </c>
      <c r="T6" s="3">
        <f t="shared" si="9"/>
        <v>34</v>
      </c>
      <c r="U6" s="158">
        <f t="shared" si="0"/>
        <v>21.1584</v>
      </c>
      <c r="V6" s="229">
        <f t="shared" si="23"/>
        <v>20.228919999999999</v>
      </c>
      <c r="W6" s="234">
        <f t="shared" si="24"/>
        <v>2.7127426756240001E-2</v>
      </c>
      <c r="X6" s="230">
        <f t="shared" si="28"/>
        <v>7.3136265932869874E-3</v>
      </c>
      <c r="Y6" s="230">
        <f t="shared" si="29"/>
        <v>4.3476441376480175E-3</v>
      </c>
      <c r="Z6" s="228">
        <f t="shared" si="10"/>
        <v>0.33432806364140599</v>
      </c>
      <c r="AA6" s="229">
        <f t="shared" si="11"/>
        <v>1.8960682969048819</v>
      </c>
      <c r="AB6" s="2">
        <f t="shared" si="30"/>
        <v>8.9613028249058626</v>
      </c>
      <c r="AC6" s="158">
        <f t="shared" si="12"/>
        <v>11.342561412604413</v>
      </c>
      <c r="AD6" s="175">
        <f t="shared" si="13"/>
        <v>25.520763178359928</v>
      </c>
      <c r="AE6" s="175">
        <f t="shared" si="14"/>
        <v>36.14803262498716</v>
      </c>
      <c r="AF6" s="158">
        <f t="shared" si="25"/>
        <v>3.1869373512774359</v>
      </c>
      <c r="AG6" s="151"/>
      <c r="AH6" s="228">
        <f t="shared" si="15"/>
        <v>0.94444444444444442</v>
      </c>
      <c r="AI6" s="228">
        <f t="shared" si="16"/>
        <v>34</v>
      </c>
      <c r="AJ6" s="233">
        <f t="shared" si="17"/>
        <v>20149.814861452069</v>
      </c>
      <c r="AK6" s="233">
        <f t="shared" si="18"/>
        <v>43.727896834748414</v>
      </c>
      <c r="AL6" s="233">
        <f t="shared" si="19"/>
        <v>28.761634659659219</v>
      </c>
      <c r="AM6" s="233">
        <f t="shared" si="20"/>
        <v>43.756716539888409</v>
      </c>
      <c r="AN6" s="9">
        <f t="shared" si="31"/>
        <v>28.761634659659219</v>
      </c>
      <c r="AO6" s="10">
        <f t="shared" si="21"/>
        <v>13253.361251170969</v>
      </c>
      <c r="AP6" s="230">
        <f t="shared" si="26"/>
        <v>4.9556527014363687E-3</v>
      </c>
      <c r="AQ6" s="230">
        <f t="shared" si="32"/>
        <v>1.9012849286290486E-2</v>
      </c>
      <c r="AR6" s="232">
        <f t="shared" si="27"/>
        <v>5.6118716809715231E-7</v>
      </c>
      <c r="AS6" s="228">
        <f t="shared" si="33"/>
        <v>6.6692218982307566E-2</v>
      </c>
      <c r="AT6" s="232">
        <f t="shared" ref="AT6:AT12" si="34">$Q$43*$Q$26*$Q$35^2*$Q$32*PI()/240*($AC6-$Q$45)/$Q$44*$Q$33</f>
        <v>-1.5540821955235065E-7</v>
      </c>
      <c r="AU6" s="165">
        <f t="shared" ref="AU6:AU12" si="35">-$Q$34/AT6</f>
        <v>0.24082907334376075</v>
      </c>
      <c r="AX6" s="127"/>
      <c r="AY6" s="96"/>
    </row>
    <row r="7" spans="1:51" ht="13.95" customHeight="1" x14ac:dyDescent="0.3">
      <c r="A7" t="s">
        <v>228</v>
      </c>
      <c r="B7" s="176">
        <v>36</v>
      </c>
      <c r="C7" s="220">
        <f t="shared" si="1"/>
        <v>1.2833333333333332</v>
      </c>
      <c r="D7" s="73">
        <v>51</v>
      </c>
      <c r="E7" s="73">
        <v>1.3149999999999999</v>
      </c>
      <c r="F7" s="73">
        <v>12.05</v>
      </c>
      <c r="G7" s="73">
        <v>2.92</v>
      </c>
      <c r="H7" s="73">
        <v>2490</v>
      </c>
      <c r="I7" s="78">
        <v>3500</v>
      </c>
      <c r="J7" s="61"/>
      <c r="K7" s="2">
        <f t="shared" si="2"/>
        <v>35.186</v>
      </c>
      <c r="L7" s="1">
        <f t="shared" si="3"/>
        <v>51</v>
      </c>
      <c r="M7" s="234">
        <f t="shared" si="4"/>
        <v>3.9318256327243257</v>
      </c>
      <c r="N7" s="3">
        <f t="shared" si="5"/>
        <v>401.60642570281129</v>
      </c>
      <c r="O7" s="3">
        <f t="shared" si="5"/>
        <v>285.71428571428572</v>
      </c>
      <c r="P7" s="3">
        <f t="shared" si="6"/>
        <v>24096.385542168679</v>
      </c>
      <c r="Q7" s="3">
        <f t="shared" si="22"/>
        <v>17142.857142857145</v>
      </c>
      <c r="R7" s="3">
        <f t="shared" si="7"/>
        <v>52.292503346720224</v>
      </c>
      <c r="S7" s="3">
        <f t="shared" si="8"/>
        <v>37.202380952380956</v>
      </c>
      <c r="T7" s="3">
        <f t="shared" si="9"/>
        <v>51</v>
      </c>
      <c r="U7" s="158">
        <f t="shared" si="0"/>
        <v>35.186</v>
      </c>
      <c r="V7" s="229">
        <f t="shared" si="23"/>
        <v>34.256520000000002</v>
      </c>
      <c r="W7" s="234">
        <f t="shared" si="24"/>
        <v>4.5938746963440004E-2</v>
      </c>
      <c r="X7" s="230">
        <f t="shared" si="28"/>
        <v>1.0012717410657455E-2</v>
      </c>
      <c r="Y7" s="230">
        <f t="shared" si="29"/>
        <v>7.0467349550184851E-3</v>
      </c>
      <c r="Z7" s="228">
        <f t="shared" si="10"/>
        <v>0.63274240545140414</v>
      </c>
      <c r="AA7" s="229">
        <f t="shared" si="11"/>
        <v>4.9366818441590627</v>
      </c>
      <c r="AB7" s="2">
        <f t="shared" si="30"/>
        <v>14.030244540894286</v>
      </c>
      <c r="AC7" s="158">
        <f t="shared" si="12"/>
        <v>15.60408090757625</v>
      </c>
      <c r="AD7" s="175">
        <f t="shared" si="13"/>
        <v>35.109182042046562</v>
      </c>
      <c r="AE7" s="175">
        <f t="shared" si="14"/>
        <v>49.367884556411035</v>
      </c>
      <c r="AF7" s="158">
        <f t="shared" si="25"/>
        <v>3.1637803500776163</v>
      </c>
      <c r="AG7" s="151"/>
      <c r="AH7" s="228">
        <f t="shared" si="15"/>
        <v>1.4166666666666665</v>
      </c>
      <c r="AI7" s="228">
        <f t="shared" si="16"/>
        <v>51</v>
      </c>
      <c r="AJ7" s="229">
        <f t="shared" si="17"/>
        <v>25184.024531258845</v>
      </c>
      <c r="AK7" s="229">
        <f t="shared" si="18"/>
        <v>54.652831014016591</v>
      </c>
      <c r="AL7" s="229">
        <f t="shared" si="19"/>
        <v>39.436300742106155</v>
      </c>
      <c r="AM7" s="229">
        <f t="shared" si="20"/>
        <v>54.665895483462393</v>
      </c>
      <c r="AN7" s="2">
        <f t="shared" si="31"/>
        <v>39.436300742106155</v>
      </c>
      <c r="AO7" s="3">
        <f t="shared" si="21"/>
        <v>18172.247381962516</v>
      </c>
      <c r="AP7" s="227">
        <f t="shared" si="26"/>
        <v>8.0468511177519183E-3</v>
      </c>
      <c r="AQ7" s="227">
        <f t="shared" si="32"/>
        <v>3.8585699914099769E-2</v>
      </c>
      <c r="AR7" s="231">
        <f t="shared" si="27"/>
        <v>6.6688977707076621E-7</v>
      </c>
      <c r="AS7" s="228">
        <f t="shared" si="33"/>
        <v>5.6121444340006467E-2</v>
      </c>
      <c r="AT7" s="232">
        <f t="shared" si="34"/>
        <v>-2.5982583795886433E-7</v>
      </c>
      <c r="AU7" s="165">
        <f t="shared" si="35"/>
        <v>0.14404578774310253</v>
      </c>
      <c r="AX7" s="127"/>
      <c r="AY7" s="96"/>
    </row>
    <row r="8" spans="1:51" ht="13.95" customHeight="1" x14ac:dyDescent="0.3">
      <c r="A8" t="s">
        <v>229</v>
      </c>
      <c r="B8" s="176">
        <v>45</v>
      </c>
      <c r="C8" s="220">
        <f t="shared" si="1"/>
        <v>1.4222222222222223</v>
      </c>
      <c r="D8" s="73">
        <v>76</v>
      </c>
      <c r="E8" s="73">
        <v>1.68</v>
      </c>
      <c r="F8" s="73">
        <v>11.97</v>
      </c>
      <c r="G8" s="73">
        <v>4.82</v>
      </c>
      <c r="H8" s="73">
        <v>2070</v>
      </c>
      <c r="I8" s="78">
        <v>2720</v>
      </c>
      <c r="J8" s="61"/>
      <c r="K8" s="2">
        <f t="shared" si="2"/>
        <v>57.695400000000006</v>
      </c>
      <c r="L8" s="1">
        <f t="shared" si="3"/>
        <v>76</v>
      </c>
      <c r="M8" s="234">
        <f t="shared" si="4"/>
        <v>4.3307333402863311</v>
      </c>
      <c r="N8" s="3">
        <f t="shared" si="5"/>
        <v>483.09178743961354</v>
      </c>
      <c r="O8" s="3">
        <f t="shared" si="5"/>
        <v>367.64705882352945</v>
      </c>
      <c r="P8" s="3">
        <f t="shared" si="6"/>
        <v>28985.507246376812</v>
      </c>
      <c r="Q8" s="3">
        <f t="shared" si="22"/>
        <v>22058.823529411766</v>
      </c>
      <c r="R8" s="3">
        <f t="shared" si="7"/>
        <v>62.902576489533011</v>
      </c>
      <c r="S8" s="3">
        <f t="shared" si="8"/>
        <v>47.870710784313729</v>
      </c>
      <c r="T8" s="3">
        <f t="shared" si="9"/>
        <v>76</v>
      </c>
      <c r="U8" s="158">
        <f t="shared" si="0"/>
        <v>57.695400000000006</v>
      </c>
      <c r="V8" s="229">
        <f t="shared" si="23"/>
        <v>56.765920000000008</v>
      </c>
      <c r="W8" s="234">
        <f t="shared" si="24"/>
        <v>7.6124347570240017E-2</v>
      </c>
      <c r="X8" s="230">
        <f t="shared" si="28"/>
        <v>1.3793275033642069E-2</v>
      </c>
      <c r="Y8" s="230">
        <f t="shared" si="29"/>
        <v>1.0827292578003099E-2</v>
      </c>
      <c r="Z8" s="228">
        <f t="shared" si="10"/>
        <v>1.1013210651331984</v>
      </c>
      <c r="AA8" s="229">
        <f t="shared" si="11"/>
        <v>11.336151631995348</v>
      </c>
      <c r="AB8" s="2">
        <f t="shared" si="30"/>
        <v>19.648276347846355</v>
      </c>
      <c r="AC8" s="158">
        <f t="shared" si="12"/>
        <v>20.586461098198111</v>
      </c>
      <c r="AD8" s="175">
        <f t="shared" si="13"/>
        <v>46.319537470945747</v>
      </c>
      <c r="AE8" s="175">
        <f t="shared" si="14"/>
        <v>63.524851451264198</v>
      </c>
      <c r="AF8" s="163">
        <f t="shared" si="25"/>
        <v>3.0857587007426153</v>
      </c>
      <c r="AG8" s="159">
        <f>$M$40/($Q$26*$Q$35*$Q$32*($AC8-$Q$45)^2/4/$AF8)/(PI()*$Q$35/60/($AC8-$Q$45))</f>
        <v>-0.99606633499190611</v>
      </c>
      <c r="AH8" s="228">
        <f t="shared" si="15"/>
        <v>2.1111111111111112</v>
      </c>
      <c r="AI8" s="228">
        <f t="shared" si="16"/>
        <v>76</v>
      </c>
      <c r="AJ8" s="229">
        <f t="shared" si="17"/>
        <v>30136.818245467628</v>
      </c>
      <c r="AK8" s="229">
        <f t="shared" si="18"/>
        <v>65.401081261865514</v>
      </c>
      <c r="AL8" s="229">
        <f t="shared" si="19"/>
        <v>49.938330363858107</v>
      </c>
      <c r="AM8" s="229">
        <f t="shared" si="20"/>
        <v>65.398645297791418</v>
      </c>
      <c r="AN8" s="2">
        <f t="shared" si="31"/>
        <v>49.9383303638581</v>
      </c>
      <c r="AO8" s="3">
        <f t="shared" si="21"/>
        <v>23011.582631665813</v>
      </c>
      <c r="AP8" s="227">
        <f t="shared" si="26"/>
        <v>1.1607346872347815E-2</v>
      </c>
      <c r="AQ8" s="227">
        <f t="shared" si="32"/>
        <v>6.660481778447129E-2</v>
      </c>
      <c r="AR8" s="231">
        <f t="shared" si="27"/>
        <v>7.70882906407407E-7</v>
      </c>
      <c r="AS8" s="228">
        <f t="shared" si="33"/>
        <v>4.855058685789107E-2</v>
      </c>
      <c r="AT8" s="232">
        <f t="shared" si="34"/>
        <v>-3.8190630106935023E-7</v>
      </c>
      <c r="AU8" s="165">
        <f t="shared" si="35"/>
        <v>9.8000000000000004E-2</v>
      </c>
      <c r="AX8" s="127"/>
      <c r="AY8" s="96"/>
    </row>
    <row r="9" spans="1:51" ht="13.95" customHeight="1" x14ac:dyDescent="0.3">
      <c r="A9" t="s">
        <v>230</v>
      </c>
      <c r="B9" s="176">
        <v>50</v>
      </c>
      <c r="C9" s="220">
        <f t="shared" si="1"/>
        <v>1.5055555555555555</v>
      </c>
      <c r="D9" s="73">
        <v>91</v>
      </c>
      <c r="E9" s="73">
        <v>1.86</v>
      </c>
      <c r="F9" s="73">
        <v>11.92</v>
      </c>
      <c r="G9" s="73">
        <v>5.99</v>
      </c>
      <c r="H9" s="73">
        <v>1890</v>
      </c>
      <c r="I9" s="78">
        <v>2480</v>
      </c>
      <c r="J9" s="61"/>
      <c r="K9" s="2">
        <f t="shared" si="2"/>
        <v>71.400800000000004</v>
      </c>
      <c r="L9" s="1">
        <f t="shared" si="3"/>
        <v>91</v>
      </c>
      <c r="M9" s="234">
        <f t="shared" si="4"/>
        <v>4.5108595065168497</v>
      </c>
      <c r="N9" s="3">
        <f t="shared" si="5"/>
        <v>529.10052910052912</v>
      </c>
      <c r="O9" s="3">
        <f t="shared" si="5"/>
        <v>403.22580645161293</v>
      </c>
      <c r="P9" s="3">
        <f t="shared" si="6"/>
        <v>31746.031746031746</v>
      </c>
      <c r="Q9" s="3">
        <f t="shared" si="22"/>
        <v>24193.548387096776</v>
      </c>
      <c r="R9" s="3">
        <f t="shared" si="7"/>
        <v>68.893298059964721</v>
      </c>
      <c r="S9" s="3">
        <f t="shared" si="8"/>
        <v>52.503360215053767</v>
      </c>
      <c r="T9" s="3">
        <f t="shared" si="9"/>
        <v>91</v>
      </c>
      <c r="U9" s="158">
        <f t="shared" si="0"/>
        <v>71.400800000000004</v>
      </c>
      <c r="V9" s="229">
        <f t="shared" si="23"/>
        <v>70.471320000000006</v>
      </c>
      <c r="W9" s="234">
        <f t="shared" si="24"/>
        <v>9.4503590489040015E-2</v>
      </c>
      <c r="X9" s="230">
        <f t="shared" si="28"/>
        <v>1.5634485003325801E-2</v>
      </c>
      <c r="Y9" s="230">
        <f t="shared" si="29"/>
        <v>1.2668502547686832E-2</v>
      </c>
      <c r="Z9" s="228">
        <f t="shared" si="10"/>
        <v>1.446903509283622</v>
      </c>
      <c r="AA9" s="229">
        <f t="shared" si="11"/>
        <v>17.070808173780513</v>
      </c>
      <c r="AB9" s="2">
        <f t="shared" si="30"/>
        <v>23.908427039725762</v>
      </c>
      <c r="AC9" s="158">
        <f t="shared" si="12"/>
        <v>23.596332532543876</v>
      </c>
      <c r="AD9" s="175">
        <f t="shared" si="13"/>
        <v>53.091748198223712</v>
      </c>
      <c r="AE9" s="175">
        <f t="shared" si="14"/>
        <v>69.672417720741393</v>
      </c>
      <c r="AF9" s="165">
        <f t="shared" si="25"/>
        <v>2.9526799397596952</v>
      </c>
      <c r="AG9" s="151"/>
      <c r="AH9" s="228">
        <f t="shared" si="15"/>
        <v>2.5277777777777777</v>
      </c>
      <c r="AI9" s="228">
        <f t="shared" si="16"/>
        <v>91</v>
      </c>
      <c r="AJ9" s="229">
        <f t="shared" si="17"/>
        <v>32373.24468436357</v>
      </c>
      <c r="AK9" s="229">
        <f t="shared" si="18"/>
        <v>70.254437249052884</v>
      </c>
      <c r="AL9" s="229">
        <f t="shared" si="19"/>
        <v>54.680505803302282</v>
      </c>
      <c r="AM9" s="229">
        <f t="shared" si="20"/>
        <v>70.245002087891521</v>
      </c>
      <c r="AN9" s="2">
        <f t="shared" si="31"/>
        <v>54.680505803302282</v>
      </c>
      <c r="AO9" s="3">
        <f t="shared" si="21"/>
        <v>25196.777074161691</v>
      </c>
      <c r="AP9" s="227">
        <f t="shared" si="26"/>
        <v>1.3383878773407323E-2</v>
      </c>
      <c r="AQ9" s="227">
        <f t="shared" si="32"/>
        <v>8.2498016442759906E-2</v>
      </c>
      <c r="AR9" s="231">
        <f t="shared" si="27"/>
        <v>8.1784084516523852E-7</v>
      </c>
      <c r="AS9" s="228">
        <f t="shared" si="33"/>
        <v>4.5762959536747666E-2</v>
      </c>
      <c r="AT9" s="232">
        <f t="shared" si="34"/>
        <v>-4.5565549012151931E-7</v>
      </c>
      <c r="AU9" s="165">
        <f t="shared" si="35"/>
        <v>8.2138410084370811E-2</v>
      </c>
      <c r="AX9" s="150"/>
      <c r="AY9" s="152"/>
    </row>
    <row r="10" spans="1:51" ht="13.95" customHeight="1" x14ac:dyDescent="0.3">
      <c r="A10" t="s">
        <v>232</v>
      </c>
      <c r="B10" s="176">
        <v>55</v>
      </c>
      <c r="C10" s="220">
        <f t="shared" si="1"/>
        <v>1.588888888888889</v>
      </c>
      <c r="D10" s="73">
        <v>106</v>
      </c>
      <c r="E10" s="73">
        <v>2.02</v>
      </c>
      <c r="F10" s="73">
        <v>11.87</v>
      </c>
      <c r="G10" s="73">
        <v>7.18</v>
      </c>
      <c r="H10" s="73">
        <v>1800</v>
      </c>
      <c r="I10" s="78">
        <v>2250</v>
      </c>
      <c r="J10" s="61"/>
      <c r="K10" s="2">
        <f t="shared" si="2"/>
        <v>85.226599999999991</v>
      </c>
      <c r="L10" s="1">
        <f t="shared" si="3"/>
        <v>106</v>
      </c>
      <c r="M10" s="234">
        <f t="shared" si="4"/>
        <v>4.6634390941120669</v>
      </c>
      <c r="N10" s="3">
        <f t="shared" si="5"/>
        <v>555.55555555555554</v>
      </c>
      <c r="O10" s="3">
        <f t="shared" si="5"/>
        <v>444.44444444444451</v>
      </c>
      <c r="P10" s="3">
        <f t="shared" si="6"/>
        <v>33333.333333333336</v>
      </c>
      <c r="Q10" s="3">
        <f t="shared" si="22"/>
        <v>26666.666666666672</v>
      </c>
      <c r="R10" s="3">
        <f t="shared" si="7"/>
        <v>72.337962962962962</v>
      </c>
      <c r="S10" s="3">
        <f t="shared" si="8"/>
        <v>57.870370370370381</v>
      </c>
      <c r="T10" s="3">
        <f t="shared" si="9"/>
        <v>106</v>
      </c>
      <c r="U10" s="158">
        <f t="shared" si="0"/>
        <v>85.226599999999991</v>
      </c>
      <c r="V10" s="229">
        <f t="shared" si="23"/>
        <v>84.297119999999993</v>
      </c>
      <c r="W10" s="234">
        <f t="shared" si="24"/>
        <v>0.11304429245663999</v>
      </c>
      <c r="X10" s="230">
        <f t="shared" si="28"/>
        <v>1.7811258719468197E-2</v>
      </c>
      <c r="Y10" s="230">
        <f t="shared" si="29"/>
        <v>1.4845276263829227E-2</v>
      </c>
      <c r="Z10" s="228">
        <f t="shared" si="10"/>
        <v>1.6749716749344534</v>
      </c>
      <c r="AA10" s="229">
        <f t="shared" si="11"/>
        <v>21.26208881723857</v>
      </c>
      <c r="AB10" s="2">
        <f t="shared" si="30"/>
        <v>24.94771446618611</v>
      </c>
      <c r="AC10" s="158">
        <f t="shared" si="12"/>
        <v>25.387998060409728</v>
      </c>
      <c r="AD10" s="175">
        <f t="shared" si="13"/>
        <v>57.122995635921889</v>
      </c>
      <c r="AE10" s="175">
        <f t="shared" si="14"/>
        <v>76.794487087750511</v>
      </c>
      <c r="AF10" s="165">
        <f t="shared" si="25"/>
        <v>3.0248342900066834</v>
      </c>
      <c r="AG10" s="151"/>
      <c r="AH10" s="228">
        <f t="shared" si="15"/>
        <v>2.9444444444444446</v>
      </c>
      <c r="AI10" s="228">
        <f t="shared" si="16"/>
        <v>106</v>
      </c>
      <c r="AJ10" s="229">
        <f t="shared" si="17"/>
        <v>34267.655867784233</v>
      </c>
      <c r="AK10" s="229">
        <f t="shared" si="18"/>
        <v>74.365572629740086</v>
      </c>
      <c r="AL10" s="229">
        <f t="shared" si="19"/>
        <v>58.697463405833936</v>
      </c>
      <c r="AM10" s="229">
        <f t="shared" si="20"/>
        <v>74.350208654195896</v>
      </c>
      <c r="AN10" s="2">
        <f t="shared" si="31"/>
        <v>58.697463405833936</v>
      </c>
      <c r="AO10" s="3">
        <f t="shared" si="21"/>
        <v>27047.79113740828</v>
      </c>
      <c r="AP10" s="227">
        <f t="shared" si="26"/>
        <v>1.4970882321274965E-2</v>
      </c>
      <c r="AQ10" s="227">
        <f t="shared" si="32"/>
        <v>9.7680320529806797E-2</v>
      </c>
      <c r="AR10" s="231">
        <f t="shared" si="27"/>
        <v>8.5761753658064419E-7</v>
      </c>
      <c r="AS10" s="228">
        <f t="shared" si="33"/>
        <v>4.364045265914053E-2</v>
      </c>
      <c r="AT10" s="232">
        <f t="shared" si="34"/>
        <v>-4.9955566413727561E-7</v>
      </c>
      <c r="AU10" s="165">
        <f t="shared" si="35"/>
        <v>7.4920214485870801E-2</v>
      </c>
      <c r="AX10" s="127"/>
      <c r="AY10" s="96"/>
    </row>
    <row r="11" spans="1:51" ht="13.95" customHeight="1" x14ac:dyDescent="0.3">
      <c r="A11" t="s">
        <v>232</v>
      </c>
      <c r="B11" s="176">
        <v>62</v>
      </c>
      <c r="C11" s="220">
        <f t="shared" si="1"/>
        <v>1.7333333333333334</v>
      </c>
      <c r="D11" s="73">
        <v>132</v>
      </c>
      <c r="E11" s="73">
        <v>2.2599999999999998</v>
      </c>
      <c r="F11" s="73">
        <v>11.83</v>
      </c>
      <c r="G11" s="73">
        <v>9.1300000000000008</v>
      </c>
      <c r="H11" s="73">
        <v>1630</v>
      </c>
      <c r="I11" s="78">
        <v>2010</v>
      </c>
      <c r="J11" s="61"/>
      <c r="K11" s="2">
        <f t="shared" si="2"/>
        <v>108.00790000000001</v>
      </c>
      <c r="L11" s="1">
        <f t="shared" si="3"/>
        <v>132</v>
      </c>
      <c r="M11" s="234">
        <f t="shared" si="4"/>
        <v>4.8828019225863706</v>
      </c>
      <c r="N11" s="3">
        <f t="shared" si="5"/>
        <v>613.49693251533745</v>
      </c>
      <c r="O11" s="3">
        <f t="shared" si="5"/>
        <v>497.51243781094524</v>
      </c>
      <c r="P11" s="3">
        <f t="shared" si="6"/>
        <v>36809.815950920245</v>
      </c>
      <c r="Q11" s="3">
        <f t="shared" si="22"/>
        <v>29850.746268656716</v>
      </c>
      <c r="R11" s="3">
        <f t="shared" si="7"/>
        <v>79.882413087934552</v>
      </c>
      <c r="S11" s="3">
        <f t="shared" si="8"/>
        <v>64.780265339966832</v>
      </c>
      <c r="T11" s="3">
        <f t="shared" si="9"/>
        <v>132</v>
      </c>
      <c r="U11" s="158">
        <f t="shared" si="0"/>
        <v>108.00790000000001</v>
      </c>
      <c r="V11" s="229">
        <f t="shared" si="23"/>
        <v>107.07842000000001</v>
      </c>
      <c r="W11" s="234">
        <f t="shared" si="24"/>
        <v>0.14359451694524003</v>
      </c>
      <c r="X11" s="230">
        <f t="shared" si="28"/>
        <v>2.0487969948068882E-2</v>
      </c>
      <c r="Y11" s="230">
        <f t="shared" si="29"/>
        <v>1.7521987492429912E-2</v>
      </c>
      <c r="Z11" s="228">
        <f t="shared" si="10"/>
        <v>2.2556004329548065</v>
      </c>
      <c r="AA11" s="229">
        <f t="shared" si="11"/>
        <v>33.226758975060008</v>
      </c>
      <c r="AB11" s="2">
        <f t="shared" si="30"/>
        <v>30.763267293466502</v>
      </c>
      <c r="AC11" s="158">
        <f t="shared" si="12"/>
        <v>29.461564636723708</v>
      </c>
      <c r="AD11" s="175">
        <f t="shared" si="13"/>
        <v>66.288520432628331</v>
      </c>
      <c r="AE11" s="175">
        <f t="shared" si="14"/>
        <v>85.963978083302791</v>
      </c>
      <c r="AF11" s="165">
        <f t="shared" si="25"/>
        <v>2.9178347838372805</v>
      </c>
      <c r="AG11" s="151"/>
      <c r="AH11" s="228">
        <f t="shared" si="15"/>
        <v>3.6666666666666665</v>
      </c>
      <c r="AI11" s="228">
        <f t="shared" si="16"/>
        <v>132</v>
      </c>
      <c r="AJ11" s="229">
        <f t="shared" si="17"/>
        <v>36991.240339587683</v>
      </c>
      <c r="AK11" s="229">
        <f t="shared" si="18"/>
        <v>80.276129209174655</v>
      </c>
      <c r="AL11" s="229">
        <f t="shared" si="19"/>
        <v>64.472621114939727</v>
      </c>
      <c r="AM11" s="229">
        <f t="shared" si="20"/>
        <v>80.252241410011507</v>
      </c>
      <c r="AN11" s="2">
        <f t="shared" si="31"/>
        <v>64.472621114939727</v>
      </c>
      <c r="AO11" s="3">
        <f t="shared" si="21"/>
        <v>29708.983809764224</v>
      </c>
      <c r="AP11" s="227">
        <f t="shared" si="26"/>
        <v>1.7384552570285879E-2</v>
      </c>
      <c r="AQ11" s="227">
        <f t="shared" si="32"/>
        <v>0.12244405223222424</v>
      </c>
      <c r="AR11" s="231">
        <f t="shared" si="27"/>
        <v>9.1480426564286394E-7</v>
      </c>
      <c r="AS11" s="228">
        <f t="shared" si="33"/>
        <v>4.0912377554880808E-2</v>
      </c>
      <c r="AT11" s="232">
        <f t="shared" si="34"/>
        <v>-5.9936797775474322E-7</v>
      </c>
      <c r="AU11" s="165">
        <f t="shared" si="35"/>
        <v>6.2443805631723442E-2</v>
      </c>
      <c r="AX11" s="127"/>
      <c r="AY11" s="96"/>
    </row>
    <row r="12" spans="1:51" ht="13.95" customHeight="1" thickBot="1" x14ac:dyDescent="0.35">
      <c r="A12" t="s">
        <v>233</v>
      </c>
      <c r="B12" t="s">
        <v>234</v>
      </c>
      <c r="C12" s="221">
        <f t="shared" si="1"/>
        <v>2</v>
      </c>
      <c r="D12" s="80">
        <v>180</v>
      </c>
      <c r="E12" s="80">
        <v>2.75</v>
      </c>
      <c r="F12" s="80">
        <v>11.5</v>
      </c>
      <c r="G12" s="80">
        <v>14.51</v>
      </c>
      <c r="H12" s="80">
        <v>1370</v>
      </c>
      <c r="I12" s="81">
        <v>1670</v>
      </c>
      <c r="J12" s="61"/>
      <c r="K12" s="2">
        <f t="shared" si="2"/>
        <v>166.86500000000001</v>
      </c>
      <c r="L12" s="1">
        <f t="shared" si="3"/>
        <v>180</v>
      </c>
      <c r="M12" s="234">
        <f t="shared" si="4"/>
        <v>5.1929568508902104</v>
      </c>
      <c r="N12" s="3">
        <f t="shared" si="5"/>
        <v>729.92700729927003</v>
      </c>
      <c r="O12" s="3">
        <f t="shared" si="5"/>
        <v>598.80239520958082</v>
      </c>
      <c r="P12" s="3">
        <f t="shared" si="6"/>
        <v>43795.620437956204</v>
      </c>
      <c r="Q12" s="3">
        <f t="shared" si="22"/>
        <v>35928.143712574849</v>
      </c>
      <c r="R12" s="3">
        <f t="shared" si="7"/>
        <v>95.042579075425792</v>
      </c>
      <c r="S12" s="3">
        <f t="shared" si="8"/>
        <v>77.969061876247494</v>
      </c>
      <c r="T12" s="3">
        <f t="shared" si="9"/>
        <v>180</v>
      </c>
      <c r="U12" s="158">
        <f t="shared" si="0"/>
        <v>166.86500000000001</v>
      </c>
      <c r="V12" s="229">
        <f t="shared" si="23"/>
        <v>165.93552</v>
      </c>
      <c r="W12" s="234">
        <f t="shared" si="24"/>
        <v>0.22252318290144002</v>
      </c>
      <c r="X12" s="230">
        <f t="shared" si="28"/>
        <v>2.6685128442329287E-2</v>
      </c>
      <c r="Y12" s="230">
        <f t="shared" si="29"/>
        <v>2.3719145986690317E-2</v>
      </c>
      <c r="Z12" s="163">
        <f>C32/0.224</f>
        <v>4.4249528005034611</v>
      </c>
      <c r="AA12" s="229">
        <f t="shared" si="11"/>
        <v>91.297248929319878</v>
      </c>
      <c r="AB12" s="2">
        <f>AA12/U12*100</f>
        <v>54.713240601276404</v>
      </c>
      <c r="AC12" s="158">
        <f t="shared" si="12"/>
        <v>41.264733453849395</v>
      </c>
      <c r="AD12" s="175">
        <f>AC12*1/1.6/1000*3600</f>
        <v>92.845650271161119</v>
      </c>
      <c r="AE12" s="175">
        <f t="shared" si="14"/>
        <v>103.4656263158315</v>
      </c>
      <c r="AF12" s="165">
        <f t="shared" si="25"/>
        <v>2.5073620415250657</v>
      </c>
      <c r="AG12" s="151"/>
      <c r="AH12" s="228">
        <f t="shared" si="15"/>
        <v>5</v>
      </c>
      <c r="AI12" s="228">
        <f t="shared" si="16"/>
        <v>180</v>
      </c>
      <c r="AJ12" s="229">
        <f t="shared" si="17"/>
        <v>40842.089421252422</v>
      </c>
      <c r="AK12" s="229">
        <f t="shared" si="18"/>
        <v>88.633006556537367</v>
      </c>
      <c r="AL12" s="229">
        <f t="shared" si="19"/>
        <v>72.638059341958609</v>
      </c>
      <c r="AM12" s="229">
        <f t="shared" si="20"/>
        <v>88.597067007668912</v>
      </c>
      <c r="AN12" s="2">
        <f t="shared" si="31"/>
        <v>72.638059341958638</v>
      </c>
      <c r="AO12" s="3">
        <f t="shared" si="21"/>
        <v>33471.617744774543</v>
      </c>
      <c r="AP12" s="227">
        <f t="shared" si="26"/>
        <v>2.1063007380398409E-2</v>
      </c>
      <c r="AQ12" s="227">
        <f t="shared" si="32"/>
        <v>0.16379612165093899</v>
      </c>
      <c r="AR12" s="231">
        <f t="shared" si="27"/>
        <v>9.9566001488527295E-7</v>
      </c>
      <c r="AS12" s="228">
        <f t="shared" si="33"/>
        <v>3.7589957360202833E-2</v>
      </c>
      <c r="AT12" s="232">
        <f t="shared" si="34"/>
        <v>-8.8857439321018542E-7</v>
      </c>
      <c r="AU12" s="165">
        <f t="shared" si="35"/>
        <v>4.2120072096139397E-2</v>
      </c>
      <c r="AX12" s="127"/>
      <c r="AY12" s="96"/>
    </row>
    <row r="13" spans="1:51" ht="13.95" customHeight="1" x14ac:dyDescent="0.3">
      <c r="C13" s="267"/>
      <c r="AE13" s="45"/>
      <c r="AF13" s="30"/>
      <c r="AH13" s="228">
        <f t="shared" si="15"/>
        <v>0</v>
      </c>
      <c r="AI13" s="228">
        <f t="shared" si="16"/>
        <v>0</v>
      </c>
      <c r="AJ13" s="229" t="e">
        <f t="shared" si="17"/>
        <v>#NUM!</v>
      </c>
      <c r="AK13" s="229" t="e">
        <f t="shared" si="18"/>
        <v>#NUM!</v>
      </c>
      <c r="AL13" s="229" t="e">
        <f t="shared" si="19"/>
        <v>#NUM!</v>
      </c>
      <c r="AM13" s="229" t="e">
        <f t="shared" si="20"/>
        <v>#NUM!</v>
      </c>
      <c r="AN13" s="2" t="e">
        <f t="shared" si="31"/>
        <v>#NUM!</v>
      </c>
      <c r="AO13" s="3" t="e">
        <f t="shared" si="21"/>
        <v>#NUM!</v>
      </c>
      <c r="AP13" s="227" t="e">
        <f t="shared" si="26"/>
        <v>#NUM!</v>
      </c>
      <c r="AQ13" s="227" t="e">
        <f t="shared" si="32"/>
        <v>#NUM!</v>
      </c>
      <c r="AR13" s="231" t="e">
        <f t="shared" si="27"/>
        <v>#NUM!</v>
      </c>
      <c r="AS13" s="228" t="e">
        <f t="shared" si="33"/>
        <v>#NUM!</v>
      </c>
      <c r="AV13" s="146"/>
      <c r="AW13" s="95"/>
      <c r="AX13" s="128"/>
      <c r="AY13" s="96"/>
    </row>
    <row r="14" spans="1:51" x14ac:dyDescent="0.3">
      <c r="A14" t="s">
        <v>235</v>
      </c>
      <c r="AE14" s="194"/>
      <c r="AF14" s="30"/>
    </row>
    <row r="15" spans="1:51" ht="13.95" customHeight="1" x14ac:dyDescent="0.3">
      <c r="A15">
        <v>1</v>
      </c>
      <c r="C15" t="s">
        <v>236</v>
      </c>
      <c r="I15" s="3" t="s">
        <v>28</v>
      </c>
      <c r="J15" s="11" t="s">
        <v>29</v>
      </c>
      <c r="K15" s="12"/>
      <c r="L15" s="12"/>
      <c r="AE15" s="45"/>
      <c r="AF15" s="30"/>
    </row>
    <row r="16" spans="1:51" ht="13.95" customHeight="1" x14ac:dyDescent="0.3">
      <c r="A16">
        <v>2</v>
      </c>
      <c r="C16" t="s">
        <v>237</v>
      </c>
      <c r="I16" s="3"/>
      <c r="J16" s="13" t="s">
        <v>276</v>
      </c>
      <c r="K16" s="14"/>
      <c r="L16" s="14"/>
      <c r="AE16" s="149"/>
      <c r="AF16" s="30"/>
    </row>
    <row r="17" spans="1:48" ht="13.95" customHeight="1" x14ac:dyDescent="0.3">
      <c r="A17">
        <v>3</v>
      </c>
      <c r="C17" t="s">
        <v>239</v>
      </c>
      <c r="I17" s="3"/>
      <c r="J17" s="15" t="s">
        <v>274</v>
      </c>
      <c r="K17" s="16"/>
      <c r="L17" s="16"/>
      <c r="AE17" s="149"/>
      <c r="AF17" s="30"/>
    </row>
    <row r="18" spans="1:48" ht="13.95" customHeight="1" x14ac:dyDescent="0.3">
      <c r="A18">
        <v>4</v>
      </c>
      <c r="C18" t="s">
        <v>238</v>
      </c>
      <c r="J18" s="288" t="s">
        <v>297</v>
      </c>
      <c r="K18" s="287"/>
      <c r="L18" s="287"/>
      <c r="M18" s="287"/>
      <c r="N18" s="287"/>
      <c r="O18" s="289"/>
      <c r="AE18" s="149"/>
      <c r="AF18" s="30"/>
      <c r="AN18" s="45"/>
    </row>
    <row r="19" spans="1:48" ht="13.95" customHeight="1" x14ac:dyDescent="0.3">
      <c r="A19">
        <v>5</v>
      </c>
      <c r="C19" t="s">
        <v>240</v>
      </c>
      <c r="O19" s="188"/>
      <c r="AE19" s="149"/>
      <c r="AF19" s="30"/>
      <c r="AN19" s="45"/>
      <c r="AO19" s="5"/>
      <c r="AU19" s="5"/>
      <c r="AV19" s="5"/>
    </row>
    <row r="20" spans="1:48" ht="13.95" customHeight="1" thickBot="1" x14ac:dyDescent="0.35">
      <c r="A20">
        <v>6</v>
      </c>
      <c r="C20" t="s">
        <v>241</v>
      </c>
      <c r="O20" s="188"/>
      <c r="AN20" s="45"/>
      <c r="AO20" s="5"/>
      <c r="AV20" s="5"/>
    </row>
    <row r="21" spans="1:48" ht="13.95" customHeight="1" x14ac:dyDescent="0.3">
      <c r="A21">
        <v>7</v>
      </c>
      <c r="C21" t="s">
        <v>243</v>
      </c>
      <c r="O21" s="188"/>
      <c r="P21" s="214" t="s">
        <v>270</v>
      </c>
      <c r="Q21" s="64"/>
      <c r="R21" s="64"/>
      <c r="S21" s="64"/>
      <c r="T21" s="29"/>
      <c r="AN21" s="45"/>
      <c r="AO21" s="5"/>
      <c r="AV21" s="5"/>
    </row>
    <row r="22" spans="1:48" ht="13.95" customHeight="1" x14ac:dyDescent="0.3">
      <c r="A22" s="45">
        <v>8</v>
      </c>
      <c r="B22" s="45"/>
      <c r="C22" s="45" t="s">
        <v>275</v>
      </c>
      <c r="D22" s="61"/>
      <c r="E22" s="61"/>
      <c r="F22" s="61"/>
      <c r="G22" s="61"/>
      <c r="O22" s="188"/>
      <c r="P22" s="268" t="s">
        <v>15</v>
      </c>
      <c r="Q22" s="269">
        <f>C44</f>
        <v>5</v>
      </c>
      <c r="R22" s="45"/>
      <c r="S22" s="30"/>
      <c r="T22" s="31" t="s">
        <v>265</v>
      </c>
      <c r="AN22" s="45"/>
      <c r="AO22" s="5"/>
      <c r="AV22" s="5"/>
    </row>
    <row r="23" spans="1:48" ht="13.95" customHeight="1" thickBot="1" x14ac:dyDescent="0.35">
      <c r="H23" s="61"/>
      <c r="I23" s="61"/>
      <c r="J23" s="61"/>
      <c r="K23" s="187"/>
      <c r="L23" s="61"/>
      <c r="M23" s="61"/>
      <c r="N23" s="188"/>
      <c r="O23" s="188"/>
      <c r="P23" s="268" t="s">
        <v>17</v>
      </c>
      <c r="Q23" s="269">
        <f>C36</f>
        <v>5</v>
      </c>
      <c r="R23" s="30"/>
      <c r="S23" s="30"/>
      <c r="T23" s="31" t="s">
        <v>265</v>
      </c>
      <c r="AN23" s="45"/>
      <c r="AO23" s="5"/>
      <c r="AV23" s="5"/>
    </row>
    <row r="24" spans="1:48" ht="13.95" customHeight="1" x14ac:dyDescent="0.3">
      <c r="A24" t="s">
        <v>32</v>
      </c>
      <c r="B24" s="17" t="s">
        <v>3</v>
      </c>
      <c r="C24" s="18">
        <v>1</v>
      </c>
      <c r="D24"/>
      <c r="F24"/>
      <c r="G24" s="61"/>
      <c r="I24" s="17" t="s">
        <v>134</v>
      </c>
      <c r="J24" s="28"/>
      <c r="K24" s="28"/>
      <c r="L24" s="29"/>
      <c r="M24" s="61"/>
      <c r="N24" s="188"/>
      <c r="O24" s="188"/>
      <c r="P24" s="268" t="s">
        <v>16</v>
      </c>
      <c r="Q24" s="269">
        <f>C35</f>
        <v>0</v>
      </c>
      <c r="R24" s="30"/>
      <c r="S24" s="30"/>
      <c r="T24" s="31" t="s">
        <v>265</v>
      </c>
      <c r="AN24" s="45"/>
      <c r="AO24" s="5"/>
      <c r="AV24" s="5"/>
    </row>
    <row r="25" spans="1:48" ht="13.95" customHeight="1" x14ac:dyDescent="0.3">
      <c r="A25" s="189"/>
      <c r="B25" s="19" t="s">
        <v>4</v>
      </c>
      <c r="C25" s="20">
        <v>4800</v>
      </c>
      <c r="D25" t="s">
        <v>77</v>
      </c>
      <c r="F25"/>
      <c r="G25" s="61"/>
      <c r="I25" s="19" t="s">
        <v>128</v>
      </c>
      <c r="J25" s="208">
        <v>25</v>
      </c>
      <c r="K25" s="30" t="s">
        <v>93</v>
      </c>
      <c r="L25" s="31"/>
      <c r="M25" s="61"/>
      <c r="N25" s="188"/>
      <c r="O25" s="188"/>
      <c r="P25" s="268" t="s">
        <v>14</v>
      </c>
      <c r="Q25" s="269">
        <f>C43</f>
        <v>0</v>
      </c>
      <c r="R25" s="45"/>
      <c r="S25" s="30"/>
      <c r="T25" s="31" t="s">
        <v>265</v>
      </c>
      <c r="AN25" s="45"/>
      <c r="AO25" s="5"/>
      <c r="AP25" s="5"/>
    </row>
    <row r="26" spans="1:48" ht="13.95" customHeight="1" x14ac:dyDescent="0.3">
      <c r="A26" s="189"/>
      <c r="B26" s="19" t="s">
        <v>5</v>
      </c>
      <c r="C26" s="20">
        <v>12</v>
      </c>
      <c r="D26"/>
      <c r="F26"/>
      <c r="G26" s="61"/>
      <c r="I26" s="19" t="s">
        <v>144</v>
      </c>
      <c r="J26" s="208">
        <v>2.1797</v>
      </c>
      <c r="K26" s="30" t="s">
        <v>94</v>
      </c>
      <c r="L26" s="31"/>
      <c r="M26" s="61"/>
      <c r="N26" s="188"/>
      <c r="O26" s="188"/>
      <c r="P26" s="268" t="s">
        <v>177</v>
      </c>
      <c r="Q26" s="270">
        <f>$C$41</f>
        <v>1.2250000000000001</v>
      </c>
      <c r="R26" s="30"/>
      <c r="S26" s="30"/>
      <c r="T26" s="31" t="s">
        <v>161</v>
      </c>
      <c r="AN26" s="45"/>
      <c r="AO26" s="5"/>
      <c r="AP26" s="5"/>
    </row>
    <row r="27" spans="1:48" ht="13.95" customHeight="1" x14ac:dyDescent="0.3">
      <c r="A27" s="189"/>
      <c r="B27" s="57" t="s">
        <v>69</v>
      </c>
      <c r="C27" s="20">
        <v>3.9899999999999998E-2</v>
      </c>
      <c r="D27" t="s">
        <v>76</v>
      </c>
      <c r="F27"/>
      <c r="G27" s="6"/>
      <c r="I27" s="19" t="s">
        <v>129</v>
      </c>
      <c r="J27" s="44">
        <f>($J$25/25.4)^2*$J$26/1000*2.2/3</f>
        <v>1.5484983053299442E-3</v>
      </c>
      <c r="K27" s="30" t="s">
        <v>96</v>
      </c>
      <c r="L27" s="177" t="s">
        <v>146</v>
      </c>
      <c r="N27" s="3"/>
      <c r="O27" s="3"/>
      <c r="P27" s="215"/>
      <c r="Q27" s="213"/>
      <c r="R27" s="213"/>
      <c r="S27" s="213"/>
      <c r="T27" s="216"/>
      <c r="AN27" s="45"/>
      <c r="AO27" s="5"/>
      <c r="AP27" s="5"/>
      <c r="AQ27" s="5"/>
      <c r="AR27" s="5"/>
      <c r="AS27" s="151"/>
      <c r="AT27" s="153"/>
      <c r="AU27" s="5"/>
    </row>
    <row r="28" spans="1:48" ht="13.95" customHeight="1" x14ac:dyDescent="0.3">
      <c r="A28" s="189"/>
      <c r="B28" s="57" t="s">
        <v>70</v>
      </c>
      <c r="C28" s="129">
        <v>4.1999999999999996E-6</v>
      </c>
      <c r="D28" t="s">
        <v>75</v>
      </c>
      <c r="F28"/>
      <c r="G28" s="6"/>
      <c r="I28" s="19" t="s">
        <v>141</v>
      </c>
      <c r="J28" s="210">
        <f>3/8/2*25.4</f>
        <v>4.7624999999999993</v>
      </c>
      <c r="K28" s="30" t="s">
        <v>93</v>
      </c>
      <c r="L28" s="31" t="s">
        <v>142</v>
      </c>
      <c r="N28" s="3"/>
      <c r="O28" s="3"/>
      <c r="P28" s="217" t="s">
        <v>271</v>
      </c>
      <c r="Q28" s="213"/>
      <c r="R28" s="213"/>
      <c r="S28" s="213"/>
      <c r="T28" s="216"/>
      <c r="AN28" s="45"/>
      <c r="AO28" s="5"/>
      <c r="AP28" s="5"/>
      <c r="AQ28" s="5"/>
      <c r="AR28" s="5"/>
      <c r="AS28" s="151"/>
      <c r="AT28" s="153"/>
      <c r="AU28" s="5"/>
    </row>
    <row r="29" spans="1:48" ht="13.95" customHeight="1" x14ac:dyDescent="0.3">
      <c r="A29" s="189"/>
      <c r="B29" s="19" t="s">
        <v>255</v>
      </c>
      <c r="C29" s="20">
        <v>240</v>
      </c>
      <c r="D29" t="s">
        <v>256</v>
      </c>
      <c r="F29"/>
      <c r="G29" s="6"/>
      <c r="I29" s="19" t="s">
        <v>143</v>
      </c>
      <c r="J29" s="210">
        <f>3/4*25.4</f>
        <v>19.049999999999997</v>
      </c>
      <c r="K29" s="30" t="s">
        <v>93</v>
      </c>
      <c r="L29" s="31" t="s">
        <v>142</v>
      </c>
      <c r="N29" s="3"/>
      <c r="O29" s="3"/>
      <c r="P29" s="268" t="s">
        <v>27</v>
      </c>
      <c r="Q29" s="269">
        <f>$C$25*$C$26/$B$48/100</f>
        <v>460.8</v>
      </c>
      <c r="R29" s="30"/>
      <c r="S29" s="30"/>
      <c r="T29" s="31" t="s">
        <v>266</v>
      </c>
      <c r="AN29" s="45"/>
      <c r="AO29" s="5"/>
    </row>
    <row r="30" spans="1:48" x14ac:dyDescent="0.3">
      <c r="A30" s="189"/>
      <c r="B30" s="57" t="s">
        <v>71</v>
      </c>
      <c r="C30" s="130">
        <f>C25*2*PI()/60</f>
        <v>502.6548245743669</v>
      </c>
      <c r="D30" t="s">
        <v>73</v>
      </c>
      <c r="F30"/>
      <c r="G30" s="6"/>
      <c r="I30" s="19" t="s">
        <v>145</v>
      </c>
      <c r="J30" s="44">
        <f>PI()*($J$28/25.4)^2/4*3/4*0.3</f>
        <v>6.2126221909368446E-3</v>
      </c>
      <c r="K30" s="30" t="s">
        <v>148</v>
      </c>
      <c r="L30" s="31" t="s">
        <v>142</v>
      </c>
      <c r="N30" s="3"/>
      <c r="O30" s="3"/>
      <c r="P30" s="268" t="s">
        <v>18</v>
      </c>
      <c r="Q30" s="269">
        <f>C46</f>
        <v>180</v>
      </c>
      <c r="R30" s="30"/>
      <c r="S30" s="30"/>
      <c r="T30" s="31" t="s">
        <v>175</v>
      </c>
    </row>
    <row r="31" spans="1:48" ht="13.95" customHeight="1" x14ac:dyDescent="0.3">
      <c r="A31" s="189"/>
      <c r="B31" s="57" t="s">
        <v>72</v>
      </c>
      <c r="C31" s="132">
        <f>7/C30</f>
        <v>1.3926057520540842E-2</v>
      </c>
      <c r="D31" t="s">
        <v>74</v>
      </c>
      <c r="F31"/>
      <c r="G31" s="6"/>
      <c r="I31" s="19" t="s">
        <v>135</v>
      </c>
      <c r="J31" s="44">
        <f>($J$28/25.4)^2*$J$30/2</f>
        <v>1.0920624945006168E-4</v>
      </c>
      <c r="K31" s="30" t="s">
        <v>96</v>
      </c>
      <c r="L31" s="31" t="s">
        <v>147</v>
      </c>
      <c r="N31" s="3"/>
      <c r="O31" s="3"/>
      <c r="P31" s="268" t="s">
        <v>13</v>
      </c>
      <c r="Q31" s="269">
        <f>C45</f>
        <v>0</v>
      </c>
      <c r="R31" s="30"/>
      <c r="S31" s="30"/>
      <c r="T31" s="31" t="s">
        <v>175</v>
      </c>
    </row>
    <row r="32" spans="1:48" ht="13.95" customHeight="1" thickBot="1" x14ac:dyDescent="0.35">
      <c r="B32" s="131" t="s">
        <v>257</v>
      </c>
      <c r="C32" s="204">
        <f>450/454</f>
        <v>0.99118942731277537</v>
      </c>
      <c r="D32" s="6" t="s">
        <v>155</v>
      </c>
      <c r="F32" s="6"/>
      <c r="G32" s="6"/>
      <c r="I32" s="19" t="s">
        <v>95</v>
      </c>
      <c r="J32" s="44">
        <f>$J$27+$J$31</f>
        <v>1.6577045547800059E-3</v>
      </c>
      <c r="K32" s="30" t="s">
        <v>96</v>
      </c>
      <c r="L32" s="31"/>
      <c r="N32" s="3"/>
      <c r="O32" s="3"/>
      <c r="P32" s="268" t="s">
        <v>178</v>
      </c>
      <c r="Q32" s="270">
        <f>(C38^2-C39^2)*PI()/4/1000^2</f>
        <v>2.1213604393365078E-3</v>
      </c>
      <c r="R32" s="30"/>
      <c r="S32" s="30"/>
      <c r="T32" s="31" t="s">
        <v>264</v>
      </c>
    </row>
    <row r="33" spans="1:50" ht="15" customHeight="1" thickBot="1" x14ac:dyDescent="0.35">
      <c r="D33"/>
      <c r="F33" s="6"/>
      <c r="G33" s="6"/>
      <c r="I33" s="19" t="s">
        <v>95</v>
      </c>
      <c r="J33" s="44">
        <f>$J$32/144</f>
        <v>1.1511837185972264E-5</v>
      </c>
      <c r="K33" s="30" t="s">
        <v>97</v>
      </c>
      <c r="L33" s="31"/>
      <c r="N33" s="3"/>
      <c r="O33" s="3"/>
      <c r="P33" s="268" t="s">
        <v>183</v>
      </c>
      <c r="Q33" s="271">
        <f>1/1.3556</f>
        <v>0.73768073177928595</v>
      </c>
      <c r="R33" s="30"/>
      <c r="S33" s="30"/>
      <c r="T33" s="31" t="s">
        <v>269</v>
      </c>
    </row>
    <row r="34" spans="1:50" ht="15" customHeight="1" thickBot="1" x14ac:dyDescent="0.35">
      <c r="A34" t="s">
        <v>33</v>
      </c>
      <c r="B34" s="17"/>
      <c r="C34" s="222" t="s">
        <v>22</v>
      </c>
      <c r="D34"/>
      <c r="F34" s="6"/>
      <c r="G34" s="6"/>
      <c r="I34" s="21" t="s">
        <v>95</v>
      </c>
      <c r="J34" s="108">
        <f>$J$33/2048.5*6.66</f>
        <v>3.7426817504796325E-8</v>
      </c>
      <c r="K34" s="32" t="s">
        <v>98</v>
      </c>
      <c r="L34" s="33"/>
      <c r="N34" s="3"/>
      <c r="O34" s="3"/>
      <c r="P34" s="268" t="s">
        <v>184</v>
      </c>
      <c r="Q34" s="272">
        <f>$J$33/2048.5*6.66</f>
        <v>3.7426817504796325E-8</v>
      </c>
      <c r="R34" s="30"/>
      <c r="S34" s="30"/>
      <c r="T34" s="31" t="s">
        <v>80</v>
      </c>
    </row>
    <row r="35" spans="1:50" ht="15" customHeight="1" x14ac:dyDescent="0.3">
      <c r="B35" s="24" t="s">
        <v>16</v>
      </c>
      <c r="C35" s="203">
        <v>0</v>
      </c>
      <c r="D35"/>
      <c r="F35" s="6"/>
      <c r="G35" s="6"/>
      <c r="I35" s="30"/>
      <c r="J35" s="45"/>
      <c r="K35" s="30"/>
      <c r="L35" s="30"/>
      <c r="N35" s="3"/>
      <c r="O35" s="3"/>
      <c r="P35" s="268" t="s">
        <v>199</v>
      </c>
      <c r="Q35" s="270">
        <f>C38/1000</f>
        <v>5.5E-2</v>
      </c>
      <c r="R35" s="30"/>
      <c r="S35" s="30"/>
      <c r="T35" s="31" t="s">
        <v>262</v>
      </c>
    </row>
    <row r="36" spans="1:50" ht="15" thickBot="1" x14ac:dyDescent="0.35">
      <c r="B36" s="26" t="s">
        <v>17</v>
      </c>
      <c r="C36" s="200">
        <v>5</v>
      </c>
      <c r="I36" s="208" t="s">
        <v>293</v>
      </c>
      <c r="J36" s="208"/>
      <c r="K36" s="208"/>
      <c r="L36" s="208"/>
      <c r="N36" s="3"/>
      <c r="O36" s="3"/>
      <c r="P36" s="268" t="s">
        <v>218</v>
      </c>
      <c r="Q36" s="271">
        <f>$Z$12</f>
        <v>4.4249528005034611</v>
      </c>
      <c r="R36" s="30"/>
      <c r="S36" s="30"/>
      <c r="T36" s="31" t="s">
        <v>158</v>
      </c>
      <c r="AI36" s="5"/>
    </row>
    <row r="37" spans="1:50" ht="43.8" thickBot="1" x14ac:dyDescent="0.35">
      <c r="I37" s="193" t="s">
        <v>100</v>
      </c>
      <c r="J37" s="236" t="s">
        <v>294</v>
      </c>
      <c r="K37" s="292" t="s">
        <v>301</v>
      </c>
      <c r="L37" s="263" t="s">
        <v>272</v>
      </c>
      <c r="M37" s="264" t="s">
        <v>273</v>
      </c>
      <c r="P37" s="215"/>
      <c r="Q37" s="213"/>
      <c r="R37" s="213"/>
      <c r="S37" s="213"/>
      <c r="T37" s="216"/>
      <c r="AI37" s="5"/>
    </row>
    <row r="38" spans="1:50" ht="18" x14ac:dyDescent="0.35">
      <c r="A38" s="3" t="s">
        <v>246</v>
      </c>
      <c r="B38" s="17" t="s">
        <v>247</v>
      </c>
      <c r="C38" s="199">
        <v>55</v>
      </c>
      <c r="D38" t="s">
        <v>93</v>
      </c>
      <c r="E38"/>
      <c r="I38" s="248">
        <f>(K38-K40)/(K39-K40)*(I39-I40)+I40</f>
        <v>72.945454545454538</v>
      </c>
      <c r="J38" s="253">
        <f t="shared" ref="J38:J43" si="36">(I38*$Q$29*$R$42+$Q$42)/$Q$29</f>
        <v>88.911215408699249</v>
      </c>
      <c r="K38" s="242">
        <v>0</v>
      </c>
      <c r="L38" s="213"/>
      <c r="M38" s="216"/>
      <c r="P38" s="226" t="s">
        <v>295</v>
      </c>
      <c r="Q38" s="58"/>
      <c r="R38" s="58"/>
      <c r="S38" s="58"/>
      <c r="T38" s="25"/>
      <c r="AI38" s="5"/>
    </row>
    <row r="39" spans="1:50" ht="15" thickBot="1" x14ac:dyDescent="0.35">
      <c r="B39" s="21" t="s">
        <v>248</v>
      </c>
      <c r="C39" s="200">
        <v>18</v>
      </c>
      <c r="D39" t="s">
        <v>93</v>
      </c>
      <c r="E39"/>
      <c r="I39" s="241">
        <v>62</v>
      </c>
      <c r="J39" s="253">
        <f t="shared" si="36"/>
        <v>77.725299021912619</v>
      </c>
      <c r="K39" s="243">
        <v>4.2999999999999997E-2</v>
      </c>
      <c r="L39" s="249"/>
      <c r="M39" s="250"/>
      <c r="P39" s="65" t="s">
        <v>121</v>
      </c>
      <c r="Q39" s="205">
        <f>INDEX(LINEST($Q$5:$Q$12,$E$5:$E$12^{1,2},FALSE,FALSE),3)</f>
        <v>0</v>
      </c>
      <c r="R39" s="205">
        <f>INDEX(LINEST($Q$5:$Q$12,$E$5:$E$12^{1,2},FALSE,FALSE),2)</f>
        <v>13114.624315320485</v>
      </c>
      <c r="S39" s="205">
        <f>INDEX(LINEST($Q$5:$Q$12,$E$5:$E$12^{1,2},FALSE,FALSE),1)</f>
        <v>-0.8433621525460272</v>
      </c>
      <c r="T39" s="31" t="s">
        <v>267</v>
      </c>
      <c r="AI39" s="5"/>
    </row>
    <row r="40" spans="1:50" ht="15" thickBot="1" x14ac:dyDescent="0.35">
      <c r="B40" s="30"/>
      <c r="C40" s="201"/>
      <c r="D40"/>
      <c r="E40"/>
      <c r="H40" s="10"/>
      <c r="I40" s="241">
        <v>48</v>
      </c>
      <c r="J40" s="253">
        <f t="shared" si="36"/>
        <v>63.41773155044131</v>
      </c>
      <c r="K40" s="243">
        <v>9.8000000000000004E-2</v>
      </c>
      <c r="L40" s="251">
        <f>$Q$34/K40</f>
        <v>3.8190630106935023E-7</v>
      </c>
      <c r="M40" s="252">
        <f>-L40/$Q$33</f>
        <v>-5.1771218172961117E-7</v>
      </c>
      <c r="N40" s="265" t="s">
        <v>291</v>
      </c>
      <c r="P40" s="65" t="s">
        <v>21</v>
      </c>
      <c r="Q40" s="205">
        <f>INDEX(LINEST($P$4:$P$12,$M$4:$M$12),2)</f>
        <v>-23633.085065689971</v>
      </c>
      <c r="R40" s="67">
        <f>INDEX(LINEST($P$4:$P$12,$M$4:$M$12),1)</f>
        <v>12415.888738973374</v>
      </c>
      <c r="S40" s="30"/>
      <c r="T40" s="31" t="s">
        <v>267</v>
      </c>
      <c r="AI40" s="5"/>
      <c r="AW40" s="151"/>
      <c r="AX40" s="164"/>
    </row>
    <row r="41" spans="1:50" ht="15" thickBot="1" x14ac:dyDescent="0.35">
      <c r="A41" s="10" t="s">
        <v>249</v>
      </c>
      <c r="B41" s="197" t="s">
        <v>250</v>
      </c>
      <c r="C41" s="202">
        <v>1.2250000000000001</v>
      </c>
      <c r="D41" t="s">
        <v>161</v>
      </c>
      <c r="E41" t="s">
        <v>169</v>
      </c>
      <c r="G41" s="6"/>
      <c r="I41" s="241">
        <v>25</v>
      </c>
      <c r="J41" s="253">
        <f t="shared" si="36"/>
        <v>39.912442133024179</v>
      </c>
      <c r="K41" s="243">
        <v>0.28899999999999998</v>
      </c>
      <c r="L41" s="61"/>
      <c r="M41" s="250"/>
      <c r="P41" s="65" t="s">
        <v>122</v>
      </c>
      <c r="Q41" s="205">
        <f>INDEX(LINEST($Q$5:$Q$12,$P$5:$P$12),2)</f>
        <v>-6434.862196188591</v>
      </c>
      <c r="R41" s="69">
        <f>INDEX(LINEST($Q$5:$Q$12,$P$5:$P$12),1)</f>
        <v>0.97709202703516818</v>
      </c>
      <c r="S41" s="30"/>
      <c r="T41" s="31" t="s">
        <v>267</v>
      </c>
      <c r="AI41" s="5"/>
    </row>
    <row r="42" spans="1:50" ht="15" thickBot="1" x14ac:dyDescent="0.35">
      <c r="C42" s="198"/>
      <c r="D42"/>
      <c r="E42"/>
      <c r="G42" s="6"/>
      <c r="I42" s="241">
        <v>16</v>
      </c>
      <c r="J42" s="253">
        <f t="shared" si="36"/>
        <v>30.714720187078346</v>
      </c>
      <c r="K42" s="243">
        <v>0.436</v>
      </c>
      <c r="L42" s="61"/>
      <c r="M42" s="250"/>
      <c r="P42" s="65" t="s">
        <v>123</v>
      </c>
      <c r="Q42" s="205">
        <f>INDEX(LINEST($P$5:$P$12,$Q$5:$Q$12),2)</f>
        <v>6618.569244086877</v>
      </c>
      <c r="R42" s="69">
        <f>INDEX(LINEST($P$5:$P$12,$Q$5:$Q$12),1)</f>
        <v>1.0219691051050925</v>
      </c>
      <c r="S42" s="30"/>
      <c r="T42" s="31" t="s">
        <v>267</v>
      </c>
      <c r="AI42" s="5"/>
    </row>
    <row r="43" spans="1:50" ht="15" thickBot="1" x14ac:dyDescent="0.35">
      <c r="A43" s="188" t="s">
        <v>251</v>
      </c>
      <c r="B43" s="193" t="s">
        <v>252</v>
      </c>
      <c r="C43" s="199">
        <v>0</v>
      </c>
      <c r="D43" s="30" t="s">
        <v>258</v>
      </c>
      <c r="E43"/>
      <c r="F43" s="6"/>
      <c r="I43" s="254">
        <f>(K43-K41)/(K42-K41)*(I42-I41)+I41</f>
        <v>12.081632653061224</v>
      </c>
      <c r="J43" s="257">
        <f t="shared" si="36"/>
        <v>26.710269816054311</v>
      </c>
      <c r="K43" s="246">
        <v>0.5</v>
      </c>
      <c r="L43" s="255"/>
      <c r="M43" s="256"/>
      <c r="P43" s="65" t="s">
        <v>180</v>
      </c>
      <c r="Q43" s="206">
        <f>AG8</f>
        <v>-0.99606633499190611</v>
      </c>
      <c r="R43" s="30"/>
      <c r="S43" s="30"/>
      <c r="T43" s="31" t="s">
        <v>261</v>
      </c>
      <c r="U43" s="5"/>
      <c r="AI43" s="5"/>
      <c r="AJ43" s="5"/>
      <c r="AK43" s="151"/>
    </row>
    <row r="44" spans="1:50" x14ac:dyDescent="0.3">
      <c r="A44" s="30"/>
      <c r="B44" s="57" t="s">
        <v>253</v>
      </c>
      <c r="C44" s="203">
        <v>5</v>
      </c>
      <c r="D44" s="45" t="s">
        <v>258</v>
      </c>
      <c r="E44"/>
      <c r="F44" s="6"/>
      <c r="P44" s="65" t="s">
        <v>182</v>
      </c>
      <c r="Q44" s="207">
        <f>AF8</f>
        <v>3.0857587007426153</v>
      </c>
      <c r="R44" s="30"/>
      <c r="S44" s="30"/>
      <c r="T44" s="31" t="s">
        <v>261</v>
      </c>
      <c r="AI44" s="5"/>
      <c r="AJ44" s="5"/>
      <c r="AK44" s="151"/>
      <c r="AX44" s="164"/>
    </row>
    <row r="45" spans="1:50" ht="15" thickBot="1" x14ac:dyDescent="0.35">
      <c r="A45" s="188"/>
      <c r="B45" s="57" t="s">
        <v>252</v>
      </c>
      <c r="C45" s="203">
        <v>0</v>
      </c>
      <c r="D45" s="45" t="s">
        <v>254</v>
      </c>
      <c r="E45"/>
      <c r="H45" s="6"/>
      <c r="I45" s="6"/>
      <c r="J45" s="6"/>
      <c r="K45" s="9"/>
      <c r="L45" s="6"/>
      <c r="M45" s="6"/>
      <c r="N45" s="10"/>
      <c r="O45" s="10"/>
      <c r="P45" s="218" t="s">
        <v>211</v>
      </c>
      <c r="Q45" s="219">
        <v>5</v>
      </c>
      <c r="R45" s="32"/>
      <c r="S45" s="32"/>
      <c r="T45" s="33" t="s">
        <v>263</v>
      </c>
      <c r="W45" s="45"/>
      <c r="X45" s="195"/>
      <c r="Y45" s="45"/>
      <c r="AI45" s="5"/>
      <c r="AJ45" s="5"/>
      <c r="AK45" s="151"/>
    </row>
    <row r="46" spans="1:50" ht="15" thickBot="1" x14ac:dyDescent="0.35">
      <c r="A46" s="188"/>
      <c r="B46" s="131" t="s">
        <v>253</v>
      </c>
      <c r="C46" s="200">
        <v>180</v>
      </c>
      <c r="D46" s="45" t="s">
        <v>254</v>
      </c>
      <c r="E46"/>
      <c r="H46" s="6"/>
      <c r="I46" s="212" t="s">
        <v>92</v>
      </c>
      <c r="J46" s="211">
        <f>INDEX(LINEST($Y$3:$Y$12,$P$3:$P$12^{1,2}),3)</f>
        <v>-2.0896438355913084E-3</v>
      </c>
      <c r="K46" s="180">
        <f>INDEX(LINEST($Y$3:$Y$12,$P$3:$P$12^{1,2}),2)</f>
        <v>1.381042730868355E-7</v>
      </c>
      <c r="L46" s="180">
        <f>INDEX(LINEST($Y$3:$Y$12,$P$3:$P$12^{1,2}),1)</f>
        <v>1.0498431323547851E-11</v>
      </c>
      <c r="M46" s="44" t="s">
        <v>268</v>
      </c>
      <c r="N46" s="10"/>
      <c r="O46" s="10"/>
      <c r="U46" s="10"/>
      <c r="V46" s="3"/>
      <c r="W46" s="45"/>
      <c r="X46" s="61"/>
      <c r="Y46" s="45"/>
      <c r="AX46" s="164"/>
    </row>
    <row r="47" spans="1:50" ht="15" thickBot="1" x14ac:dyDescent="0.35">
      <c r="Q47" s="61"/>
      <c r="R47" s="213"/>
      <c r="T47" s="213"/>
      <c r="U47" s="188"/>
      <c r="V47" s="30"/>
    </row>
    <row r="48" spans="1:50" ht="15" thickBot="1" x14ac:dyDescent="0.35">
      <c r="A48" s="3" t="s">
        <v>244</v>
      </c>
      <c r="B48" s="209">
        <v>1.25</v>
      </c>
      <c r="C48" s="45" t="s">
        <v>245</v>
      </c>
      <c r="D48" s="5"/>
      <c r="E48" s="192">
        <f>C29</f>
        <v>240</v>
      </c>
      <c r="F48" s="192" t="s">
        <v>156</v>
      </c>
      <c r="I48" s="176" t="s">
        <v>283</v>
      </c>
      <c r="M48" s="237" t="s">
        <v>282</v>
      </c>
      <c r="N48" s="142"/>
      <c r="Q48" s="61"/>
      <c r="R48" s="213"/>
      <c r="T48" s="213"/>
      <c r="U48" s="188"/>
      <c r="V48" s="30"/>
      <c r="W48" s="194"/>
      <c r="X48" s="45"/>
      <c r="Y48" s="45"/>
    </row>
    <row r="49" spans="8:45" x14ac:dyDescent="0.3">
      <c r="I49" s="238" t="s">
        <v>277</v>
      </c>
      <c r="J49" s="236" t="s">
        <v>100</v>
      </c>
      <c r="K49" s="239" t="s">
        <v>278</v>
      </c>
      <c r="L49" s="239" t="s">
        <v>279</v>
      </c>
      <c r="M49" s="239" t="s">
        <v>280</v>
      </c>
      <c r="N49" s="240" t="s">
        <v>281</v>
      </c>
      <c r="P49" s="235" t="s">
        <v>286</v>
      </c>
      <c r="Q49" s="260">
        <v>0</v>
      </c>
      <c r="R49" s="258">
        <f ca="1">J54</f>
        <v>21.632653061224492</v>
      </c>
      <c r="S49" s="258">
        <f ca="1">J53</f>
        <v>37.523560209424083</v>
      </c>
      <c r="T49" s="258">
        <f ca="1">J52</f>
        <v>51.309090909090905</v>
      </c>
      <c r="U49" s="259">
        <f ca="1">J51</f>
        <v>67.854545454545445</v>
      </c>
      <c r="V49" s="261">
        <v>80</v>
      </c>
      <c r="W49" s="45"/>
      <c r="X49" s="45"/>
      <c r="Y49" s="45"/>
    </row>
    <row r="50" spans="8:45" x14ac:dyDescent="0.3">
      <c r="I50" s="241">
        <v>0</v>
      </c>
      <c r="J50" s="253">
        <f t="shared" ref="J50:J55" ca="1" si="37">FORECAST(I50,OFFSET(MeasNt,MATCH(I50,MeasTauT,1)-1,0,2),OFFSET(MeasTauT,MATCH(I50,MeasTauT,1)-1,0,2))</f>
        <v>72.945454545454538</v>
      </c>
      <c r="K50" s="58">
        <v>0.2</v>
      </c>
      <c r="L50" s="58">
        <v>4.4000000000000004</v>
      </c>
      <c r="M50" s="58">
        <v>0.09</v>
      </c>
      <c r="N50" s="25">
        <v>5</v>
      </c>
      <c r="P50" s="273" t="s">
        <v>278</v>
      </c>
      <c r="Q50" s="274">
        <f>K55</f>
        <v>0.47499999999999998</v>
      </c>
      <c r="R50" s="274">
        <f>K54</f>
        <v>0.47499999999999998</v>
      </c>
      <c r="S50" s="274">
        <f>K53</f>
        <v>0.32500000000000001</v>
      </c>
      <c r="T50" s="274">
        <f>K52</f>
        <v>0.22500000000000001</v>
      </c>
      <c r="U50" s="275">
        <f>K51</f>
        <v>0.2</v>
      </c>
      <c r="V50" s="276">
        <f>K50</f>
        <v>0.2</v>
      </c>
      <c r="W50" s="45" t="s">
        <v>287</v>
      </c>
      <c r="X50" s="45"/>
      <c r="Y50" s="45"/>
      <c r="AJ50" s="104"/>
      <c r="AR50" s="3"/>
    </row>
    <row r="51" spans="8:45" x14ac:dyDescent="0.3">
      <c r="I51" s="241">
        <v>0.02</v>
      </c>
      <c r="J51" s="253">
        <f t="shared" ca="1" si="37"/>
        <v>67.854545454545445</v>
      </c>
      <c r="K51" s="58">
        <v>0.2</v>
      </c>
      <c r="L51" s="58">
        <v>3.75</v>
      </c>
      <c r="M51" s="58">
        <v>0.09</v>
      </c>
      <c r="N51" s="25">
        <v>5</v>
      </c>
      <c r="P51" s="273" t="s">
        <v>279</v>
      </c>
      <c r="Q51" s="277">
        <f>L55</f>
        <v>2.4</v>
      </c>
      <c r="R51" s="277">
        <f>L54</f>
        <v>2.4</v>
      </c>
      <c r="S51" s="277">
        <f>L53</f>
        <v>2.7</v>
      </c>
      <c r="T51" s="277">
        <f>L52</f>
        <v>3.2</v>
      </c>
      <c r="U51" s="278">
        <f>L51</f>
        <v>3.75</v>
      </c>
      <c r="V51" s="279">
        <f>L50</f>
        <v>4.4000000000000004</v>
      </c>
      <c r="W51" s="45"/>
      <c r="X51" s="45"/>
      <c r="Y51" s="45"/>
      <c r="AS51" s="3"/>
    </row>
    <row r="52" spans="8:45" x14ac:dyDescent="0.3">
      <c r="I52" s="241">
        <v>8.5000000000000006E-2</v>
      </c>
      <c r="J52" s="253">
        <f t="shared" ca="1" si="37"/>
        <v>51.309090909090905</v>
      </c>
      <c r="K52" s="58">
        <v>0.22500000000000001</v>
      </c>
      <c r="L52" s="58">
        <v>3.2</v>
      </c>
      <c r="M52" s="243">
        <v>0.125</v>
      </c>
      <c r="N52" s="244">
        <v>4.05</v>
      </c>
      <c r="P52" s="273" t="s">
        <v>284</v>
      </c>
      <c r="Q52" s="280">
        <v>0.15</v>
      </c>
      <c r="R52" s="280"/>
      <c r="S52" s="280"/>
      <c r="T52" s="280"/>
      <c r="U52" s="281"/>
      <c r="V52" s="282"/>
      <c r="W52" s="45"/>
      <c r="X52" s="45"/>
      <c r="Y52" s="45"/>
    </row>
    <row r="53" spans="8:45" x14ac:dyDescent="0.3">
      <c r="I53" s="241">
        <v>0.185</v>
      </c>
      <c r="J53" s="253">
        <f t="shared" ca="1" si="37"/>
        <v>37.523560209424083</v>
      </c>
      <c r="K53" s="58">
        <v>0.32500000000000001</v>
      </c>
      <c r="L53" s="58">
        <v>2.7</v>
      </c>
      <c r="M53" s="58">
        <v>0.24</v>
      </c>
      <c r="N53" s="25">
        <v>3.75</v>
      </c>
      <c r="P53" s="273" t="s">
        <v>285</v>
      </c>
      <c r="Q53" s="280">
        <v>0.03</v>
      </c>
      <c r="R53" s="280"/>
      <c r="S53" s="280"/>
      <c r="T53" s="280"/>
      <c r="U53" s="281"/>
      <c r="V53" s="282"/>
      <c r="W53" s="45"/>
      <c r="X53" s="196"/>
      <c r="Y53" s="45"/>
    </row>
    <row r="54" spans="8:45" x14ac:dyDescent="0.3">
      <c r="I54" s="241">
        <v>0.34399999999999997</v>
      </c>
      <c r="J54" s="253">
        <f t="shared" ca="1" si="37"/>
        <v>21.632653061224492</v>
      </c>
      <c r="K54" s="58">
        <v>0.47499999999999998</v>
      </c>
      <c r="L54" s="58">
        <v>2.4</v>
      </c>
      <c r="M54" s="58">
        <v>0.42</v>
      </c>
      <c r="N54" s="25">
        <v>3.6</v>
      </c>
      <c r="P54" s="273" t="s">
        <v>280</v>
      </c>
      <c r="Q54" s="274">
        <f>M55</f>
        <v>0.42</v>
      </c>
      <c r="R54" s="274">
        <f>M54</f>
        <v>0.42</v>
      </c>
      <c r="S54" s="274">
        <f>M53</f>
        <v>0.24</v>
      </c>
      <c r="T54" s="274">
        <f>M52</f>
        <v>0.125</v>
      </c>
      <c r="U54" s="275">
        <f>M51</f>
        <v>0.09</v>
      </c>
      <c r="V54" s="276">
        <f>M50</f>
        <v>0.09</v>
      </c>
      <c r="W54" s="45" t="s">
        <v>288</v>
      </c>
      <c r="X54" s="196"/>
      <c r="Y54" s="45"/>
    </row>
    <row r="55" spans="8:45" ht="15" thickBot="1" x14ac:dyDescent="0.35">
      <c r="I55" s="245">
        <v>0.5</v>
      </c>
      <c r="J55" s="257">
        <f t="shared" ca="1" si="37"/>
        <v>12.081632653061224</v>
      </c>
      <c r="K55" s="247">
        <v>0.47499999999999998</v>
      </c>
      <c r="L55" s="247">
        <v>2.4</v>
      </c>
      <c r="M55" s="247">
        <v>0.42</v>
      </c>
      <c r="N55" s="27">
        <v>3.6</v>
      </c>
      <c r="P55" s="283" t="s">
        <v>281</v>
      </c>
      <c r="Q55" s="284">
        <f>N55</f>
        <v>3.6</v>
      </c>
      <c r="R55" s="284">
        <f>N54</f>
        <v>3.6</v>
      </c>
      <c r="S55" s="284">
        <f>N53</f>
        <v>3.75</v>
      </c>
      <c r="T55" s="284">
        <f>N52</f>
        <v>4.05</v>
      </c>
      <c r="U55" s="285">
        <f>N51</f>
        <v>5</v>
      </c>
      <c r="V55" s="286">
        <f>N50</f>
        <v>5</v>
      </c>
      <c r="W55" s="45"/>
      <c r="X55" s="196"/>
      <c r="Y55" s="45"/>
    </row>
    <row r="56" spans="8:45" x14ac:dyDescent="0.3">
      <c r="V56" s="45"/>
      <c r="W56" s="45"/>
      <c r="X56" s="196"/>
      <c r="Y56" s="45"/>
    </row>
    <row r="57" spans="8:45" x14ac:dyDescent="0.3">
      <c r="W57" s="45"/>
      <c r="X57" s="196"/>
      <c r="Y57" s="45"/>
    </row>
    <row r="58" spans="8:45" x14ac:dyDescent="0.3">
      <c r="W58" s="45"/>
      <c r="X58" s="149"/>
      <c r="Y58" s="45"/>
    </row>
    <row r="59" spans="8:45" x14ac:dyDescent="0.3">
      <c r="W59" s="45"/>
      <c r="X59" s="149"/>
      <c r="Y59" s="45"/>
    </row>
    <row r="60" spans="8:45" x14ac:dyDescent="0.3">
      <c r="W60" s="45"/>
      <c r="X60" s="149"/>
      <c r="Y60" s="45"/>
    </row>
    <row r="61" spans="8:45" x14ac:dyDescent="0.3">
      <c r="H61" s="176"/>
    </row>
    <row r="63" spans="8:45" x14ac:dyDescent="0.3">
      <c r="V63" s="45"/>
      <c r="W63" s="45"/>
      <c r="X63" s="45"/>
      <c r="Y63" s="45"/>
      <c r="Z63" s="45"/>
      <c r="AA63" s="45"/>
      <c r="AB63" s="45"/>
      <c r="AC63" s="45"/>
      <c r="AD63" s="45"/>
      <c r="AG63" s="45"/>
      <c r="AH63" s="149"/>
    </row>
    <row r="64" spans="8:45" x14ac:dyDescent="0.3">
      <c r="V64" s="45"/>
      <c r="W64" s="45"/>
      <c r="X64" s="45"/>
      <c r="Y64" s="45"/>
      <c r="Z64" s="45"/>
      <c r="AA64" s="45"/>
      <c r="AB64" s="45"/>
      <c r="AC64" s="45"/>
      <c r="AD64" s="45"/>
      <c r="AG64" s="45"/>
      <c r="AH64" s="149"/>
    </row>
    <row r="65" spans="1:36" x14ac:dyDescent="0.3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3">
      <c r="V66" s="45"/>
      <c r="W66" s="45"/>
      <c r="X66" s="45"/>
      <c r="Y66" s="45"/>
      <c r="Z66" s="45"/>
      <c r="AA66" s="45"/>
      <c r="AB66" s="45"/>
      <c r="AC66" s="45"/>
      <c r="AD66" s="45"/>
    </row>
    <row r="67" spans="1:36" x14ac:dyDescent="0.3">
      <c r="A67" s="45"/>
      <c r="B67" s="45"/>
      <c r="C67" s="45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</row>
    <row r="68" spans="1:36" x14ac:dyDescent="0.3">
      <c r="A68" s="45"/>
      <c r="B68" s="45"/>
      <c r="C68" s="45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</row>
    <row r="69" spans="1:36" x14ac:dyDescent="0.3">
      <c r="A69" s="45"/>
      <c r="B69" s="45"/>
      <c r="C69" s="45"/>
      <c r="D69" s="61"/>
      <c r="E69" s="61"/>
      <c r="F69" s="61"/>
      <c r="G69" s="61"/>
      <c r="H69" s="61"/>
      <c r="I69" s="190"/>
      <c r="J69" s="61"/>
      <c r="K69" s="187"/>
      <c r="L69" s="61"/>
      <c r="M69" s="61"/>
      <c r="N69" s="188"/>
      <c r="O69" s="188"/>
      <c r="P69" s="188"/>
      <c r="Q69" s="188"/>
      <c r="R69" s="188"/>
      <c r="S69" s="188"/>
      <c r="T69" s="188"/>
      <c r="U69" s="189"/>
      <c r="V69" s="189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3">
      <c r="A70" s="45"/>
      <c r="B70" s="45"/>
      <c r="C70" s="45"/>
      <c r="D70" s="61"/>
      <c r="E70" s="61"/>
      <c r="F70" s="61"/>
      <c r="G70" s="61"/>
      <c r="H70" s="61"/>
      <c r="I70" s="190"/>
      <c r="J70" s="61"/>
      <c r="K70" s="187"/>
      <c r="L70" s="61"/>
      <c r="M70" s="61"/>
      <c r="N70" s="188"/>
      <c r="O70" s="188"/>
      <c r="P70" s="188"/>
      <c r="Q70" s="188"/>
      <c r="R70" s="188"/>
      <c r="S70" s="188"/>
      <c r="T70" s="188"/>
      <c r="U70" s="189"/>
      <c r="V70" s="189"/>
      <c r="W70" s="104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3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3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45"/>
      <c r="X72" s="45"/>
      <c r="Y72" s="45"/>
      <c r="Z72" s="45"/>
      <c r="AA72" s="149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3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149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3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3">
      <c r="A75" s="45"/>
      <c r="B75" s="45"/>
      <c r="C75" s="45"/>
      <c r="D75" s="61"/>
      <c r="E75" s="61"/>
      <c r="F75" s="61"/>
      <c r="G75" s="61"/>
      <c r="H75" s="61"/>
      <c r="I75" s="61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186"/>
      <c r="Y75" s="186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3">
      <c r="V76" s="45"/>
      <c r="W76" s="45"/>
      <c r="X76" s="45"/>
      <c r="Y76" s="45"/>
      <c r="Z76" s="45"/>
      <c r="AA76" s="45"/>
      <c r="AB76" s="45"/>
      <c r="AC76" s="45"/>
      <c r="AD76" s="45"/>
    </row>
    <row r="91" spans="1:36" x14ac:dyDescent="0.3">
      <c r="A91" s="45"/>
      <c r="B91" s="45"/>
      <c r="C91" s="45"/>
      <c r="D91" s="61"/>
      <c r="E91" s="61"/>
      <c r="F91" s="61"/>
      <c r="G91" s="61"/>
      <c r="H91" s="61"/>
      <c r="I91" s="61"/>
      <c r="J91" s="61"/>
      <c r="K91" s="187"/>
      <c r="L91" s="61"/>
      <c r="M91" s="61"/>
      <c r="N91" s="188"/>
      <c r="O91" s="188"/>
      <c r="P91" s="188"/>
      <c r="Q91" s="188"/>
      <c r="R91" s="188"/>
      <c r="S91" s="188"/>
      <c r="T91" s="188"/>
      <c r="U91" s="189"/>
      <c r="V91" s="189"/>
      <c r="W91" s="45"/>
      <c r="X91" s="186"/>
      <c r="Y91" s="186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</row>
    <row r="92" spans="1:36" x14ac:dyDescent="0.3">
      <c r="A92" s="45"/>
      <c r="B92" s="45"/>
      <c r="C92" s="45"/>
      <c r="D92" s="61"/>
      <c r="E92" s="61"/>
      <c r="F92" s="61"/>
      <c r="G92" s="61"/>
      <c r="H92" s="61"/>
      <c r="I92" s="61"/>
      <c r="J92" s="61"/>
      <c r="K92" s="187"/>
      <c r="L92" s="61"/>
      <c r="M92" s="61"/>
      <c r="N92" s="188"/>
      <c r="O92" s="188"/>
      <c r="P92" s="188"/>
      <c r="Q92" s="188"/>
      <c r="R92" s="188"/>
      <c r="S92" s="188"/>
      <c r="T92" s="188"/>
      <c r="U92" s="189"/>
      <c r="V92" s="189"/>
      <c r="W92" s="45"/>
      <c r="X92" s="186"/>
      <c r="Y92" s="186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</row>
    <row r="93" spans="1:36" x14ac:dyDescent="0.3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3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3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3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3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3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3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3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3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3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3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3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3">
      <c r="A105" s="45"/>
      <c r="B105" s="45"/>
      <c r="C105" s="45"/>
      <c r="D105" s="61"/>
      <c r="E105" s="61"/>
      <c r="F105" s="61"/>
      <c r="G105" s="61"/>
      <c r="H105" s="61"/>
      <c r="I105" s="190"/>
      <c r="J105" s="61"/>
      <c r="K105" s="187"/>
      <c r="L105" s="61"/>
      <c r="M105" s="61"/>
      <c r="N105" s="188"/>
      <c r="O105" s="188"/>
      <c r="P105" s="188"/>
      <c r="Q105" s="188"/>
      <c r="R105" s="188"/>
      <c r="S105" s="188"/>
      <c r="T105" s="188"/>
      <c r="U105" s="189"/>
      <c r="V105" s="189"/>
      <c r="W105" s="45"/>
      <c r="X105" s="186"/>
      <c r="Y105" s="186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3">
      <c r="A106" s="45"/>
      <c r="B106" s="45"/>
      <c r="C106" s="45"/>
      <c r="D106" s="61"/>
      <c r="E106" s="61"/>
      <c r="F106" s="61"/>
      <c r="G106" s="61"/>
      <c r="H106" s="61"/>
      <c r="I106" s="190"/>
      <c r="J106" s="61"/>
      <c r="K106" s="187"/>
      <c r="L106" s="61"/>
      <c r="M106" s="61"/>
      <c r="N106" s="188"/>
      <c r="O106" s="188"/>
      <c r="P106" s="188"/>
      <c r="Q106" s="188"/>
      <c r="R106" s="188"/>
      <c r="S106" s="188"/>
      <c r="T106" s="188"/>
      <c r="U106" s="189"/>
      <c r="V106" s="189"/>
      <c r="W106" s="45"/>
      <c r="X106" s="186"/>
      <c r="Y106" s="186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3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3">
      <c r="A108" s="45"/>
      <c r="B108" s="45"/>
      <c r="C108" s="45"/>
      <c r="D108" s="61"/>
      <c r="E108" s="61"/>
      <c r="F108" s="61"/>
      <c r="G108" s="61"/>
      <c r="H108" s="61"/>
      <c r="I108" s="61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3">
      <c r="A109" s="45"/>
      <c r="B109" s="45"/>
      <c r="C109" s="45"/>
      <c r="D109" s="61"/>
      <c r="E109" s="61"/>
      <c r="F109" s="61"/>
      <c r="G109" s="61"/>
      <c r="H109" s="61"/>
      <c r="I109" s="61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3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3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3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3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3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3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3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3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3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3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3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45"/>
      <c r="V120" s="45"/>
      <c r="W120" s="45"/>
      <c r="X120" s="186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3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45"/>
      <c r="V121" s="45"/>
      <c r="W121" s="45"/>
      <c r="X121" s="186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3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3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3"/>
  <sheetViews>
    <sheetView tabSelected="1" topLeftCell="I36" zoomScaleNormal="100" workbookViewId="0">
      <selection activeCell="S51" sqref="S51"/>
    </sheetView>
  </sheetViews>
  <sheetFormatPr defaultRowHeight="14.4" x14ac:dyDescent="0.3"/>
  <cols>
    <col min="1" max="1" width="15.33203125" customWidth="1"/>
    <col min="3" max="3" width="9" customWidth="1"/>
    <col min="4" max="4" width="10.88671875" style="1" customWidth="1"/>
    <col min="5" max="5" width="6.44140625" style="1" customWidth="1"/>
    <col min="6" max="7" width="6.33203125" style="1" customWidth="1"/>
    <col min="8" max="8" width="9.109375" style="1" customWidth="1"/>
    <col min="9" max="9" width="8.5546875" style="1" customWidth="1"/>
    <col min="10" max="10" width="8.44140625" style="1" customWidth="1"/>
    <col min="11" max="11" width="12" style="1" customWidth="1"/>
    <col min="12" max="12" width="8.44140625" style="1" customWidth="1"/>
    <col min="13" max="13" width="11" style="1" customWidth="1"/>
    <col min="14" max="14" width="6.6640625" style="1" customWidth="1"/>
    <col min="15" max="15" width="7.88671875" style="1" customWidth="1"/>
    <col min="16" max="16" width="11.5546875" style="1" customWidth="1"/>
    <col min="17" max="17" width="8.5546875" style="1" customWidth="1"/>
    <col min="18" max="18" width="8.33203125" style="1" customWidth="1"/>
    <col min="19" max="19" width="7.6640625" style="1" customWidth="1"/>
    <col min="20" max="20" width="10.6640625" style="1" customWidth="1"/>
    <col min="21" max="21" width="7.6640625" customWidth="1"/>
    <col min="22" max="22" width="9.6640625" customWidth="1"/>
    <col min="24" max="24" width="9.88671875" bestFit="1" customWidth="1"/>
    <col min="25" max="25" width="10.6640625" customWidth="1"/>
    <col min="26" max="26" width="8.6640625" customWidth="1"/>
    <col min="27" max="27" width="7.33203125" customWidth="1"/>
    <col min="28" max="28" width="9.88671875" customWidth="1"/>
    <col min="29" max="29" width="9.109375" customWidth="1"/>
    <col min="30" max="30" width="8.44140625" customWidth="1"/>
    <col min="31" max="31" width="7.44140625" customWidth="1"/>
    <col min="32" max="32" width="10" customWidth="1"/>
    <col min="33" max="33" width="7.44140625" customWidth="1"/>
    <col min="34" max="34" width="9.6640625" customWidth="1"/>
    <col min="35" max="36" width="11.5546875" customWidth="1"/>
    <col min="37" max="37" width="8.6640625" customWidth="1"/>
    <col min="38" max="38" width="11.5546875" bestFit="1" customWidth="1"/>
    <col min="39" max="39" width="9.6640625" customWidth="1"/>
    <col min="44" max="44" width="11.33203125" customWidth="1"/>
    <col min="45" max="45" width="12.109375" customWidth="1"/>
    <col min="46" max="46" width="13.109375" bestFit="1" customWidth="1"/>
    <col min="47" max="47" width="12" bestFit="1" customWidth="1"/>
    <col min="48" max="48" width="10.44140625" bestFit="1" customWidth="1"/>
    <col min="49" max="49" width="10.33203125" customWidth="1"/>
    <col min="50" max="50" width="9.33203125" bestFit="1" customWidth="1"/>
    <col min="51" max="51" width="10.33203125" bestFit="1" customWidth="1"/>
  </cols>
  <sheetData>
    <row r="1" spans="1:51" ht="86.4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2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x14ac:dyDescent="0.3">
      <c r="A2" t="s">
        <v>222</v>
      </c>
      <c r="B2" t="s">
        <v>201</v>
      </c>
      <c r="C2" s="220">
        <f t="shared" ref="C2:C12" si="1">D2/180+1</f>
        <v>1.0396468619615136</v>
      </c>
      <c r="D2" s="262">
        <f>EXP((0-$Q$40)/$R$40)</f>
        <v>7.1364351530724619</v>
      </c>
      <c r="E2" s="109">
        <v>0</v>
      </c>
      <c r="F2" s="109">
        <v>12.15</v>
      </c>
      <c r="G2" s="109">
        <v>0.105</v>
      </c>
      <c r="H2" s="148">
        <v>1.0000000000000001E+32</v>
      </c>
      <c r="I2" s="191">
        <v>1.0000000000000001E+32</v>
      </c>
      <c r="J2" s="189"/>
      <c r="K2" s="2">
        <f t="shared" ref="K2:K12" si="2">F2*G2</f>
        <v>1.2757499999999999</v>
      </c>
      <c r="L2" s="229">
        <f t="shared" ref="L2:L12" si="3">D2</f>
        <v>7.1364351530724619</v>
      </c>
      <c r="M2" s="234">
        <f t="shared" ref="M2:M12" si="4">LN(L2)</f>
        <v>1.9652133733894221</v>
      </c>
      <c r="N2" s="3">
        <f t="shared" ref="N2:O12" si="5">1/H2/0.000001</f>
        <v>9.999999999999999E-27</v>
      </c>
      <c r="O2" s="3">
        <f t="shared" si="5"/>
        <v>9.999999999999999E-27</v>
      </c>
      <c r="P2" s="3">
        <f t="shared" ref="P2:Q12" si="6">N2*60/$C$24</f>
        <v>5.9999999999999995E-25</v>
      </c>
      <c r="Q2" s="4">
        <v>0</v>
      </c>
      <c r="R2" s="3">
        <f t="shared" ref="R2:S12" si="7">P2/$Q$29</f>
        <v>1.3020833333333332E-27</v>
      </c>
      <c r="S2" s="3">
        <f t="shared" si="7"/>
        <v>0</v>
      </c>
      <c r="T2" s="3">
        <f t="shared" ref="T2:T12" si="8">L2</f>
        <v>7.1364351530724619</v>
      </c>
      <c r="U2" s="158">
        <f t="shared" si="0"/>
        <v>1.2757499999999999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1" si="9">$Q$36*(P2/$Q$29/100)^3</f>
        <v>9.76843480821773E-87</v>
      </c>
      <c r="AA2" s="229">
        <f t="shared" ref="AA2:AA12" si="10">SQRT(Z2^3/4/$Q$26/$Q$32)</f>
        <v>9.469612348787209E-129</v>
      </c>
      <c r="AB2" s="1"/>
      <c r="AC2" s="158">
        <f t="shared" ref="AC2:AC12" si="11">SQRT(Z2/$Q$32/$Q$26)</f>
        <v>1.9388187636407961E-42</v>
      </c>
      <c r="AD2" s="175">
        <f t="shared" ref="AD2:AD11" si="12">AC2*1/1.6/1000*3600</f>
        <v>4.3623422181917907E-42</v>
      </c>
      <c r="AE2" s="4">
        <f t="shared" ref="AE2:AE12" si="13">Q2/60*PI()*$C$38/1000</f>
        <v>0</v>
      </c>
      <c r="AF2" s="158">
        <f>AE2/AC2</f>
        <v>0</v>
      </c>
      <c r="AH2" s="228">
        <f t="shared" ref="AH2:AH13" si="14">D2/$Q$30*$Q$22</f>
        <v>0.1982343098075684</v>
      </c>
      <c r="AI2" s="228">
        <f t="shared" ref="AI2:AI13" si="15">AH2/$Q$22*$Q$30</f>
        <v>7.1364351530724619</v>
      </c>
      <c r="AJ2" s="229">
        <f t="shared" ref="AJ2:AJ13" si="16">MAX(($Q$40+$R$40*LN($AI2)),0)</f>
        <v>0</v>
      </c>
      <c r="AK2" s="229">
        <f t="shared" ref="AK2:AK13" si="17">MAX(($Q$40+$R$40*LN(AI2))/$Q$29,0)</f>
        <v>0</v>
      </c>
      <c r="AL2" s="229">
        <f t="shared" ref="AL2:AL13" si="18">($Q$41+$R$41*AK2*$Q$29)/$Q$29</f>
        <v>-18.751985122124399</v>
      </c>
      <c r="AM2" s="229">
        <f t="shared" ref="AM2:AM13" si="19">($Q$42+$R$42*AL2*$Q$29)/$Q$29</f>
        <v>0.16841534935101679</v>
      </c>
      <c r="AN2" s="1"/>
      <c r="AO2" s="1">
        <f t="shared" ref="AO2:AO13" si="20">MAX($Q$41+$R$41*AJ2, 0)</f>
        <v>0</v>
      </c>
      <c r="AP2" s="227"/>
      <c r="AQ2" s="227"/>
      <c r="AR2" s="227"/>
      <c r="AS2" s="1"/>
      <c r="AT2" s="227"/>
      <c r="AU2" s="1"/>
    </row>
    <row r="3" spans="1:51" ht="15" customHeight="1" x14ac:dyDescent="0.3">
      <c r="A3" t="s">
        <v>223</v>
      </c>
      <c r="B3" t="s">
        <v>201</v>
      </c>
      <c r="C3" s="220">
        <f t="shared" si="1"/>
        <v>1.05</v>
      </c>
      <c r="D3" s="73">
        <v>9</v>
      </c>
      <c r="E3" s="109">
        <v>9.2999999999999999E-2</v>
      </c>
      <c r="F3" s="73">
        <v>12.18</v>
      </c>
      <c r="G3" s="106">
        <v>0.37</v>
      </c>
      <c r="H3" s="73">
        <v>7720</v>
      </c>
      <c r="I3" s="191">
        <v>1.0000000000000001E+32</v>
      </c>
      <c r="J3" s="61"/>
      <c r="K3" s="2">
        <f t="shared" si="2"/>
        <v>4.5065999999999997</v>
      </c>
      <c r="L3" s="1">
        <f t="shared" si="3"/>
        <v>9</v>
      </c>
      <c r="M3" s="234">
        <f t="shared" si="4"/>
        <v>2.1972245773362196</v>
      </c>
      <c r="N3" s="3">
        <f t="shared" si="5"/>
        <v>129.53367875647669</v>
      </c>
      <c r="O3" s="3">
        <f t="shared" si="5"/>
        <v>9.999999999999999E-27</v>
      </c>
      <c r="P3" s="3">
        <f t="shared" si="6"/>
        <v>7772.020725388601</v>
      </c>
      <c r="Q3" s="3">
        <f t="shared" si="6"/>
        <v>5.9999999999999995E-25</v>
      </c>
      <c r="R3" s="3">
        <f t="shared" si="7"/>
        <v>16.866364421416236</v>
      </c>
      <c r="S3" s="3">
        <f t="shared" si="7"/>
        <v>1.3020833333333332E-27</v>
      </c>
      <c r="T3" s="3">
        <f>L3</f>
        <v>9</v>
      </c>
      <c r="U3" s="158">
        <f>K3</f>
        <v>4.5065999999999997</v>
      </c>
      <c r="V3" s="1">
        <f t="shared" ref="V3:V12" si="21">($U3-$U$2)</f>
        <v>3.2308499999999998</v>
      </c>
      <c r="W3" s="234">
        <f t="shared" ref="W3:W12" si="22">($U3-$U$2)*0.001341022</f>
        <v>4.3326409287000002E-3</v>
      </c>
      <c r="X3" s="230">
        <f>$W3/$P3*5252</f>
        <v>2.9278138802691688E-3</v>
      </c>
      <c r="Y3" s="230">
        <f>X3-$X$3</f>
        <v>0</v>
      </c>
      <c r="Z3" s="228">
        <f t="shared" si="9"/>
        <v>2.1231128627635317E-2</v>
      </c>
      <c r="AA3" s="229">
        <f t="shared" si="10"/>
        <v>3.0342708818159283E-2</v>
      </c>
      <c r="AB3" s="2">
        <f>AA3/U3*100</f>
        <v>0.67329491896683269</v>
      </c>
      <c r="AC3" s="158">
        <f t="shared" si="11"/>
        <v>2.8583227345402595</v>
      </c>
      <c r="AD3" s="175">
        <f t="shared" si="12"/>
        <v>6.4312261527155838</v>
      </c>
      <c r="AE3" s="4">
        <f t="shared" si="13"/>
        <v>1.7278759594743859E-27</v>
      </c>
      <c r="AF3" s="158">
        <f t="shared" ref="AF3:AF12" si="23">AE3/AC3</f>
        <v>6.0450695038546867E-28</v>
      </c>
      <c r="AH3" s="228">
        <f t="shared" si="14"/>
        <v>0.25</v>
      </c>
      <c r="AI3" s="228">
        <f t="shared" si="15"/>
        <v>9</v>
      </c>
      <c r="AJ3" s="229">
        <f t="shared" si="16"/>
        <v>2981.8312148311707</v>
      </c>
      <c r="AK3" s="229">
        <f t="shared" si="17"/>
        <v>6.4709878794079225</v>
      </c>
      <c r="AL3" s="229">
        <f t="shared" si="18"/>
        <v>-12.407227757411349</v>
      </c>
      <c r="AM3" s="229">
        <f t="shared" si="19"/>
        <v>6.6224962219812253</v>
      </c>
      <c r="AN3" s="1"/>
      <c r="AO3" s="1">
        <f t="shared" si="20"/>
        <v>0</v>
      </c>
      <c r="AP3" s="227">
        <f t="shared" ref="AP3:AP13" si="24">MAX($J$46+$AJ3*($K$46+$AJ3*$L$46), 0)</f>
        <v>5.1529933095557717E-5</v>
      </c>
      <c r="AQ3" s="227">
        <f>AJ3*AP3/5252</f>
        <v>2.9256200114717402E-5</v>
      </c>
      <c r="AR3" s="231">
        <f t="shared" ref="AR3:AR13" si="25">MAX($K$46+$L$46*2*AJ3,1E-32)</f>
        <v>1.0000000000000001E-32</v>
      </c>
      <c r="AS3" s="228"/>
      <c r="AT3" s="1"/>
      <c r="AU3" s="228"/>
      <c r="AX3" s="128"/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1.1111111111111112</v>
      </c>
      <c r="D4" s="73">
        <v>20</v>
      </c>
      <c r="E4" s="109">
        <v>0.37</v>
      </c>
      <c r="F4" s="73">
        <v>12.17</v>
      </c>
      <c r="G4" s="106">
        <v>0.86</v>
      </c>
      <c r="H4" s="73">
        <v>4180</v>
      </c>
      <c r="I4" s="78">
        <v>11300</v>
      </c>
      <c r="J4" s="61"/>
      <c r="K4" s="2">
        <f t="shared" si="2"/>
        <v>10.466200000000001</v>
      </c>
      <c r="L4" s="1">
        <f t="shared" si="3"/>
        <v>20</v>
      </c>
      <c r="M4" s="234">
        <f t="shared" si="4"/>
        <v>2.9957322735539909</v>
      </c>
      <c r="N4" s="3">
        <f t="shared" si="5"/>
        <v>239.23444976076556</v>
      </c>
      <c r="O4" s="3">
        <f t="shared" si="5"/>
        <v>88.495575221238937</v>
      </c>
      <c r="P4" s="3">
        <f t="shared" si="6"/>
        <v>14354.066985645934</v>
      </c>
      <c r="Q4" s="3">
        <f t="shared" si="6"/>
        <v>5309.7345132743358</v>
      </c>
      <c r="R4" s="3">
        <f t="shared" si="7"/>
        <v>31.150318979266348</v>
      </c>
      <c r="S4" s="3">
        <f t="shared" si="7"/>
        <v>11.522861356932152</v>
      </c>
      <c r="T4" s="3">
        <f t="shared" si="8"/>
        <v>20</v>
      </c>
      <c r="U4" s="158">
        <f t="shared" si="0"/>
        <v>10.466200000000001</v>
      </c>
      <c r="V4" s="229">
        <f t="shared" si="21"/>
        <v>9.1904500000000002</v>
      </c>
      <c r="W4" s="234">
        <f t="shared" si="22"/>
        <v>1.2324595639900002E-2</v>
      </c>
      <c r="X4" s="230">
        <f t="shared" ref="X4:X12" si="26">$W4/$P4*5252</f>
        <v>4.5094380822859187E-3</v>
      </c>
      <c r="Y4" s="230">
        <f t="shared" ref="Y4:Y12" si="27">X4-$X$3</f>
        <v>1.5816242020167499E-3</v>
      </c>
      <c r="Z4" s="228">
        <f t="shared" si="9"/>
        <v>0.13375072264645263</v>
      </c>
      <c r="AA4" s="229">
        <f t="shared" si="10"/>
        <v>0.47977645696176557</v>
      </c>
      <c r="AB4" s="2">
        <f t="shared" ref="AB4:AB11" si="28">AA4/U4*100</f>
        <v>4.5840558842919643</v>
      </c>
      <c r="AC4" s="158">
        <f t="shared" si="11"/>
        <v>7.1741886319369401</v>
      </c>
      <c r="AD4" s="175">
        <f t="shared" si="12"/>
        <v>16.141924421858114</v>
      </c>
      <c r="AE4" s="175">
        <f t="shared" si="13"/>
        <v>15.290937694463592</v>
      </c>
      <c r="AF4" s="158">
        <f t="shared" si="23"/>
        <v>2.1313821644434841</v>
      </c>
      <c r="AG4" s="151"/>
      <c r="AH4" s="228">
        <f t="shared" si="14"/>
        <v>0.55555555555555558</v>
      </c>
      <c r="AI4" s="228">
        <f t="shared" si="15"/>
        <v>20</v>
      </c>
      <c r="AJ4" s="229">
        <f t="shared" si="16"/>
        <v>13244.332048243799</v>
      </c>
      <c r="AK4" s="229">
        <f t="shared" si="17"/>
        <v>28.7420400352513</v>
      </c>
      <c r="AL4" s="229">
        <f t="shared" si="18"/>
        <v>9.4293797002160833</v>
      </c>
      <c r="AM4" s="229">
        <f t="shared" si="19"/>
        <v>28.835359916222956</v>
      </c>
      <c r="AN4" s="2">
        <f t="shared" ref="AN4:AN13" si="29">AO4/$Q$29</f>
        <v>9.4293797002160868</v>
      </c>
      <c r="AO4" s="3">
        <f t="shared" si="20"/>
        <v>4345.0581658595729</v>
      </c>
      <c r="AP4" s="227">
        <f t="shared" si="24"/>
        <v>1.3887632875471301E-3</v>
      </c>
      <c r="AQ4" s="227">
        <f t="shared" ref="AQ4:AQ13" si="30">AJ4*AP4/5252</f>
        <v>3.5021405401151704E-3</v>
      </c>
      <c r="AR4" s="231">
        <f t="shared" si="25"/>
        <v>3.0121380334644088E-7</v>
      </c>
      <c r="AS4" s="228">
        <f t="shared" ref="AS4:AS13" si="31">$Q$34/AR4</f>
        <v>0.12425332799821891</v>
      </c>
      <c r="AT4" s="1"/>
      <c r="AU4" s="228"/>
      <c r="AX4" s="127"/>
      <c r="AY4" s="96"/>
    </row>
    <row r="5" spans="1:51" ht="13.95" customHeight="1" x14ac:dyDescent="0.3">
      <c r="A5" t="s">
        <v>225</v>
      </c>
      <c r="B5" s="176">
        <v>16</v>
      </c>
      <c r="C5" s="220">
        <f t="shared" si="1"/>
        <v>1.1444444444444444</v>
      </c>
      <c r="D5" s="73">
        <v>26</v>
      </c>
      <c r="E5" s="73">
        <v>0.56999999999999995</v>
      </c>
      <c r="F5" s="73">
        <v>12.15</v>
      </c>
      <c r="G5" s="73">
        <v>1.29</v>
      </c>
      <c r="H5" s="73">
        <v>3500</v>
      </c>
      <c r="I5" s="78">
        <v>8100</v>
      </c>
      <c r="J5" s="61"/>
      <c r="K5" s="2">
        <f t="shared" si="2"/>
        <v>15.673500000000001</v>
      </c>
      <c r="L5" s="1">
        <f t="shared" si="3"/>
        <v>26</v>
      </c>
      <c r="M5" s="234">
        <f t="shared" si="4"/>
        <v>3.2580965380214821</v>
      </c>
      <c r="N5" s="3">
        <f t="shared" si="5"/>
        <v>285.71428571428572</v>
      </c>
      <c r="O5" s="3">
        <f t="shared" si="5"/>
        <v>123.4567901234568</v>
      </c>
      <c r="P5" s="3">
        <f t="shared" si="6"/>
        <v>17142.857142857145</v>
      </c>
      <c r="Q5" s="3">
        <f t="shared" si="6"/>
        <v>7407.4074074074078</v>
      </c>
      <c r="R5" s="3">
        <f t="shared" si="7"/>
        <v>37.202380952380956</v>
      </c>
      <c r="S5" s="3">
        <f t="shared" si="7"/>
        <v>16.075102880658438</v>
      </c>
      <c r="T5" s="3">
        <f t="shared" si="8"/>
        <v>26</v>
      </c>
      <c r="U5" s="158">
        <f t="shared" si="0"/>
        <v>15.673500000000001</v>
      </c>
      <c r="V5" s="229">
        <f t="shared" si="21"/>
        <v>14.39775</v>
      </c>
      <c r="W5" s="234">
        <f t="shared" si="22"/>
        <v>1.93076995005E-2</v>
      </c>
      <c r="X5" s="230">
        <f t="shared" si="26"/>
        <v>5.9152355369698493E-3</v>
      </c>
      <c r="Y5" s="230">
        <f t="shared" si="27"/>
        <v>2.9874216567006805E-3</v>
      </c>
      <c r="Z5" s="228">
        <f t="shared" si="9"/>
        <v>0.2278352141858363</v>
      </c>
      <c r="AA5" s="229">
        <f t="shared" si="10"/>
        <v>1.0666599806356969</v>
      </c>
      <c r="AB5" s="2">
        <f t="shared" si="28"/>
        <v>6.8054996052936287</v>
      </c>
      <c r="AC5" s="158">
        <f t="shared" si="11"/>
        <v>9.3634338699342923</v>
      </c>
      <c r="AD5" s="175">
        <f t="shared" si="12"/>
        <v>21.067726207352155</v>
      </c>
      <c r="AE5" s="175">
        <f t="shared" si="13"/>
        <v>21.331801968819587</v>
      </c>
      <c r="AF5" s="158">
        <f t="shared" si="23"/>
        <v>2.2782028756902282</v>
      </c>
      <c r="AG5" s="151"/>
      <c r="AH5" s="228">
        <f t="shared" si="14"/>
        <v>0.7222222222222221</v>
      </c>
      <c r="AI5" s="228">
        <f t="shared" si="15"/>
        <v>25.999999999999996</v>
      </c>
      <c r="AJ5" s="229">
        <f t="shared" si="16"/>
        <v>16616.263834886224</v>
      </c>
      <c r="AK5" s="229">
        <f t="shared" si="17"/>
        <v>36.059600336124618</v>
      </c>
      <c r="AL5" s="229">
        <f t="shared" si="18"/>
        <v>16.604195273343986</v>
      </c>
      <c r="AM5" s="229">
        <f t="shared" si="19"/>
        <v>36.133801336964098</v>
      </c>
      <c r="AN5" s="2">
        <f t="shared" si="29"/>
        <v>16.604195273343983</v>
      </c>
      <c r="AO5" s="3">
        <f t="shared" si="20"/>
        <v>7651.2131819569076</v>
      </c>
      <c r="AP5" s="227">
        <f t="shared" si="24"/>
        <v>2.5937895578369828E-3</v>
      </c>
      <c r="AQ5" s="227">
        <f t="shared" si="30"/>
        <v>8.2062246049490074E-3</v>
      </c>
      <c r="AR5" s="231">
        <f t="shared" si="25"/>
        <v>4.1352560808735247E-7</v>
      </c>
      <c r="AS5" s="228">
        <f t="shared" si="31"/>
        <v>9.0506650066736249E-2</v>
      </c>
      <c r="AT5" s="232"/>
      <c r="AU5" s="165"/>
      <c r="AX5" s="127"/>
      <c r="AY5" s="96"/>
    </row>
    <row r="6" spans="1:51" ht="13.95" customHeight="1" x14ac:dyDescent="0.3">
      <c r="A6" t="s">
        <v>227</v>
      </c>
      <c r="B6" s="176">
        <v>25</v>
      </c>
      <c r="C6" s="220">
        <f t="shared" si="1"/>
        <v>1.1888888888888889</v>
      </c>
      <c r="D6" s="73">
        <v>34</v>
      </c>
      <c r="E6" s="73">
        <v>0.77</v>
      </c>
      <c r="F6" s="73">
        <v>12.13</v>
      </c>
      <c r="G6" s="73">
        <v>1.77</v>
      </c>
      <c r="H6" s="73">
        <v>3080</v>
      </c>
      <c r="I6" s="78">
        <v>5540</v>
      </c>
      <c r="J6" s="61"/>
      <c r="K6" s="2">
        <f t="shared" si="2"/>
        <v>21.470100000000002</v>
      </c>
      <c r="L6" s="1">
        <f t="shared" si="3"/>
        <v>34</v>
      </c>
      <c r="M6" s="234">
        <f t="shared" si="4"/>
        <v>3.5263605246161616</v>
      </c>
      <c r="N6" s="3">
        <f t="shared" si="5"/>
        <v>324.6753246753247</v>
      </c>
      <c r="O6" s="3">
        <f t="shared" si="5"/>
        <v>180.50541516245488</v>
      </c>
      <c r="P6" s="3">
        <f t="shared" si="6"/>
        <v>19480.519480519481</v>
      </c>
      <c r="Q6" s="3">
        <f t="shared" si="6"/>
        <v>10830.324909747293</v>
      </c>
      <c r="R6" s="3">
        <f t="shared" si="7"/>
        <v>42.275432900432897</v>
      </c>
      <c r="S6" s="3">
        <f t="shared" si="7"/>
        <v>23.503309265944644</v>
      </c>
      <c r="T6" s="3">
        <f t="shared" si="8"/>
        <v>34</v>
      </c>
      <c r="U6" s="158">
        <f t="shared" si="0"/>
        <v>21.470100000000002</v>
      </c>
      <c r="V6" s="229">
        <f t="shared" si="21"/>
        <v>20.194350000000004</v>
      </c>
      <c r="W6" s="234">
        <f t="shared" si="22"/>
        <v>2.7081067625700006E-2</v>
      </c>
      <c r="X6" s="230">
        <f t="shared" si="26"/>
        <v>7.301128048069057E-3</v>
      </c>
      <c r="Y6" s="230">
        <f t="shared" si="27"/>
        <v>4.3733141677998882E-3</v>
      </c>
      <c r="Z6" s="228">
        <f t="shared" si="9"/>
        <v>0.33432806364140599</v>
      </c>
      <c r="AA6" s="229">
        <f t="shared" si="10"/>
        <v>1.8960682969048819</v>
      </c>
      <c r="AB6" s="2">
        <f t="shared" si="28"/>
        <v>8.8312038458362174</v>
      </c>
      <c r="AC6" s="158">
        <f t="shared" si="11"/>
        <v>11.342561412604413</v>
      </c>
      <c r="AD6" s="175">
        <f t="shared" si="12"/>
        <v>25.520763178359928</v>
      </c>
      <c r="AE6" s="175">
        <f t="shared" si="13"/>
        <v>31.189096741414918</v>
      </c>
      <c r="AF6" s="158">
        <f t="shared" si="23"/>
        <v>2.7497401695137449</v>
      </c>
      <c r="AG6" s="151"/>
      <c r="AH6" s="228">
        <f t="shared" si="14"/>
        <v>0.94444444444444442</v>
      </c>
      <c r="AI6" s="228">
        <f t="shared" si="15"/>
        <v>34</v>
      </c>
      <c r="AJ6" s="233">
        <f t="shared" si="16"/>
        <v>20064.019440802986</v>
      </c>
      <c r="AK6" s="233">
        <f t="shared" si="17"/>
        <v>43.541708855909256</v>
      </c>
      <c r="AL6" s="233">
        <f t="shared" si="18"/>
        <v>23.940349199014673</v>
      </c>
      <c r="AM6" s="233">
        <f t="shared" si="19"/>
        <v>43.59636105495634</v>
      </c>
      <c r="AN6" s="9">
        <f t="shared" si="29"/>
        <v>23.940349199014673</v>
      </c>
      <c r="AO6" s="10">
        <f t="shared" si="20"/>
        <v>11031.712910905961</v>
      </c>
      <c r="AP6" s="230">
        <f t="shared" si="24"/>
        <v>4.2174903211159211E-3</v>
      </c>
      <c r="AQ6" s="230">
        <f t="shared" si="30"/>
        <v>1.6111920752907134E-2</v>
      </c>
      <c r="AR6" s="232">
        <f t="shared" si="25"/>
        <v>5.2836294137507056E-7</v>
      </c>
      <c r="AS6" s="228">
        <f t="shared" si="31"/>
        <v>7.0835432567228518E-2</v>
      </c>
      <c r="AT6" s="232">
        <f t="shared" ref="AT6:AT12" si="32">$Q$43*$Q$26*$Q$35^2*$Q$32*PI()/240*($AC6-$Q$45)/$Q$44*$Q$33</f>
        <v>-1.5005834704145897E-7</v>
      </c>
      <c r="AU6" s="165">
        <f t="shared" ref="AU6:AU12" si="33">-$Q$34/AT6</f>
        <v>0.24941509914444035</v>
      </c>
      <c r="AX6" s="127"/>
      <c r="AY6" s="96"/>
    </row>
    <row r="7" spans="1:51" ht="13.95" customHeight="1" x14ac:dyDescent="0.3">
      <c r="A7" t="s">
        <v>228</v>
      </c>
      <c r="B7" s="176">
        <v>36</v>
      </c>
      <c r="C7" s="220">
        <f t="shared" si="1"/>
        <v>1.2833333333333332</v>
      </c>
      <c r="D7" s="73">
        <v>51</v>
      </c>
      <c r="E7" s="73">
        <v>1.1100000000000001</v>
      </c>
      <c r="F7" s="73">
        <v>12.08</v>
      </c>
      <c r="G7" s="73">
        <v>2.94</v>
      </c>
      <c r="H7" s="73">
        <v>2490</v>
      </c>
      <c r="I7" s="78">
        <v>3830</v>
      </c>
      <c r="J7" s="61"/>
      <c r="K7" s="2">
        <f t="shared" si="2"/>
        <v>35.5152</v>
      </c>
      <c r="L7" s="1">
        <f t="shared" si="3"/>
        <v>51</v>
      </c>
      <c r="M7" s="234">
        <f t="shared" si="4"/>
        <v>3.9318256327243257</v>
      </c>
      <c r="N7" s="3">
        <f t="shared" si="5"/>
        <v>401.60642570281129</v>
      </c>
      <c r="O7" s="3">
        <f t="shared" si="5"/>
        <v>261.09660574412533</v>
      </c>
      <c r="P7" s="3">
        <f t="shared" si="6"/>
        <v>24096.385542168679</v>
      </c>
      <c r="Q7" s="3">
        <f t="shared" si="6"/>
        <v>15665.796344647519</v>
      </c>
      <c r="R7" s="3">
        <f t="shared" si="7"/>
        <v>52.292503346720224</v>
      </c>
      <c r="S7" s="3">
        <f t="shared" si="7"/>
        <v>33.996953872932984</v>
      </c>
      <c r="T7" s="3">
        <f t="shared" si="8"/>
        <v>51</v>
      </c>
      <c r="U7" s="158">
        <f t="shared" si="0"/>
        <v>35.5152</v>
      </c>
      <c r="V7" s="229">
        <f t="shared" si="21"/>
        <v>34.239449999999998</v>
      </c>
      <c r="W7" s="234">
        <f t="shared" si="22"/>
        <v>4.5915855717900002E-2</v>
      </c>
      <c r="X7" s="230">
        <f t="shared" si="26"/>
        <v>1.0007728080562047E-2</v>
      </c>
      <c r="Y7" s="230">
        <f t="shared" si="27"/>
        <v>7.0799142002928783E-3</v>
      </c>
      <c r="Z7" s="228">
        <f t="shared" si="9"/>
        <v>0.63274240545140414</v>
      </c>
      <c r="AA7" s="229">
        <f t="shared" si="10"/>
        <v>4.9366818441590627</v>
      </c>
      <c r="AB7" s="2">
        <f t="shared" si="28"/>
        <v>13.900194407349705</v>
      </c>
      <c r="AC7" s="158">
        <f t="shared" si="11"/>
        <v>15.60408090757625</v>
      </c>
      <c r="AD7" s="175">
        <f t="shared" si="12"/>
        <v>35.109182042046562</v>
      </c>
      <c r="AE7" s="175">
        <f t="shared" si="13"/>
        <v>45.114254816563609</v>
      </c>
      <c r="AF7" s="158">
        <f t="shared" si="23"/>
        <v>2.8911830875382916</v>
      </c>
      <c r="AG7" s="151"/>
      <c r="AH7" s="228">
        <f t="shared" si="14"/>
        <v>1.4166666666666665</v>
      </c>
      <c r="AI7" s="228">
        <f t="shared" si="15"/>
        <v>51</v>
      </c>
      <c r="AJ7" s="229">
        <f t="shared" si="16"/>
        <v>25275.097592697159</v>
      </c>
      <c r="AK7" s="229">
        <f t="shared" si="17"/>
        <v>54.850472206374043</v>
      </c>
      <c r="AL7" s="229">
        <f t="shared" si="18"/>
        <v>35.02851083535257</v>
      </c>
      <c r="AM7" s="229">
        <f t="shared" si="19"/>
        <v>54.875577550724898</v>
      </c>
      <c r="AN7" s="2">
        <f t="shared" si="29"/>
        <v>35.02851083535257</v>
      </c>
      <c r="AO7" s="3">
        <f t="shared" si="20"/>
        <v>16141.137792930465</v>
      </c>
      <c r="AP7" s="227">
        <f t="shared" si="24"/>
        <v>7.4230738485389948E-3</v>
      </c>
      <c r="AQ7" s="227">
        <f t="shared" si="30"/>
        <v>3.5723327486599614E-2</v>
      </c>
      <c r="AR7" s="231">
        <f t="shared" si="25"/>
        <v>7.0193276096740061E-7</v>
      </c>
      <c r="AS7" s="228">
        <f t="shared" si="31"/>
        <v>5.3319661919205556E-2</v>
      </c>
      <c r="AT7" s="232">
        <f t="shared" si="32"/>
        <v>-2.6975310053399621E-7</v>
      </c>
      <c r="AU7" s="165">
        <f t="shared" si="33"/>
        <v>0.13874471667130858</v>
      </c>
      <c r="AX7" s="127"/>
      <c r="AY7" s="96"/>
    </row>
    <row r="8" spans="1:51" ht="13.95" customHeight="1" x14ac:dyDescent="0.3">
      <c r="A8" t="s">
        <v>229</v>
      </c>
      <c r="B8" s="176">
        <v>45</v>
      </c>
      <c r="C8" s="220">
        <f t="shared" si="1"/>
        <v>1.4222222222222223</v>
      </c>
      <c r="D8" s="73">
        <v>76</v>
      </c>
      <c r="E8" s="73">
        <v>1.47</v>
      </c>
      <c r="F8" s="73">
        <v>12</v>
      </c>
      <c r="G8" s="73">
        <v>4.96</v>
      </c>
      <c r="H8" s="73">
        <v>2000</v>
      </c>
      <c r="I8" s="78">
        <v>2900</v>
      </c>
      <c r="J8" s="61"/>
      <c r="K8" s="2">
        <f t="shared" si="2"/>
        <v>59.519999999999996</v>
      </c>
      <c r="L8" s="1">
        <f t="shared" si="3"/>
        <v>76</v>
      </c>
      <c r="M8" s="234">
        <f t="shared" si="4"/>
        <v>4.3307333402863311</v>
      </c>
      <c r="N8" s="3">
        <f t="shared" si="5"/>
        <v>500.00000000000006</v>
      </c>
      <c r="O8" s="3">
        <f t="shared" si="5"/>
        <v>344.82758620689651</v>
      </c>
      <c r="P8" s="3">
        <f t="shared" si="6"/>
        <v>30000.000000000004</v>
      </c>
      <c r="Q8" s="3">
        <f t="shared" si="6"/>
        <v>20689.65517241379</v>
      </c>
      <c r="R8" s="3">
        <f t="shared" si="7"/>
        <v>65.104166666666671</v>
      </c>
      <c r="S8" s="3">
        <f t="shared" si="7"/>
        <v>44.899425287356316</v>
      </c>
      <c r="T8" s="3">
        <f t="shared" si="8"/>
        <v>76</v>
      </c>
      <c r="U8" s="158">
        <f t="shared" si="0"/>
        <v>59.519999999999996</v>
      </c>
      <c r="V8" s="229">
        <f t="shared" si="21"/>
        <v>58.244249999999994</v>
      </c>
      <c r="W8" s="234">
        <f t="shared" si="22"/>
        <v>7.8106820623499995E-2</v>
      </c>
      <c r="X8" s="230">
        <f t="shared" si="26"/>
        <v>1.3673900730487397E-2</v>
      </c>
      <c r="Y8" s="230">
        <f t="shared" si="27"/>
        <v>1.0746086850218228E-2</v>
      </c>
      <c r="Z8" s="228">
        <f t="shared" si="9"/>
        <v>1.2210543510272169</v>
      </c>
      <c r="AA8" s="229">
        <f t="shared" si="10"/>
        <v>13.234185582787292</v>
      </c>
      <c r="AB8" s="2">
        <f t="shared" si="28"/>
        <v>22.23485480979048</v>
      </c>
      <c r="AC8" s="158">
        <f t="shared" si="11"/>
        <v>21.676652757764597</v>
      </c>
      <c r="AD8" s="175">
        <f t="shared" si="12"/>
        <v>48.772468704970336</v>
      </c>
      <c r="AE8" s="175">
        <f t="shared" si="13"/>
        <v>59.5819296370478</v>
      </c>
      <c r="AF8" s="163">
        <f t="shared" si="23"/>
        <v>2.748668362356153</v>
      </c>
      <c r="AG8" s="159">
        <f>$M$40/($Q$26*$Q$35*$Q$32*($AC8-$Q$45)^2/4/$AF8)/(PI()*$Q$35/60/($AC8-$Q$45))</f>
        <v>-1.0170679634925057</v>
      </c>
      <c r="AH8" s="228">
        <f t="shared" si="14"/>
        <v>2.1111111111111112</v>
      </c>
      <c r="AI8" s="228">
        <f t="shared" si="15"/>
        <v>76</v>
      </c>
      <c r="AJ8" s="229">
        <f t="shared" si="16"/>
        <v>30401.899376450201</v>
      </c>
      <c r="AK8" s="229">
        <f t="shared" si="17"/>
        <v>65.97634413292144</v>
      </c>
      <c r="AL8" s="229">
        <f t="shared" si="18"/>
        <v>45.937348737746348</v>
      </c>
      <c r="AM8" s="229">
        <f t="shared" si="19"/>
        <v>65.972380470255828</v>
      </c>
      <c r="AN8" s="2">
        <f t="shared" si="29"/>
        <v>45.937348737746348</v>
      </c>
      <c r="AO8" s="3">
        <f t="shared" si="20"/>
        <v>21167.930298353516</v>
      </c>
      <c r="AP8" s="227">
        <f t="shared" si="24"/>
        <v>1.145947737749306E-2</v>
      </c>
      <c r="AQ8" s="227">
        <f t="shared" si="30"/>
        <v>6.6334706423696016E-2</v>
      </c>
      <c r="AR8" s="231">
        <f t="shared" si="25"/>
        <v>8.7269551576665403E-7</v>
      </c>
      <c r="AS8" s="228">
        <f t="shared" si="31"/>
        <v>4.2886455617819064E-2</v>
      </c>
      <c r="AT8" s="232">
        <f t="shared" si="32"/>
        <v>-4.4031550005642732E-7</v>
      </c>
      <c r="AU8" s="165">
        <f t="shared" si="33"/>
        <v>8.5000000000000006E-2</v>
      </c>
      <c r="AX8" s="127"/>
      <c r="AY8" s="96"/>
    </row>
    <row r="9" spans="1:51" ht="13.95" customHeight="1" x14ac:dyDescent="0.3">
      <c r="A9" t="s">
        <v>230</v>
      </c>
      <c r="B9" s="176">
        <v>50</v>
      </c>
      <c r="C9" s="220">
        <f t="shared" si="1"/>
        <v>1.5055555555555555</v>
      </c>
      <c r="D9" s="73">
        <v>91</v>
      </c>
      <c r="E9" s="73">
        <v>1.65</v>
      </c>
      <c r="F9" s="73">
        <v>11.95</v>
      </c>
      <c r="G9" s="73">
        <v>6.19</v>
      </c>
      <c r="H9" s="73">
        <v>1860</v>
      </c>
      <c r="I9" s="78">
        <v>2630</v>
      </c>
      <c r="J9" s="61"/>
      <c r="K9" s="2">
        <f t="shared" si="2"/>
        <v>73.970500000000001</v>
      </c>
      <c r="L9" s="1">
        <f t="shared" si="3"/>
        <v>91</v>
      </c>
      <c r="M9" s="234">
        <f t="shared" si="4"/>
        <v>4.5108595065168497</v>
      </c>
      <c r="N9" s="3">
        <f t="shared" si="5"/>
        <v>537.63440860215053</v>
      </c>
      <c r="O9" s="3">
        <f t="shared" si="5"/>
        <v>380.22813688212926</v>
      </c>
      <c r="P9" s="3">
        <f t="shared" si="6"/>
        <v>32258.06451612903</v>
      </c>
      <c r="Q9" s="3">
        <f t="shared" si="6"/>
        <v>22813.688212927755</v>
      </c>
      <c r="R9" s="3">
        <f t="shared" si="7"/>
        <v>70.004480286738342</v>
      </c>
      <c r="S9" s="3">
        <f t="shared" si="7"/>
        <v>49.50887198986058</v>
      </c>
      <c r="T9" s="3">
        <f t="shared" si="8"/>
        <v>91</v>
      </c>
      <c r="U9" s="158">
        <f t="shared" si="0"/>
        <v>73.970500000000001</v>
      </c>
      <c r="V9" s="229">
        <f t="shared" si="21"/>
        <v>72.694749999999999</v>
      </c>
      <c r="W9" s="234">
        <f t="shared" si="22"/>
        <v>9.7485259034500005E-2</v>
      </c>
      <c r="X9" s="230">
        <f t="shared" si="26"/>
        <v>1.5871769993925016E-2</v>
      </c>
      <c r="Y9" s="230">
        <f t="shared" si="27"/>
        <v>1.2943956113655848E-2</v>
      </c>
      <c r="Z9" s="228">
        <f t="shared" si="9"/>
        <v>1.5180502575687365</v>
      </c>
      <c r="AA9" s="229">
        <f t="shared" si="10"/>
        <v>18.345263410826512</v>
      </c>
      <c r="AB9" s="2">
        <f t="shared" si="28"/>
        <v>24.800783299864825</v>
      </c>
      <c r="AC9" s="158">
        <f t="shared" si="11"/>
        <v>24.169507326071976</v>
      </c>
      <c r="AD9" s="175">
        <f t="shared" si="12"/>
        <v>54.381391483661943</v>
      </c>
      <c r="AE9" s="175">
        <f t="shared" si="13"/>
        <v>65.698705683436742</v>
      </c>
      <c r="AF9" s="165">
        <f t="shared" si="23"/>
        <v>2.7182476165977389</v>
      </c>
      <c r="AG9" s="151"/>
      <c r="AH9" s="228">
        <f t="shared" si="14"/>
        <v>2.5277777777777777</v>
      </c>
      <c r="AI9" s="228">
        <f t="shared" si="15"/>
        <v>91</v>
      </c>
      <c r="AJ9" s="229">
        <f t="shared" si="16"/>
        <v>32716.898893444188</v>
      </c>
      <c r="AK9" s="229">
        <f t="shared" si="17"/>
        <v>71.000214612509083</v>
      </c>
      <c r="AL9" s="229">
        <f t="shared" si="18"/>
        <v>50.863217835131302</v>
      </c>
      <c r="AM9" s="229">
        <f t="shared" si="19"/>
        <v>70.983124884112584</v>
      </c>
      <c r="AN9" s="2">
        <f t="shared" si="29"/>
        <v>50.863217835131309</v>
      </c>
      <c r="AO9" s="3">
        <f t="shared" si="20"/>
        <v>23437.770778428508</v>
      </c>
      <c r="AP9" s="227">
        <f t="shared" si="24"/>
        <v>1.3569019174170294E-2</v>
      </c>
      <c r="AQ9" s="227">
        <f t="shared" si="30"/>
        <v>8.4527080808175004E-2</v>
      </c>
      <c r="AR9" s="231">
        <f t="shared" si="25"/>
        <v>9.4980317694708032E-7</v>
      </c>
      <c r="AS9" s="228">
        <f t="shared" si="31"/>
        <v>3.9404813979561595E-2</v>
      </c>
      <c r="AT9" s="232">
        <f t="shared" si="32"/>
        <v>-5.103331577013958E-7</v>
      </c>
      <c r="AU9" s="165">
        <f t="shared" si="33"/>
        <v>7.3338008592997134E-2</v>
      </c>
      <c r="AX9" s="150"/>
      <c r="AY9" s="152"/>
    </row>
    <row r="10" spans="1:51" ht="13.95" customHeight="1" x14ac:dyDescent="0.3">
      <c r="A10" t="s">
        <v>232</v>
      </c>
      <c r="B10" s="176">
        <v>55</v>
      </c>
      <c r="C10" s="220">
        <f t="shared" si="1"/>
        <v>1.588888888888889</v>
      </c>
      <c r="D10" s="73">
        <v>106</v>
      </c>
      <c r="E10" s="73">
        <v>1.77</v>
      </c>
      <c r="F10" s="73">
        <v>11.91</v>
      </c>
      <c r="G10" s="73">
        <v>7.26</v>
      </c>
      <c r="H10" s="73">
        <v>1770</v>
      </c>
      <c r="I10" s="78">
        <v>2410</v>
      </c>
      <c r="J10" s="61"/>
      <c r="K10" s="2">
        <f t="shared" si="2"/>
        <v>86.4666</v>
      </c>
      <c r="L10" s="1">
        <f t="shared" si="3"/>
        <v>106</v>
      </c>
      <c r="M10" s="234">
        <f t="shared" si="4"/>
        <v>4.6634390941120669</v>
      </c>
      <c r="N10" s="3">
        <f t="shared" si="5"/>
        <v>564.9717514124294</v>
      </c>
      <c r="O10" s="3">
        <f t="shared" si="5"/>
        <v>414.93775933609959</v>
      </c>
      <c r="P10" s="3">
        <f t="shared" si="6"/>
        <v>33898.305084745763</v>
      </c>
      <c r="Q10" s="3">
        <f t="shared" si="6"/>
        <v>24896.265560165975</v>
      </c>
      <c r="R10" s="3">
        <f t="shared" si="7"/>
        <v>73.56403013182674</v>
      </c>
      <c r="S10" s="3">
        <f t="shared" si="7"/>
        <v>54.028354080221298</v>
      </c>
      <c r="T10" s="3">
        <f t="shared" si="8"/>
        <v>106</v>
      </c>
      <c r="U10" s="158">
        <f t="shared" si="0"/>
        <v>86.4666</v>
      </c>
      <c r="V10" s="229">
        <f t="shared" si="21"/>
        <v>85.190849999999998</v>
      </c>
      <c r="W10" s="234">
        <f t="shared" si="22"/>
        <v>0.11424280404870001</v>
      </c>
      <c r="X10" s="230">
        <f t="shared" si="26"/>
        <v>1.7700094602481287E-2</v>
      </c>
      <c r="Y10" s="230">
        <f t="shared" si="27"/>
        <v>1.4772280722212119E-2</v>
      </c>
      <c r="Z10" s="228">
        <f t="shared" si="9"/>
        <v>1.7615914080107602</v>
      </c>
      <c r="AA10" s="229">
        <f t="shared" si="10"/>
        <v>22.932558091663331</v>
      </c>
      <c r="AB10" s="2">
        <f t="shared" si="28"/>
        <v>26.521868665662033</v>
      </c>
      <c r="AC10" s="158">
        <f t="shared" si="11"/>
        <v>26.036182950687113</v>
      </c>
      <c r="AD10" s="175">
        <f t="shared" si="12"/>
        <v>58.58141163904601</v>
      </c>
      <c r="AE10" s="175">
        <f t="shared" si="13"/>
        <v>71.69609790350151</v>
      </c>
      <c r="AF10" s="165">
        <f t="shared" si="23"/>
        <v>2.7537100211384633</v>
      </c>
      <c r="AG10" s="151"/>
      <c r="AH10" s="228">
        <f t="shared" si="14"/>
        <v>2.9444444444444446</v>
      </c>
      <c r="AI10" s="228">
        <f t="shared" si="15"/>
        <v>106</v>
      </c>
      <c r="AJ10" s="229">
        <f t="shared" si="16"/>
        <v>34677.867024715182</v>
      </c>
      <c r="AK10" s="229">
        <f t="shared" si="17"/>
        <v>75.255787814052042</v>
      </c>
      <c r="AL10" s="229">
        <f t="shared" si="18"/>
        <v>55.035776942757948</v>
      </c>
      <c r="AM10" s="229">
        <f t="shared" si="19"/>
        <v>75.227579380706246</v>
      </c>
      <c r="AN10" s="2">
        <f t="shared" si="29"/>
        <v>55.03577694275797</v>
      </c>
      <c r="AO10" s="3">
        <f t="shared" si="20"/>
        <v>25360.486015222872</v>
      </c>
      <c r="AP10" s="227">
        <f t="shared" si="24"/>
        <v>1.5495593875672928E-2</v>
      </c>
      <c r="AQ10" s="227">
        <f t="shared" si="30"/>
        <v>0.10231419342908926</v>
      </c>
      <c r="AR10" s="231">
        <f t="shared" si="25"/>
        <v>1.0151188131455696E-6</v>
      </c>
      <c r="AS10" s="228">
        <f t="shared" si="31"/>
        <v>3.6869395995943639E-2</v>
      </c>
      <c r="AT10" s="232">
        <f t="shared" si="32"/>
        <v>-5.6276311349591064E-7</v>
      </c>
      <c r="AU10" s="165">
        <f t="shared" si="33"/>
        <v>6.6505456038685962E-2</v>
      </c>
      <c r="AX10" s="127"/>
      <c r="AY10" s="96"/>
    </row>
    <row r="11" spans="1:51" ht="13.95" customHeight="1" x14ac:dyDescent="0.3">
      <c r="A11" t="s">
        <v>232</v>
      </c>
      <c r="B11" s="176">
        <v>62</v>
      </c>
      <c r="C11" s="220">
        <f t="shared" si="1"/>
        <v>1.7333333333333334</v>
      </c>
      <c r="D11" s="73">
        <v>132</v>
      </c>
      <c r="E11" s="73">
        <v>2</v>
      </c>
      <c r="F11" s="73">
        <v>11.8</v>
      </c>
      <c r="G11" s="73">
        <v>9.56</v>
      </c>
      <c r="H11" s="73">
        <v>1590</v>
      </c>
      <c r="I11" s="78">
        <v>2140</v>
      </c>
      <c r="J11" s="61"/>
      <c r="K11" s="2">
        <f t="shared" si="2"/>
        <v>112.80800000000001</v>
      </c>
      <c r="L11" s="1">
        <f t="shared" si="3"/>
        <v>132</v>
      </c>
      <c r="M11" s="234">
        <f t="shared" si="4"/>
        <v>4.8828019225863706</v>
      </c>
      <c r="N11" s="3">
        <f t="shared" si="5"/>
        <v>628.93081761006295</v>
      </c>
      <c r="O11" s="3">
        <f t="shared" si="5"/>
        <v>467.28971962616828</v>
      </c>
      <c r="P11" s="3">
        <f t="shared" si="6"/>
        <v>37735.84905660378</v>
      </c>
      <c r="Q11" s="3">
        <f t="shared" si="6"/>
        <v>28037.383177570096</v>
      </c>
      <c r="R11" s="3">
        <f t="shared" si="7"/>
        <v>81.892033542976947</v>
      </c>
      <c r="S11" s="3">
        <f t="shared" si="7"/>
        <v>60.845015576323995</v>
      </c>
      <c r="T11" s="3">
        <f t="shared" si="8"/>
        <v>132</v>
      </c>
      <c r="U11" s="158">
        <f t="shared" si="0"/>
        <v>112.80800000000001</v>
      </c>
      <c r="V11" s="229">
        <f t="shared" si="21"/>
        <v>111.53225</v>
      </c>
      <c r="W11" s="234">
        <f t="shared" si="22"/>
        <v>0.14956720095950002</v>
      </c>
      <c r="X11" s="230">
        <f t="shared" si="26"/>
        <v>2.0816463895141291E-2</v>
      </c>
      <c r="Y11" s="230">
        <f t="shared" si="27"/>
        <v>1.7888650014872123E-2</v>
      </c>
      <c r="Z11" s="228">
        <f t="shared" si="9"/>
        <v>2.4301529570440161</v>
      </c>
      <c r="AA11" s="229">
        <f t="shared" si="10"/>
        <v>37.157384927395292</v>
      </c>
      <c r="AB11" s="2">
        <f t="shared" si="28"/>
        <v>32.93860801308</v>
      </c>
      <c r="AC11" s="158">
        <f t="shared" si="11"/>
        <v>30.580284932017367</v>
      </c>
      <c r="AD11" s="175">
        <f t="shared" si="12"/>
        <v>68.805641097039071</v>
      </c>
      <c r="AE11" s="175">
        <f t="shared" si="13"/>
        <v>80.741867265158248</v>
      </c>
      <c r="AF11" s="165">
        <f t="shared" si="23"/>
        <v>2.6403242299623577</v>
      </c>
      <c r="AG11" s="151"/>
      <c r="AH11" s="228">
        <f t="shared" si="14"/>
        <v>3.6666666666666665</v>
      </c>
      <c r="AI11" s="228">
        <f t="shared" si="15"/>
        <v>132</v>
      </c>
      <c r="AJ11" s="229">
        <f t="shared" si="16"/>
        <v>37497.140052014016</v>
      </c>
      <c r="AK11" s="229">
        <f t="shared" si="17"/>
        <v>81.374001848988755</v>
      </c>
      <c r="AL11" s="229">
        <f t="shared" si="18"/>
        <v>61.034642074399542</v>
      </c>
      <c r="AM11" s="229">
        <f t="shared" si="19"/>
        <v>81.329808115085498</v>
      </c>
      <c r="AN11" s="2">
        <f t="shared" si="29"/>
        <v>61.034642074399542</v>
      </c>
      <c r="AO11" s="3">
        <f t="shared" si="20"/>
        <v>28124.763067883308</v>
      </c>
      <c r="AP11" s="227">
        <f t="shared" si="24"/>
        <v>1.8489861371614368E-2</v>
      </c>
      <c r="AQ11" s="227">
        <f t="shared" si="30"/>
        <v>0.13201007642683699</v>
      </c>
      <c r="AR11" s="231">
        <f t="shared" si="25"/>
        <v>1.1090227417504228E-6</v>
      </c>
      <c r="AS11" s="228">
        <f t="shared" si="31"/>
        <v>3.37475653977337E-2</v>
      </c>
      <c r="AT11" s="232">
        <f t="shared" si="32"/>
        <v>-6.9039485779322726E-7</v>
      </c>
      <c r="AU11" s="165">
        <f t="shared" si="33"/>
        <v>5.4210741986733667E-2</v>
      </c>
      <c r="AX11" s="127"/>
      <c r="AY11" s="96"/>
    </row>
    <row r="12" spans="1:51" ht="13.95" customHeight="1" thickBot="1" x14ac:dyDescent="0.35">
      <c r="A12" t="s">
        <v>233</v>
      </c>
      <c r="B12" t="s">
        <v>234</v>
      </c>
      <c r="C12" s="221">
        <f t="shared" si="1"/>
        <v>2</v>
      </c>
      <c r="D12" s="80">
        <v>180</v>
      </c>
      <c r="E12" s="80">
        <v>2.42</v>
      </c>
      <c r="F12" s="80">
        <v>11.5</v>
      </c>
      <c r="G12" s="80">
        <v>15.36</v>
      </c>
      <c r="H12" s="80">
        <v>1395</v>
      </c>
      <c r="I12" s="81">
        <v>1790</v>
      </c>
      <c r="J12" s="61"/>
      <c r="K12" s="2">
        <f t="shared" si="2"/>
        <v>176.64</v>
      </c>
      <c r="L12" s="1">
        <f t="shared" si="3"/>
        <v>180</v>
      </c>
      <c r="M12" s="234">
        <f t="shared" si="4"/>
        <v>5.1929568508902104</v>
      </c>
      <c r="N12" s="3">
        <f t="shared" si="5"/>
        <v>716.84587813620078</v>
      </c>
      <c r="O12" s="3">
        <f t="shared" si="5"/>
        <v>558.65921787709499</v>
      </c>
      <c r="P12" s="3">
        <f t="shared" si="6"/>
        <v>43010.752688172048</v>
      </c>
      <c r="Q12" s="3">
        <f t="shared" si="6"/>
        <v>33519.553072625698</v>
      </c>
      <c r="R12" s="3">
        <f t="shared" si="7"/>
        <v>93.33930704898448</v>
      </c>
      <c r="S12" s="3">
        <f t="shared" si="7"/>
        <v>72.742085661080068</v>
      </c>
      <c r="T12" s="3">
        <f t="shared" si="8"/>
        <v>180</v>
      </c>
      <c r="U12" s="158">
        <f t="shared" si="0"/>
        <v>176.64</v>
      </c>
      <c r="V12" s="229">
        <f t="shared" si="21"/>
        <v>175.36425</v>
      </c>
      <c r="W12" s="234">
        <f t="shared" si="22"/>
        <v>0.23516731726350001</v>
      </c>
      <c r="X12" s="230">
        <f t="shared" si="26"/>
        <v>2.8716045943728719E-2</v>
      </c>
      <c r="Y12" s="230">
        <f t="shared" si="27"/>
        <v>2.5788232063459551E-2</v>
      </c>
      <c r="Z12" s="163">
        <f>C32/0.224</f>
        <v>4.4249528005034611</v>
      </c>
      <c r="AA12" s="229">
        <f t="shared" si="10"/>
        <v>91.297248929319878</v>
      </c>
      <c r="AB12" s="2">
        <f>AA12/U12*100</f>
        <v>51.685489656544313</v>
      </c>
      <c r="AC12" s="158">
        <f t="shared" si="11"/>
        <v>41.264733453849395</v>
      </c>
      <c r="AD12" s="175">
        <f>AC12*1/1.6/1000*3600</f>
        <v>92.845650271161119</v>
      </c>
      <c r="AE12" s="175">
        <f t="shared" si="13"/>
        <v>96.529383210859564</v>
      </c>
      <c r="AF12" s="165">
        <f t="shared" si="23"/>
        <v>2.3392707314786927</v>
      </c>
      <c r="AG12" s="151"/>
      <c r="AH12" s="228">
        <f t="shared" si="14"/>
        <v>5</v>
      </c>
      <c r="AI12" s="228">
        <f t="shared" si="15"/>
        <v>180</v>
      </c>
      <c r="AJ12" s="229">
        <f t="shared" si="16"/>
        <v>41483.282233588077</v>
      </c>
      <c r="AK12" s="229">
        <f t="shared" si="17"/>
        <v>90.024484013863017</v>
      </c>
      <c r="AL12" s="229">
        <f t="shared" si="18"/>
        <v>69.516378008191268</v>
      </c>
      <c r="AM12" s="229">
        <f t="shared" si="19"/>
        <v>89.957688821988029</v>
      </c>
      <c r="AN12" s="2">
        <f t="shared" si="29"/>
        <v>69.516378008191268</v>
      </c>
      <c r="AO12" s="3">
        <f t="shared" si="20"/>
        <v>32033.146986174535</v>
      </c>
      <c r="AP12" s="227">
        <f t="shared" si="24"/>
        <v>2.3175203419992164E-2</v>
      </c>
      <c r="AQ12" s="227">
        <f t="shared" si="30"/>
        <v>0.18305093379519241</v>
      </c>
      <c r="AR12" s="231">
        <f t="shared" si="25"/>
        <v>1.2417925753929479E-6</v>
      </c>
      <c r="AS12" s="228">
        <f t="shared" si="31"/>
        <v>3.0139347139318443E-2</v>
      </c>
      <c r="AT12" s="232">
        <f t="shared" si="32"/>
        <v>-9.9049261248690606E-7</v>
      </c>
      <c r="AU12" s="165">
        <f t="shared" si="33"/>
        <v>3.7786064260313799E-2</v>
      </c>
      <c r="AX12" s="127"/>
      <c r="AY12" s="96"/>
    </row>
    <row r="13" spans="1:51" ht="13.95" customHeight="1" x14ac:dyDescent="0.3">
      <c r="C13" s="267"/>
      <c r="AE13" s="45"/>
      <c r="AF13" s="30"/>
      <c r="AH13" s="228">
        <f t="shared" si="14"/>
        <v>0</v>
      </c>
      <c r="AI13" s="228">
        <f t="shared" si="15"/>
        <v>0</v>
      </c>
      <c r="AJ13" s="229" t="e">
        <f t="shared" si="16"/>
        <v>#NUM!</v>
      </c>
      <c r="AK13" s="229" t="e">
        <f t="shared" si="17"/>
        <v>#NUM!</v>
      </c>
      <c r="AL13" s="229" t="e">
        <f t="shared" si="18"/>
        <v>#NUM!</v>
      </c>
      <c r="AM13" s="229" t="e">
        <f t="shared" si="19"/>
        <v>#NUM!</v>
      </c>
      <c r="AN13" s="2" t="e">
        <f t="shared" si="29"/>
        <v>#NUM!</v>
      </c>
      <c r="AO13" s="3" t="e">
        <f t="shared" si="20"/>
        <v>#NUM!</v>
      </c>
      <c r="AP13" s="227" t="e">
        <f t="shared" si="24"/>
        <v>#NUM!</v>
      </c>
      <c r="AQ13" s="227" t="e">
        <f t="shared" si="30"/>
        <v>#NUM!</v>
      </c>
      <c r="AR13" s="231" t="e">
        <f t="shared" si="25"/>
        <v>#NUM!</v>
      </c>
      <c r="AS13" s="228" t="e">
        <f t="shared" si="31"/>
        <v>#NUM!</v>
      </c>
      <c r="AV13" s="146"/>
      <c r="AW13" s="95"/>
      <c r="AX13" s="128"/>
      <c r="AY13" s="96"/>
    </row>
    <row r="14" spans="1:51" x14ac:dyDescent="0.3">
      <c r="A14" t="s">
        <v>235</v>
      </c>
      <c r="AE14" s="194"/>
      <c r="AF14" s="30"/>
    </row>
    <row r="15" spans="1:51" ht="13.95" customHeight="1" x14ac:dyDescent="0.3">
      <c r="A15">
        <v>1</v>
      </c>
      <c r="C15" t="s">
        <v>236</v>
      </c>
      <c r="I15" s="3" t="s">
        <v>28</v>
      </c>
      <c r="J15" s="11" t="s">
        <v>29</v>
      </c>
      <c r="K15" s="12"/>
      <c r="L15" s="12"/>
      <c r="AE15" s="45"/>
      <c r="AF15" s="30"/>
    </row>
    <row r="16" spans="1:51" ht="13.95" customHeight="1" x14ac:dyDescent="0.3">
      <c r="A16">
        <v>2</v>
      </c>
      <c r="C16" t="s">
        <v>237</v>
      </c>
      <c r="I16" s="3"/>
      <c r="J16" s="13" t="s">
        <v>276</v>
      </c>
      <c r="K16" s="14"/>
      <c r="L16" s="14"/>
      <c r="AE16" s="149"/>
      <c r="AF16" s="30"/>
    </row>
    <row r="17" spans="1:48" ht="13.95" customHeight="1" x14ac:dyDescent="0.3">
      <c r="A17">
        <v>3</v>
      </c>
      <c r="C17" t="s">
        <v>239</v>
      </c>
      <c r="I17" s="3"/>
      <c r="J17" s="15" t="s">
        <v>274</v>
      </c>
      <c r="K17" s="16"/>
      <c r="L17" s="16"/>
      <c r="AE17" s="149"/>
      <c r="AF17" s="30"/>
    </row>
    <row r="18" spans="1:48" ht="13.95" customHeight="1" x14ac:dyDescent="0.3">
      <c r="A18">
        <v>4</v>
      </c>
      <c r="C18" t="s">
        <v>238</v>
      </c>
      <c r="J18" s="288" t="s">
        <v>297</v>
      </c>
      <c r="K18" s="287"/>
      <c r="L18" s="287"/>
      <c r="M18" s="287"/>
      <c r="N18" s="287"/>
      <c r="O18" s="289"/>
      <c r="AE18" s="149"/>
      <c r="AF18" s="30"/>
      <c r="AN18" s="45"/>
    </row>
    <row r="19" spans="1:48" ht="13.95" customHeight="1" x14ac:dyDescent="0.3">
      <c r="A19">
        <v>5</v>
      </c>
      <c r="C19" t="s">
        <v>240</v>
      </c>
      <c r="O19" s="188"/>
      <c r="AE19" s="149"/>
      <c r="AF19" s="30"/>
      <c r="AN19" s="45"/>
      <c r="AO19" s="5"/>
      <c r="AU19" s="5"/>
      <c r="AV19" s="5"/>
    </row>
    <row r="20" spans="1:48" ht="13.95" customHeight="1" thickBot="1" x14ac:dyDescent="0.35">
      <c r="A20">
        <v>6</v>
      </c>
      <c r="C20" t="s">
        <v>241</v>
      </c>
      <c r="O20" s="188"/>
      <c r="AN20" s="45"/>
      <c r="AO20" s="5"/>
      <c r="AV20" s="5"/>
    </row>
    <row r="21" spans="1:48" ht="13.95" customHeight="1" x14ac:dyDescent="0.3">
      <c r="A21">
        <v>7</v>
      </c>
      <c r="C21" t="s">
        <v>243</v>
      </c>
      <c r="O21" s="188"/>
      <c r="P21" s="214" t="s">
        <v>270</v>
      </c>
      <c r="Q21" s="64"/>
      <c r="R21" s="64"/>
      <c r="S21" s="64"/>
      <c r="T21" s="29"/>
      <c r="AN21" s="45"/>
      <c r="AO21" s="5"/>
      <c r="AV21" s="5"/>
    </row>
    <row r="22" spans="1:48" ht="13.95" customHeight="1" x14ac:dyDescent="0.3">
      <c r="A22" s="45">
        <v>8</v>
      </c>
      <c r="B22" s="45"/>
      <c r="C22" s="45" t="s">
        <v>275</v>
      </c>
      <c r="D22" s="61"/>
      <c r="E22" s="61"/>
      <c r="F22" s="61"/>
      <c r="G22" s="61"/>
      <c r="O22" s="188"/>
      <c r="P22" s="268" t="s">
        <v>15</v>
      </c>
      <c r="Q22" s="269">
        <f>C44</f>
        <v>5</v>
      </c>
      <c r="R22" s="45"/>
      <c r="S22" s="30"/>
      <c r="T22" s="31" t="s">
        <v>265</v>
      </c>
      <c r="AN22" s="45"/>
      <c r="AO22" s="5"/>
      <c r="AV22" s="5"/>
    </row>
    <row r="23" spans="1:48" ht="13.95" customHeight="1" thickBot="1" x14ac:dyDescent="0.35">
      <c r="H23" s="61"/>
      <c r="I23" s="61"/>
      <c r="J23" s="61"/>
      <c r="K23" s="187"/>
      <c r="L23" s="61"/>
      <c r="M23" s="61"/>
      <c r="N23" s="188"/>
      <c r="O23" s="188"/>
      <c r="P23" s="268" t="s">
        <v>17</v>
      </c>
      <c r="Q23" s="269">
        <f>C36</f>
        <v>5</v>
      </c>
      <c r="R23" s="30"/>
      <c r="S23" s="30"/>
      <c r="T23" s="31" t="s">
        <v>265</v>
      </c>
      <c r="AN23" s="45"/>
      <c r="AO23" s="5"/>
      <c r="AV23" s="5"/>
    </row>
    <row r="24" spans="1:48" ht="13.95" customHeight="1" x14ac:dyDescent="0.3">
      <c r="A24" t="s">
        <v>32</v>
      </c>
      <c r="B24" s="17" t="s">
        <v>3</v>
      </c>
      <c r="C24" s="18">
        <v>1</v>
      </c>
      <c r="D24"/>
      <c r="F24"/>
      <c r="G24" s="61"/>
      <c r="I24" s="17" t="s">
        <v>134</v>
      </c>
      <c r="J24" s="28"/>
      <c r="K24" s="28"/>
      <c r="L24" s="29"/>
      <c r="M24" s="61"/>
      <c r="N24" s="188"/>
      <c r="O24" s="188"/>
      <c r="P24" s="268" t="s">
        <v>16</v>
      </c>
      <c r="Q24" s="269">
        <f>C35</f>
        <v>0</v>
      </c>
      <c r="R24" s="30"/>
      <c r="S24" s="30"/>
      <c r="T24" s="31" t="s">
        <v>265</v>
      </c>
      <c r="AN24" s="45"/>
      <c r="AO24" s="5"/>
      <c r="AV24" s="5"/>
    </row>
    <row r="25" spans="1:48" ht="13.95" customHeight="1" x14ac:dyDescent="0.3">
      <c r="A25" s="189"/>
      <c r="B25" s="19" t="s">
        <v>4</v>
      </c>
      <c r="C25" s="20">
        <v>4800</v>
      </c>
      <c r="D25" t="s">
        <v>77</v>
      </c>
      <c r="F25"/>
      <c r="G25" s="61"/>
      <c r="I25" s="19" t="s">
        <v>128</v>
      </c>
      <c r="J25" s="208">
        <v>25</v>
      </c>
      <c r="K25" s="30" t="s">
        <v>93</v>
      </c>
      <c r="L25" s="31"/>
      <c r="M25" s="61"/>
      <c r="N25" s="188"/>
      <c r="O25" s="188"/>
      <c r="P25" s="268" t="s">
        <v>14</v>
      </c>
      <c r="Q25" s="269">
        <f>C43</f>
        <v>0</v>
      </c>
      <c r="R25" s="45"/>
      <c r="S25" s="30"/>
      <c r="T25" s="31" t="s">
        <v>265</v>
      </c>
      <c r="AN25" s="45"/>
      <c r="AO25" s="5"/>
      <c r="AP25" s="5"/>
    </row>
    <row r="26" spans="1:48" ht="13.95" customHeight="1" x14ac:dyDescent="0.3">
      <c r="A26" s="189"/>
      <c r="B26" s="19" t="s">
        <v>5</v>
      </c>
      <c r="C26" s="20">
        <v>12</v>
      </c>
      <c r="D26"/>
      <c r="F26"/>
      <c r="G26" s="61"/>
      <c r="I26" s="19" t="s">
        <v>144</v>
      </c>
      <c r="J26" s="208">
        <v>2.1797</v>
      </c>
      <c r="K26" s="30" t="s">
        <v>94</v>
      </c>
      <c r="L26" s="31"/>
      <c r="M26" s="61"/>
      <c r="N26" s="188"/>
      <c r="O26" s="188"/>
      <c r="P26" s="268" t="s">
        <v>177</v>
      </c>
      <c r="Q26" s="270">
        <f>$C$41</f>
        <v>1.2250000000000001</v>
      </c>
      <c r="R26" s="30"/>
      <c r="S26" s="30"/>
      <c r="T26" s="31" t="s">
        <v>161</v>
      </c>
      <c r="AN26" s="45"/>
      <c r="AO26" s="5"/>
      <c r="AP26" s="5"/>
    </row>
    <row r="27" spans="1:48" ht="13.95" customHeight="1" x14ac:dyDescent="0.3">
      <c r="A27" s="189"/>
      <c r="B27" s="57" t="s">
        <v>69</v>
      </c>
      <c r="C27" s="20">
        <v>3.9899999999999998E-2</v>
      </c>
      <c r="D27" t="s">
        <v>76</v>
      </c>
      <c r="F27"/>
      <c r="G27" s="6"/>
      <c r="I27" s="19" t="s">
        <v>129</v>
      </c>
      <c r="J27" s="44">
        <f>($J$25/25.4)^2*$J$26/1000*2.2/3</f>
        <v>1.5484983053299442E-3</v>
      </c>
      <c r="K27" s="30" t="s">
        <v>96</v>
      </c>
      <c r="L27" s="177" t="s">
        <v>146</v>
      </c>
      <c r="N27" s="3"/>
      <c r="O27" s="3"/>
      <c r="P27" s="215"/>
      <c r="Q27" s="213"/>
      <c r="R27" s="213"/>
      <c r="S27" s="213"/>
      <c r="T27" s="216"/>
      <c r="AN27" s="45"/>
      <c r="AO27" s="5"/>
      <c r="AP27" s="5"/>
      <c r="AQ27" s="5"/>
      <c r="AR27" s="5"/>
      <c r="AS27" s="151"/>
      <c r="AT27" s="153"/>
      <c r="AU27" s="5"/>
    </row>
    <row r="28" spans="1:48" ht="13.95" customHeight="1" x14ac:dyDescent="0.3">
      <c r="A28" s="189"/>
      <c r="B28" s="57" t="s">
        <v>70</v>
      </c>
      <c r="C28" s="129">
        <v>4.1999999999999996E-6</v>
      </c>
      <c r="D28" t="s">
        <v>75</v>
      </c>
      <c r="F28"/>
      <c r="G28" s="6"/>
      <c r="I28" s="19" t="s">
        <v>141</v>
      </c>
      <c r="J28" s="210">
        <f>3/8/2*25.4</f>
        <v>4.7624999999999993</v>
      </c>
      <c r="K28" s="30" t="s">
        <v>93</v>
      </c>
      <c r="L28" s="31" t="s">
        <v>142</v>
      </c>
      <c r="N28" s="3"/>
      <c r="O28" s="3"/>
      <c r="P28" s="217" t="s">
        <v>271</v>
      </c>
      <c r="Q28" s="213"/>
      <c r="R28" s="213"/>
      <c r="S28" s="213"/>
      <c r="T28" s="216"/>
      <c r="AN28" s="45"/>
      <c r="AO28" s="5"/>
      <c r="AP28" s="5"/>
      <c r="AQ28" s="5"/>
      <c r="AR28" s="5"/>
      <c r="AS28" s="151"/>
      <c r="AT28" s="153"/>
      <c r="AU28" s="5"/>
    </row>
    <row r="29" spans="1:48" ht="13.95" customHeight="1" x14ac:dyDescent="0.3">
      <c r="A29" s="189"/>
      <c r="B29" s="19" t="s">
        <v>255</v>
      </c>
      <c r="C29" s="20">
        <v>240</v>
      </c>
      <c r="D29" t="s">
        <v>256</v>
      </c>
      <c r="F29"/>
      <c r="G29" s="6"/>
      <c r="I29" s="19" t="s">
        <v>143</v>
      </c>
      <c r="J29" s="210">
        <f>3/4*25.4</f>
        <v>19.049999999999997</v>
      </c>
      <c r="K29" s="30" t="s">
        <v>93</v>
      </c>
      <c r="L29" s="31" t="s">
        <v>142</v>
      </c>
      <c r="N29" s="3"/>
      <c r="O29" s="3"/>
      <c r="P29" s="268" t="s">
        <v>27</v>
      </c>
      <c r="Q29" s="269">
        <f>$C$25*$C$26/$B$48/100</f>
        <v>460.8</v>
      </c>
      <c r="R29" s="30"/>
      <c r="S29" s="30"/>
      <c r="T29" s="31" t="s">
        <v>266</v>
      </c>
      <c r="AN29" s="45"/>
      <c r="AO29" s="5"/>
    </row>
    <row r="30" spans="1:48" x14ac:dyDescent="0.3">
      <c r="A30" s="189"/>
      <c r="B30" s="57" t="s">
        <v>71</v>
      </c>
      <c r="C30" s="130">
        <f>C25*2*PI()/60</f>
        <v>502.6548245743669</v>
      </c>
      <c r="D30" t="s">
        <v>73</v>
      </c>
      <c r="F30"/>
      <c r="G30" s="6"/>
      <c r="I30" s="19" t="s">
        <v>145</v>
      </c>
      <c r="J30" s="44">
        <f>PI()*($J$28/25.4)^2/4*3/4*0.3</f>
        <v>6.2126221909368446E-3</v>
      </c>
      <c r="K30" s="30" t="s">
        <v>148</v>
      </c>
      <c r="L30" s="31" t="s">
        <v>142</v>
      </c>
      <c r="N30" s="3"/>
      <c r="O30" s="3"/>
      <c r="P30" s="268" t="s">
        <v>18</v>
      </c>
      <c r="Q30" s="269">
        <f>C46</f>
        <v>180</v>
      </c>
      <c r="R30" s="30"/>
      <c r="S30" s="30"/>
      <c r="T30" s="31" t="s">
        <v>175</v>
      </c>
    </row>
    <row r="31" spans="1:48" ht="13.95" customHeight="1" x14ac:dyDescent="0.3">
      <c r="A31" s="189"/>
      <c r="B31" s="57" t="s">
        <v>72</v>
      </c>
      <c r="C31" s="132">
        <f>7/C30</f>
        <v>1.3926057520540842E-2</v>
      </c>
      <c r="D31" t="s">
        <v>74</v>
      </c>
      <c r="F31"/>
      <c r="G31" s="6"/>
      <c r="I31" s="19" t="s">
        <v>135</v>
      </c>
      <c r="J31" s="44">
        <f>($J$28/25.4)^2*$J$30/2</f>
        <v>1.0920624945006168E-4</v>
      </c>
      <c r="K31" s="30" t="s">
        <v>96</v>
      </c>
      <c r="L31" s="31" t="s">
        <v>147</v>
      </c>
      <c r="N31" s="3"/>
      <c r="O31" s="3"/>
      <c r="P31" s="268" t="s">
        <v>13</v>
      </c>
      <c r="Q31" s="269">
        <f>C45</f>
        <v>0</v>
      </c>
      <c r="R31" s="30"/>
      <c r="S31" s="30"/>
      <c r="T31" s="31" t="s">
        <v>175</v>
      </c>
    </row>
    <row r="32" spans="1:48" ht="13.95" customHeight="1" thickBot="1" x14ac:dyDescent="0.35">
      <c r="B32" s="131" t="s">
        <v>257</v>
      </c>
      <c r="C32" s="204">
        <f>450/454</f>
        <v>0.99118942731277537</v>
      </c>
      <c r="D32" s="6" t="s">
        <v>155</v>
      </c>
      <c r="F32" s="6"/>
      <c r="G32" s="6"/>
      <c r="I32" s="19" t="s">
        <v>95</v>
      </c>
      <c r="J32" s="44">
        <f>$J$27+$J$31</f>
        <v>1.6577045547800059E-3</v>
      </c>
      <c r="K32" s="30" t="s">
        <v>96</v>
      </c>
      <c r="L32" s="31"/>
      <c r="N32" s="3"/>
      <c r="O32" s="3"/>
      <c r="P32" s="268" t="s">
        <v>178</v>
      </c>
      <c r="Q32" s="270">
        <f>(C38^2-C39^2)*PI()/4/1000^2</f>
        <v>2.1213604393365078E-3</v>
      </c>
      <c r="R32" s="30"/>
      <c r="S32" s="30"/>
      <c r="T32" s="31" t="s">
        <v>264</v>
      </c>
    </row>
    <row r="33" spans="1:50" ht="15" customHeight="1" thickBot="1" x14ac:dyDescent="0.35">
      <c r="D33"/>
      <c r="F33" s="6"/>
      <c r="G33" s="6"/>
      <c r="I33" s="19" t="s">
        <v>95</v>
      </c>
      <c r="J33" s="44">
        <f>$J$32/144</f>
        <v>1.1511837185972264E-5</v>
      </c>
      <c r="K33" s="30" t="s">
        <v>97</v>
      </c>
      <c r="L33" s="31"/>
      <c r="N33" s="3"/>
      <c r="O33" s="3"/>
      <c r="P33" s="268" t="s">
        <v>183</v>
      </c>
      <c r="Q33" s="271">
        <f>1/1.3556</f>
        <v>0.73768073177928595</v>
      </c>
      <c r="R33" s="30"/>
      <c r="S33" s="30"/>
      <c r="T33" s="31" t="s">
        <v>269</v>
      </c>
    </row>
    <row r="34" spans="1:50" ht="15" customHeight="1" thickBot="1" x14ac:dyDescent="0.35">
      <c r="A34" t="s">
        <v>33</v>
      </c>
      <c r="B34" s="17"/>
      <c r="C34" s="222" t="s">
        <v>22</v>
      </c>
      <c r="D34"/>
      <c r="F34" s="6"/>
      <c r="G34" s="6"/>
      <c r="I34" s="21" t="s">
        <v>95</v>
      </c>
      <c r="J34" s="108">
        <f>$J$33/2048.5*6.66</f>
        <v>3.7426817504796325E-8</v>
      </c>
      <c r="K34" s="32" t="s">
        <v>98</v>
      </c>
      <c r="L34" s="33"/>
      <c r="N34" s="3"/>
      <c r="O34" s="3"/>
      <c r="P34" s="268" t="s">
        <v>184</v>
      </c>
      <c r="Q34" s="272">
        <f>$J$33/2048.5*6.66</f>
        <v>3.7426817504796325E-8</v>
      </c>
      <c r="R34" s="30"/>
      <c r="S34" s="30"/>
      <c r="T34" s="31" t="s">
        <v>80</v>
      </c>
    </row>
    <row r="35" spans="1:50" ht="15" customHeight="1" x14ac:dyDescent="0.3">
      <c r="B35" s="24" t="s">
        <v>16</v>
      </c>
      <c r="C35" s="203">
        <v>0</v>
      </c>
      <c r="D35"/>
      <c r="F35" s="6"/>
      <c r="G35" s="6"/>
      <c r="I35" s="30"/>
      <c r="J35" s="45"/>
      <c r="K35" s="30"/>
      <c r="L35" s="30"/>
      <c r="N35" s="3"/>
      <c r="O35" s="3"/>
      <c r="P35" s="268" t="s">
        <v>199</v>
      </c>
      <c r="Q35" s="270">
        <f>C38/1000</f>
        <v>5.5E-2</v>
      </c>
      <c r="R35" s="30"/>
      <c r="S35" s="30"/>
      <c r="T35" s="31" t="s">
        <v>262</v>
      </c>
    </row>
    <row r="36" spans="1:50" ht="15" thickBot="1" x14ac:dyDescent="0.35">
      <c r="B36" s="26" t="s">
        <v>17</v>
      </c>
      <c r="C36" s="200">
        <v>5</v>
      </c>
      <c r="I36" s="208" t="s">
        <v>345</v>
      </c>
      <c r="J36" s="208"/>
      <c r="K36" s="208"/>
      <c r="L36" s="208"/>
      <c r="N36" s="3"/>
      <c r="O36" s="3"/>
      <c r="P36" s="268" t="s">
        <v>218</v>
      </c>
      <c r="Q36" s="271">
        <f>$Z$12</f>
        <v>4.4249528005034611</v>
      </c>
      <c r="R36" s="30"/>
      <c r="S36" s="30"/>
      <c r="T36" s="31" t="s">
        <v>158</v>
      </c>
      <c r="AI36" s="5"/>
    </row>
    <row r="37" spans="1:50" ht="43.8" thickBot="1" x14ac:dyDescent="0.35">
      <c r="I37" s="193" t="s">
        <v>100</v>
      </c>
      <c r="J37" s="236" t="s">
        <v>294</v>
      </c>
      <c r="K37" s="292" t="s">
        <v>301</v>
      </c>
      <c r="L37" s="263" t="s">
        <v>272</v>
      </c>
      <c r="M37" s="264" t="s">
        <v>273</v>
      </c>
      <c r="P37" s="215"/>
      <c r="Q37" s="213"/>
      <c r="R37" s="213"/>
      <c r="S37" s="213"/>
      <c r="T37" s="216"/>
      <c r="AI37" s="5"/>
    </row>
    <row r="38" spans="1:50" ht="18" x14ac:dyDescent="0.35">
      <c r="A38" s="3" t="s">
        <v>246</v>
      </c>
      <c r="B38" s="17" t="s">
        <v>247</v>
      </c>
      <c r="C38" s="199">
        <v>55</v>
      </c>
      <c r="D38" t="s">
        <v>93</v>
      </c>
      <c r="E38"/>
      <c r="I38" s="248">
        <f>(K38-K40)/(K39-K40)*(I39-I40)+I40</f>
        <v>76.333333333333329</v>
      </c>
      <c r="J38" s="253">
        <f t="shared" ref="J38:J43" si="34">(I38*$Q$29*$R$42+$Q$42)/$Q$29</f>
        <v>96.892103874369454</v>
      </c>
      <c r="K38" s="242">
        <v>0</v>
      </c>
      <c r="L38" s="213"/>
      <c r="M38" s="216"/>
      <c r="P38" s="226" t="s">
        <v>344</v>
      </c>
      <c r="Q38" s="58"/>
      <c r="R38" s="58"/>
      <c r="S38" s="58"/>
      <c r="T38" s="25"/>
      <c r="AI38" s="5"/>
    </row>
    <row r="39" spans="1:50" ht="15" thickBot="1" x14ac:dyDescent="0.35">
      <c r="B39" s="21" t="s">
        <v>248</v>
      </c>
      <c r="C39" s="200">
        <v>18</v>
      </c>
      <c r="D39" t="s">
        <v>93</v>
      </c>
      <c r="E39"/>
      <c r="I39" s="241">
        <v>62</v>
      </c>
      <c r="J39" s="253">
        <f t="shared" si="34"/>
        <v>82.311799665701983</v>
      </c>
      <c r="K39" s="243">
        <v>4.2999999999999997E-2</v>
      </c>
      <c r="L39" s="249"/>
      <c r="M39" s="250"/>
      <c r="P39" s="65" t="s">
        <v>121</v>
      </c>
      <c r="Q39" s="205">
        <f>INDEX(LINEST($Q$5:$Q$12,$E$5:$E$12^{1,2},FALSE,FALSE),3)</f>
        <v>0</v>
      </c>
      <c r="R39" s="205">
        <f>INDEX(LINEST($Q$5:$Q$12,$E$5:$E$12^{1,2},FALSE,FALSE),2)</f>
        <v>14024.385281523566</v>
      </c>
      <c r="S39" s="205">
        <f>INDEX(LINEST($Q$5:$Q$12,$E$5:$E$12^{1,2},FALSE,FALSE),1)</f>
        <v>-41.159701121464188</v>
      </c>
      <c r="T39" s="31" t="s">
        <v>267</v>
      </c>
      <c r="AI39" s="5"/>
    </row>
    <row r="40" spans="1:50" ht="15" thickBot="1" x14ac:dyDescent="0.35">
      <c r="B40" s="30"/>
      <c r="C40" s="201"/>
      <c r="D40"/>
      <c r="E40"/>
      <c r="H40" s="10"/>
      <c r="I40" s="241">
        <v>48</v>
      </c>
      <c r="J40" s="253">
        <f t="shared" si="34"/>
        <v>68.07057229909654</v>
      </c>
      <c r="K40" s="243">
        <v>8.5000000000000006E-2</v>
      </c>
      <c r="L40" s="251">
        <f>$Q$34/K40</f>
        <v>4.4031550005642732E-7</v>
      </c>
      <c r="M40" s="252">
        <f>-L40/$Q$33</f>
        <v>-5.9689169187649285E-7</v>
      </c>
      <c r="N40" s="265" t="s">
        <v>291</v>
      </c>
      <c r="P40" s="65" t="s">
        <v>21</v>
      </c>
      <c r="Q40" s="205">
        <f>INDEX(LINEST($P$4:$P$12,$M$4:$M$12),2)</f>
        <v>-25257.118970513111</v>
      </c>
      <c r="R40" s="67">
        <f>INDEX(LINEST($P$4:$P$12,$M$4:$M$12),1)</f>
        <v>12852.100088730782</v>
      </c>
      <c r="S40" s="30"/>
      <c r="T40" s="31" t="s">
        <v>267</v>
      </c>
      <c r="AI40" s="5"/>
      <c r="AW40" s="151"/>
      <c r="AX40" s="164"/>
    </row>
    <row r="41" spans="1:50" ht="15" thickBot="1" x14ac:dyDescent="0.35">
      <c r="A41" s="10" t="s">
        <v>249</v>
      </c>
      <c r="B41" s="197" t="s">
        <v>250</v>
      </c>
      <c r="C41" s="202">
        <v>1.2250000000000001</v>
      </c>
      <c r="D41" t="s">
        <v>161</v>
      </c>
      <c r="E41" t="s">
        <v>169</v>
      </c>
      <c r="G41" s="6"/>
      <c r="I41" s="241">
        <v>35</v>
      </c>
      <c r="J41" s="253">
        <f t="shared" si="34"/>
        <v>54.846575458677201</v>
      </c>
      <c r="K41" s="243">
        <v>0.17799999999999999</v>
      </c>
      <c r="L41" s="61"/>
      <c r="M41" s="250"/>
      <c r="P41" s="65" t="s">
        <v>122</v>
      </c>
      <c r="Q41" s="205">
        <f>INDEX(LINEST($Q$5:$Q$12,$P$5:$P$12),2)</f>
        <v>-8640.9147442749236</v>
      </c>
      <c r="R41" s="69">
        <f>INDEX(LINEST($Q$5:$Q$12,$P$5:$P$12),1)</f>
        <v>0.98049285255245755</v>
      </c>
      <c r="S41" s="30"/>
      <c r="T41" s="31" t="s">
        <v>267</v>
      </c>
      <c r="AI41" s="5"/>
    </row>
    <row r="42" spans="1:50" ht="15" thickBot="1" x14ac:dyDescent="0.35">
      <c r="C42" s="198"/>
      <c r="D42"/>
      <c r="E42"/>
      <c r="G42" s="6"/>
      <c r="I42" s="241">
        <v>25</v>
      </c>
      <c r="J42" s="253">
        <f t="shared" si="34"/>
        <v>44.674270196816167</v>
      </c>
      <c r="K42" s="243">
        <v>0.22800000000000001</v>
      </c>
      <c r="L42" s="61"/>
      <c r="M42" s="250"/>
      <c r="P42" s="65" t="s">
        <v>123</v>
      </c>
      <c r="Q42" s="205">
        <f>INDEX(LINEST($P$5:$P$12,$Q$5:$Q$12),2)</f>
        <v>8867.4080450289839</v>
      </c>
      <c r="R42" s="69">
        <f>INDEX(LINEST($P$5:$P$12,$Q$5:$Q$12),1)</f>
        <v>1.017230526186103</v>
      </c>
      <c r="S42" s="30"/>
      <c r="T42" s="31" t="s">
        <v>267</v>
      </c>
      <c r="AI42" s="5"/>
    </row>
    <row r="43" spans="1:50" ht="15" thickBot="1" x14ac:dyDescent="0.35">
      <c r="A43" s="188" t="s">
        <v>251</v>
      </c>
      <c r="B43" s="193" t="s">
        <v>252</v>
      </c>
      <c r="C43" s="199">
        <v>0</v>
      </c>
      <c r="D43" s="30" t="s">
        <v>258</v>
      </c>
      <c r="E43"/>
      <c r="F43" s="6"/>
      <c r="I43" s="254">
        <f>(K43-K41)/(K42-K41)*(I42-I41)+I41</f>
        <v>-29.399999999999977</v>
      </c>
      <c r="J43" s="257">
        <f t="shared" si="34"/>
        <v>-10.663070427707812</v>
      </c>
      <c r="K43" s="246">
        <v>0.5</v>
      </c>
      <c r="L43" s="255"/>
      <c r="M43" s="256"/>
      <c r="P43" s="65" t="s">
        <v>180</v>
      </c>
      <c r="Q43" s="206">
        <f>AG8</f>
        <v>-1.0170679634925057</v>
      </c>
      <c r="R43" s="30"/>
      <c r="S43" s="30"/>
      <c r="T43" s="31" t="s">
        <v>261</v>
      </c>
      <c r="U43" s="5"/>
      <c r="AI43" s="5"/>
      <c r="AJ43" s="5"/>
      <c r="AK43" s="151"/>
    </row>
    <row r="44" spans="1:50" x14ac:dyDescent="0.3">
      <c r="A44" s="30"/>
      <c r="B44" s="57" t="s">
        <v>253</v>
      </c>
      <c r="C44" s="203">
        <v>5</v>
      </c>
      <c r="D44" s="45" t="s">
        <v>258</v>
      </c>
      <c r="E44"/>
      <c r="F44" s="6"/>
      <c r="P44" s="65" t="s">
        <v>182</v>
      </c>
      <c r="Q44" s="207">
        <f>AF8</f>
        <v>2.748668362356153</v>
      </c>
      <c r="R44" s="30"/>
      <c r="S44" s="30"/>
      <c r="T44" s="31" t="s">
        <v>261</v>
      </c>
      <c r="AI44" s="5"/>
      <c r="AJ44" s="5"/>
      <c r="AK44" s="151"/>
      <c r="AX44" s="164"/>
    </row>
    <row r="45" spans="1:50" ht="15" thickBot="1" x14ac:dyDescent="0.35">
      <c r="A45" s="188"/>
      <c r="B45" s="57" t="s">
        <v>252</v>
      </c>
      <c r="C45" s="203">
        <v>0</v>
      </c>
      <c r="D45" s="45" t="s">
        <v>254</v>
      </c>
      <c r="E45"/>
      <c r="H45" s="6"/>
      <c r="I45" s="6"/>
      <c r="J45" s="6"/>
      <c r="K45" s="9"/>
      <c r="L45" s="6"/>
      <c r="M45" s="6"/>
      <c r="N45" s="10"/>
      <c r="O45" s="10"/>
      <c r="P45" s="218" t="s">
        <v>211</v>
      </c>
      <c r="Q45" s="219">
        <v>6</v>
      </c>
      <c r="R45" s="32"/>
      <c r="S45" s="32"/>
      <c r="T45" s="33" t="s">
        <v>263</v>
      </c>
      <c r="W45" s="45"/>
      <c r="X45" s="195"/>
      <c r="Y45" s="45"/>
      <c r="AI45" s="5"/>
      <c r="AJ45" s="5"/>
      <c r="AK45" s="151"/>
    </row>
    <row r="46" spans="1:50" ht="15" thickBot="1" x14ac:dyDescent="0.35">
      <c r="A46" s="188"/>
      <c r="B46" s="131" t="s">
        <v>253</v>
      </c>
      <c r="C46" s="200">
        <v>180</v>
      </c>
      <c r="D46" s="45" t="s">
        <v>254</v>
      </c>
      <c r="E46"/>
      <c r="H46" s="6"/>
      <c r="I46" s="212" t="s">
        <v>92</v>
      </c>
      <c r="J46" s="211">
        <f>INDEX(LINEST($Y$3:$Y$12,$P$3:$P$12^{1,2}),3)</f>
        <v>3.2069164097329496E-4</v>
      </c>
      <c r="K46" s="180">
        <f>INDEX(LINEST($Y$3:$Y$12,$P$3:$P$12^{1,2}),2)</f>
        <v>-1.3992644771638302E-7</v>
      </c>
      <c r="L46" s="180">
        <f>INDEX(LINEST($Y$3:$Y$12,$P$3:$P$12^{1,2}),1)</f>
        <v>1.6653925975878835E-11</v>
      </c>
      <c r="M46" s="44" t="s">
        <v>268</v>
      </c>
      <c r="N46" s="10"/>
      <c r="O46" s="10"/>
      <c r="U46" s="10"/>
      <c r="V46" s="3"/>
      <c r="W46" s="45"/>
      <c r="X46" s="61"/>
      <c r="Y46" s="45"/>
      <c r="AX46" s="164"/>
    </row>
    <row r="47" spans="1:50" ht="15" thickBot="1" x14ac:dyDescent="0.35">
      <c r="Q47" s="61"/>
      <c r="R47" s="213"/>
      <c r="T47" s="213"/>
      <c r="U47" s="188"/>
      <c r="V47" s="30"/>
    </row>
    <row r="48" spans="1:50" ht="15" thickBot="1" x14ac:dyDescent="0.35">
      <c r="A48" s="3" t="s">
        <v>244</v>
      </c>
      <c r="B48" s="209">
        <v>1.25</v>
      </c>
      <c r="C48" s="45" t="s">
        <v>245</v>
      </c>
      <c r="D48" s="5"/>
      <c r="E48" s="192">
        <f>C29</f>
        <v>240</v>
      </c>
      <c r="F48" s="192" t="s">
        <v>156</v>
      </c>
      <c r="I48" s="176" t="s">
        <v>283</v>
      </c>
      <c r="M48" s="237" t="s">
        <v>282</v>
      </c>
      <c r="N48" s="142"/>
      <c r="Q48" s="61"/>
      <c r="R48" s="213"/>
      <c r="T48" s="213"/>
      <c r="U48" s="188"/>
      <c r="V48" s="30"/>
      <c r="W48" s="194"/>
      <c r="X48" s="45"/>
      <c r="Y48" s="45"/>
    </row>
    <row r="49" spans="8:45" x14ac:dyDescent="0.3">
      <c r="I49" s="238" t="s">
        <v>277</v>
      </c>
      <c r="J49" s="236" t="s">
        <v>100</v>
      </c>
      <c r="K49" s="239" t="s">
        <v>278</v>
      </c>
      <c r="L49" s="239" t="s">
        <v>279</v>
      </c>
      <c r="M49" s="239" t="s">
        <v>280</v>
      </c>
      <c r="N49" s="240" t="s">
        <v>281</v>
      </c>
      <c r="P49" s="235" t="s">
        <v>286</v>
      </c>
      <c r="Q49" s="260">
        <v>0</v>
      </c>
      <c r="R49" s="258">
        <f ca="1">J54</f>
        <v>1.8000000000000256</v>
      </c>
      <c r="S49" s="258">
        <f ca="1">J53</f>
        <v>33.6</v>
      </c>
      <c r="T49" s="258">
        <f ca="1">J52</f>
        <v>48.000000000000007</v>
      </c>
      <c r="U49" s="259">
        <f ca="1">J51</f>
        <v>69.666666666666657</v>
      </c>
      <c r="V49" s="261">
        <v>80</v>
      </c>
      <c r="W49" s="45"/>
      <c r="X49" s="45"/>
      <c r="Y49" s="45"/>
    </row>
    <row r="50" spans="8:45" x14ac:dyDescent="0.3">
      <c r="I50" s="241">
        <v>0</v>
      </c>
      <c r="J50" s="253">
        <f t="shared" ref="J50:J55" ca="1" si="35">FORECAST(I50,OFFSET(MeasNt,MATCH(I50,MeasTauT,1)-1,0,2),OFFSET(MeasTauT,MATCH(I50,MeasTauT,1)-1,0,2))</f>
        <v>76.333333333333329</v>
      </c>
      <c r="K50" s="58">
        <v>0.2</v>
      </c>
      <c r="L50" s="58">
        <v>4.4000000000000004</v>
      </c>
      <c r="M50" s="58">
        <v>0.09</v>
      </c>
      <c r="N50" s="25">
        <v>5</v>
      </c>
      <c r="P50" s="273" t="s">
        <v>278</v>
      </c>
      <c r="Q50" s="274">
        <f>K55</f>
        <v>0.47499999999999998</v>
      </c>
      <c r="R50" s="274">
        <f>K54</f>
        <v>0.47499999999999998</v>
      </c>
      <c r="S50" s="274">
        <f>K53</f>
        <v>0.32500000000000001</v>
      </c>
      <c r="T50" s="274">
        <f>K52</f>
        <v>0.22500000000000001</v>
      </c>
      <c r="U50" s="275">
        <f>K51</f>
        <v>0.2</v>
      </c>
      <c r="V50" s="276">
        <f>K50</f>
        <v>0.2</v>
      </c>
      <c r="W50" s="45" t="s">
        <v>287</v>
      </c>
      <c r="X50" s="45"/>
      <c r="Y50" s="45"/>
      <c r="AJ50" s="104"/>
      <c r="AR50" s="3"/>
    </row>
    <row r="51" spans="8:45" x14ac:dyDescent="0.3">
      <c r="I51" s="241">
        <v>0.02</v>
      </c>
      <c r="J51" s="253">
        <f t="shared" ca="1" si="35"/>
        <v>69.666666666666657</v>
      </c>
      <c r="K51" s="58">
        <v>0.2</v>
      </c>
      <c r="L51" s="58">
        <v>3.75</v>
      </c>
      <c r="M51" s="58">
        <v>0.09</v>
      </c>
      <c r="N51" s="25">
        <v>5</v>
      </c>
      <c r="P51" s="273" t="s">
        <v>279</v>
      </c>
      <c r="Q51" s="277">
        <f>L55</f>
        <v>2.4</v>
      </c>
      <c r="R51" s="277">
        <f>L54</f>
        <v>2.4</v>
      </c>
      <c r="S51" s="277">
        <f>L53</f>
        <v>2.7</v>
      </c>
      <c r="T51" s="277">
        <f>L52</f>
        <v>3.2</v>
      </c>
      <c r="U51" s="278">
        <f>L51</f>
        <v>3.75</v>
      </c>
      <c r="V51" s="279">
        <f>L50</f>
        <v>4.4000000000000004</v>
      </c>
      <c r="W51" s="45"/>
      <c r="X51" s="45"/>
      <c r="Y51" s="45"/>
      <c r="AS51" s="3"/>
    </row>
    <row r="52" spans="8:45" x14ac:dyDescent="0.3">
      <c r="I52" s="241">
        <v>8.5000000000000006E-2</v>
      </c>
      <c r="J52" s="253">
        <f t="shared" ca="1" si="35"/>
        <v>48.000000000000007</v>
      </c>
      <c r="K52" s="58">
        <v>0.22500000000000001</v>
      </c>
      <c r="L52" s="58">
        <v>3.2</v>
      </c>
      <c r="M52" s="243">
        <v>0.125</v>
      </c>
      <c r="N52" s="244">
        <v>4.05</v>
      </c>
      <c r="P52" s="273" t="s">
        <v>284</v>
      </c>
      <c r="Q52" s="280">
        <v>0.15</v>
      </c>
      <c r="R52" s="280"/>
      <c r="S52" s="280"/>
      <c r="T52" s="280"/>
      <c r="U52" s="281"/>
      <c r="V52" s="282"/>
      <c r="W52" s="45"/>
      <c r="X52" s="45"/>
      <c r="Y52" s="45"/>
    </row>
    <row r="53" spans="8:45" x14ac:dyDescent="0.3">
      <c r="I53" s="241">
        <v>0.185</v>
      </c>
      <c r="J53" s="253">
        <f t="shared" ca="1" si="35"/>
        <v>33.6</v>
      </c>
      <c r="K53" s="58">
        <v>0.32500000000000001</v>
      </c>
      <c r="L53" s="58">
        <v>2.7</v>
      </c>
      <c r="M53" s="58">
        <v>0.24</v>
      </c>
      <c r="N53" s="25">
        <v>3.75</v>
      </c>
      <c r="P53" s="273" t="s">
        <v>285</v>
      </c>
      <c r="Q53" s="280">
        <v>0.03</v>
      </c>
      <c r="R53" s="280"/>
      <c r="S53" s="280"/>
      <c r="T53" s="280"/>
      <c r="U53" s="281"/>
      <c r="V53" s="282"/>
      <c r="W53" s="45"/>
      <c r="X53" s="196"/>
      <c r="Y53" s="45"/>
    </row>
    <row r="54" spans="8:45" x14ac:dyDescent="0.3">
      <c r="I54" s="241">
        <v>0.34399999999999997</v>
      </c>
      <c r="J54" s="253">
        <f t="shared" ca="1" si="35"/>
        <v>1.8000000000000256</v>
      </c>
      <c r="K54" s="58">
        <v>0.47499999999999998</v>
      </c>
      <c r="L54" s="58">
        <v>2.4</v>
      </c>
      <c r="M54" s="58">
        <v>0.42</v>
      </c>
      <c r="N54" s="25">
        <v>3.6</v>
      </c>
      <c r="P54" s="273" t="s">
        <v>280</v>
      </c>
      <c r="Q54" s="274">
        <f>M55</f>
        <v>0.42</v>
      </c>
      <c r="R54" s="274">
        <f>M54</f>
        <v>0.42</v>
      </c>
      <c r="S54" s="274">
        <f>M53</f>
        <v>0.24</v>
      </c>
      <c r="T54" s="274">
        <f>M52</f>
        <v>0.125</v>
      </c>
      <c r="U54" s="275">
        <f>M51</f>
        <v>0.09</v>
      </c>
      <c r="V54" s="276">
        <f>M50</f>
        <v>0.09</v>
      </c>
      <c r="W54" s="45" t="s">
        <v>288</v>
      </c>
      <c r="X54" s="196"/>
      <c r="Y54" s="45"/>
    </row>
    <row r="55" spans="8:45" ht="15" thickBot="1" x14ac:dyDescent="0.35">
      <c r="I55" s="245">
        <v>0.5</v>
      </c>
      <c r="J55" s="257">
        <f t="shared" ca="1" si="35"/>
        <v>-29.399999999999977</v>
      </c>
      <c r="K55" s="247">
        <v>0.47499999999999998</v>
      </c>
      <c r="L55" s="247">
        <v>2.4</v>
      </c>
      <c r="M55" s="247">
        <v>0.42</v>
      </c>
      <c r="N55" s="27">
        <v>3.6</v>
      </c>
      <c r="P55" s="283" t="s">
        <v>281</v>
      </c>
      <c r="Q55" s="284">
        <f>N55</f>
        <v>3.6</v>
      </c>
      <c r="R55" s="284">
        <f>N54</f>
        <v>3.6</v>
      </c>
      <c r="S55" s="284">
        <f>N53</f>
        <v>3.75</v>
      </c>
      <c r="T55" s="284">
        <f>N52</f>
        <v>4.05</v>
      </c>
      <c r="U55" s="285">
        <f>N51</f>
        <v>5</v>
      </c>
      <c r="V55" s="286">
        <f>N50</f>
        <v>5</v>
      </c>
      <c r="W55" s="45"/>
      <c r="X55" s="196"/>
      <c r="Y55" s="45"/>
    </row>
    <row r="56" spans="8:45" x14ac:dyDescent="0.3">
      <c r="V56" s="45"/>
      <c r="W56" s="45"/>
      <c r="X56" s="196"/>
      <c r="Y56" s="45"/>
    </row>
    <row r="57" spans="8:45" x14ac:dyDescent="0.3">
      <c r="W57" s="45"/>
      <c r="X57" s="196"/>
      <c r="Y57" s="45"/>
    </row>
    <row r="58" spans="8:45" x14ac:dyDescent="0.3">
      <c r="W58" s="45"/>
      <c r="X58" s="149"/>
      <c r="Y58" s="45"/>
    </row>
    <row r="59" spans="8:45" x14ac:dyDescent="0.3">
      <c r="W59" s="45"/>
      <c r="X59" s="149"/>
      <c r="Y59" s="45"/>
    </row>
    <row r="60" spans="8:45" x14ac:dyDescent="0.3">
      <c r="W60" s="45"/>
      <c r="X60" s="149"/>
      <c r="Y60" s="45"/>
    </row>
    <row r="61" spans="8:45" x14ac:dyDescent="0.3">
      <c r="H61" s="176"/>
    </row>
    <row r="63" spans="8:45" x14ac:dyDescent="0.3">
      <c r="V63" s="45"/>
      <c r="W63" s="45"/>
      <c r="X63" s="45"/>
      <c r="Y63" s="45"/>
      <c r="Z63" s="45"/>
      <c r="AA63" s="45"/>
      <c r="AB63" s="45"/>
      <c r="AC63" s="45"/>
      <c r="AD63" s="45"/>
      <c r="AG63" s="45"/>
      <c r="AH63" s="149"/>
    </row>
    <row r="64" spans="8:45" x14ac:dyDescent="0.3">
      <c r="V64" s="45"/>
      <c r="W64" s="45"/>
      <c r="X64" s="45"/>
      <c r="Y64" s="45"/>
      <c r="Z64" s="45"/>
      <c r="AA64" s="45"/>
      <c r="AB64" s="45"/>
      <c r="AC64" s="45"/>
      <c r="AD64" s="45"/>
      <c r="AG64" s="45"/>
      <c r="AH64" s="149"/>
    </row>
    <row r="65" spans="1:36" x14ac:dyDescent="0.3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3">
      <c r="V66" s="45"/>
      <c r="W66" s="45"/>
      <c r="X66" s="45"/>
      <c r="Y66" s="45"/>
      <c r="Z66" s="45"/>
      <c r="AA66" s="45"/>
      <c r="AB66" s="45"/>
      <c r="AC66" s="45"/>
      <c r="AD66" s="45"/>
    </row>
    <row r="67" spans="1:36" x14ac:dyDescent="0.3">
      <c r="A67" s="45"/>
      <c r="B67" s="45"/>
      <c r="C67" s="45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</row>
    <row r="68" spans="1:36" x14ac:dyDescent="0.3">
      <c r="A68" s="45"/>
      <c r="B68" s="45"/>
      <c r="C68" s="45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</row>
    <row r="69" spans="1:36" x14ac:dyDescent="0.3">
      <c r="A69" s="45"/>
      <c r="B69" s="45"/>
      <c r="C69" s="45"/>
      <c r="D69" s="61"/>
      <c r="E69" s="61"/>
      <c r="F69" s="61"/>
      <c r="G69" s="61"/>
      <c r="H69" s="61"/>
      <c r="I69" s="190"/>
      <c r="J69" s="61"/>
      <c r="K69" s="187"/>
      <c r="L69" s="61"/>
      <c r="M69" s="61"/>
      <c r="N69" s="188"/>
      <c r="O69" s="188"/>
      <c r="P69" s="188"/>
      <c r="Q69" s="188"/>
      <c r="R69" s="188"/>
      <c r="S69" s="188"/>
      <c r="T69" s="188"/>
      <c r="U69" s="189"/>
      <c r="V69" s="189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3">
      <c r="A70" s="45"/>
      <c r="B70" s="45"/>
      <c r="C70" s="45"/>
      <c r="D70" s="61"/>
      <c r="E70" s="61"/>
      <c r="F70" s="61"/>
      <c r="G70" s="61"/>
      <c r="H70" s="61"/>
      <c r="I70" s="190"/>
      <c r="J70" s="61"/>
      <c r="K70" s="187"/>
      <c r="L70" s="61"/>
      <c r="M70" s="61"/>
      <c r="N70" s="188"/>
      <c r="O70" s="188"/>
      <c r="P70" s="188"/>
      <c r="Q70" s="188"/>
      <c r="R70" s="188"/>
      <c r="S70" s="188"/>
      <c r="T70" s="188"/>
      <c r="U70" s="189"/>
      <c r="V70" s="189"/>
      <c r="W70" s="104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3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3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45"/>
      <c r="X72" s="45"/>
      <c r="Y72" s="45"/>
      <c r="Z72" s="45"/>
      <c r="AA72" s="149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3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149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3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3">
      <c r="A75" s="45"/>
      <c r="B75" s="45"/>
      <c r="C75" s="45"/>
      <c r="D75" s="61"/>
      <c r="E75" s="61"/>
      <c r="F75" s="61"/>
      <c r="G75" s="61"/>
      <c r="H75" s="61"/>
      <c r="I75" s="61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186"/>
      <c r="Y75" s="186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3">
      <c r="V76" s="45"/>
      <c r="W76" s="45"/>
      <c r="X76" s="45"/>
      <c r="Y76" s="45"/>
      <c r="Z76" s="45"/>
      <c r="AA76" s="45"/>
      <c r="AB76" s="45"/>
      <c r="AC76" s="45"/>
      <c r="AD76" s="45"/>
    </row>
    <row r="91" spans="1:36" x14ac:dyDescent="0.3">
      <c r="A91" s="45"/>
      <c r="B91" s="45"/>
      <c r="C91" s="45"/>
      <c r="D91" s="61"/>
      <c r="E91" s="61"/>
      <c r="F91" s="61"/>
      <c r="G91" s="61"/>
      <c r="H91" s="61"/>
      <c r="I91" s="61"/>
      <c r="J91" s="61"/>
      <c r="K91" s="187"/>
      <c r="L91" s="61"/>
      <c r="M91" s="61"/>
      <c r="N91" s="188"/>
      <c r="O91" s="188"/>
      <c r="P91" s="188"/>
      <c r="Q91" s="188"/>
      <c r="R91" s="188"/>
      <c r="S91" s="188"/>
      <c r="T91" s="188"/>
      <c r="U91" s="189"/>
      <c r="V91" s="189"/>
      <c r="W91" s="45"/>
      <c r="X91" s="186"/>
      <c r="Y91" s="186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</row>
    <row r="92" spans="1:36" x14ac:dyDescent="0.3">
      <c r="A92" s="45"/>
      <c r="B92" s="45"/>
      <c r="C92" s="45"/>
      <c r="D92" s="61"/>
      <c r="E92" s="61"/>
      <c r="F92" s="61"/>
      <c r="G92" s="61"/>
      <c r="H92" s="61"/>
      <c r="I92" s="61"/>
      <c r="J92" s="61"/>
      <c r="K92" s="187"/>
      <c r="L92" s="61"/>
      <c r="M92" s="61"/>
      <c r="N92" s="188"/>
      <c r="O92" s="188"/>
      <c r="P92" s="188"/>
      <c r="Q92" s="188"/>
      <c r="R92" s="188"/>
      <c r="S92" s="188"/>
      <c r="T92" s="188"/>
      <c r="U92" s="189"/>
      <c r="V92" s="189"/>
      <c r="W92" s="45"/>
      <c r="X92" s="186"/>
      <c r="Y92" s="186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</row>
    <row r="93" spans="1:36" x14ac:dyDescent="0.3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3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3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3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3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3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3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3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3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3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3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3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3">
      <c r="A105" s="45"/>
      <c r="B105" s="45"/>
      <c r="C105" s="45"/>
      <c r="D105" s="61"/>
      <c r="E105" s="61"/>
      <c r="F105" s="61"/>
      <c r="G105" s="61"/>
      <c r="H105" s="61"/>
      <c r="I105" s="190"/>
      <c r="J105" s="61"/>
      <c r="K105" s="187"/>
      <c r="L105" s="61"/>
      <c r="M105" s="61"/>
      <c r="N105" s="188"/>
      <c r="O105" s="188"/>
      <c r="P105" s="188"/>
      <c r="Q105" s="188"/>
      <c r="R105" s="188"/>
      <c r="S105" s="188"/>
      <c r="T105" s="188"/>
      <c r="U105" s="189"/>
      <c r="V105" s="189"/>
      <c r="W105" s="45"/>
      <c r="X105" s="186"/>
      <c r="Y105" s="186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3">
      <c r="A106" s="45"/>
      <c r="B106" s="45"/>
      <c r="C106" s="45"/>
      <c r="D106" s="61"/>
      <c r="E106" s="61"/>
      <c r="F106" s="61"/>
      <c r="G106" s="61"/>
      <c r="H106" s="61"/>
      <c r="I106" s="190"/>
      <c r="J106" s="61"/>
      <c r="K106" s="187"/>
      <c r="L106" s="61"/>
      <c r="M106" s="61"/>
      <c r="N106" s="188"/>
      <c r="O106" s="188"/>
      <c r="P106" s="188"/>
      <c r="Q106" s="188"/>
      <c r="R106" s="188"/>
      <c r="S106" s="188"/>
      <c r="T106" s="188"/>
      <c r="U106" s="189"/>
      <c r="V106" s="189"/>
      <c r="W106" s="45"/>
      <c r="X106" s="186"/>
      <c r="Y106" s="186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3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3">
      <c r="A108" s="45"/>
      <c r="B108" s="45"/>
      <c r="C108" s="45"/>
      <c r="D108" s="61"/>
      <c r="E108" s="61"/>
      <c r="F108" s="61"/>
      <c r="G108" s="61"/>
      <c r="H108" s="61"/>
      <c r="I108" s="61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3">
      <c r="A109" s="45"/>
      <c r="B109" s="45"/>
      <c r="C109" s="45"/>
      <c r="D109" s="61"/>
      <c r="E109" s="61"/>
      <c r="F109" s="61"/>
      <c r="G109" s="61"/>
      <c r="H109" s="61"/>
      <c r="I109" s="61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3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3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3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3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3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3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3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3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3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3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3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45"/>
      <c r="V120" s="45"/>
      <c r="W120" s="45"/>
      <c r="X120" s="186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3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45"/>
      <c r="V121" s="45"/>
      <c r="W121" s="45"/>
      <c r="X121" s="186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3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3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25"/>
  <sheetViews>
    <sheetView topLeftCell="B2" zoomScale="80" zoomScaleNormal="80" workbookViewId="0">
      <selection activeCell="Q20" sqref="Q20"/>
    </sheetView>
  </sheetViews>
  <sheetFormatPr defaultRowHeight="14.4" x14ac:dyDescent="0.3"/>
  <cols>
    <col min="1" max="1" width="15.33203125" customWidth="1"/>
    <col min="3" max="3" width="9" customWidth="1"/>
    <col min="4" max="4" width="10.88671875" style="1" customWidth="1"/>
    <col min="5" max="5" width="6.44140625" style="1" customWidth="1"/>
    <col min="6" max="7" width="6.33203125" style="1" customWidth="1"/>
    <col min="8" max="8" width="9.109375" style="1" bestFit="1" customWidth="1"/>
    <col min="9" max="9" width="8.5546875" style="1" bestFit="1" customWidth="1"/>
    <col min="10" max="10" width="12.33203125" style="1" customWidth="1"/>
    <col min="11" max="11" width="12" style="1" customWidth="1"/>
    <col min="12" max="12" width="8.44140625" style="1" customWidth="1"/>
    <col min="13" max="13" width="11" style="1" customWidth="1"/>
    <col min="14" max="14" width="6.6640625" style="1" customWidth="1"/>
    <col min="15" max="15" width="7.88671875" style="1" customWidth="1"/>
    <col min="16" max="16" width="11.5546875" style="1" customWidth="1"/>
    <col min="17" max="17" width="12.88671875" style="1" customWidth="1"/>
    <col min="18" max="18" width="8.33203125" style="1" customWidth="1"/>
    <col min="19" max="19" width="7.6640625" style="1" customWidth="1"/>
    <col min="20" max="20" width="10.6640625" style="1" customWidth="1"/>
    <col min="21" max="21" width="7.6640625" customWidth="1"/>
    <col min="22" max="22" width="9.6640625" customWidth="1"/>
    <col min="24" max="24" width="9.88671875" bestFit="1" customWidth="1"/>
    <col min="25" max="25" width="10.6640625" customWidth="1"/>
    <col min="26" max="26" width="8.6640625" customWidth="1"/>
    <col min="27" max="27" width="7.33203125" customWidth="1"/>
    <col min="28" max="28" width="9.88671875" customWidth="1"/>
    <col min="29" max="29" width="9.109375" customWidth="1"/>
    <col min="30" max="30" width="8.44140625" customWidth="1"/>
    <col min="31" max="31" width="7.44140625" customWidth="1"/>
    <col min="32" max="32" width="10" customWidth="1"/>
    <col min="33" max="33" width="10.6640625" customWidth="1"/>
    <col min="34" max="34" width="9.6640625" customWidth="1"/>
    <col min="35" max="36" width="11.5546875" customWidth="1"/>
    <col min="37" max="37" width="8.6640625" customWidth="1"/>
    <col min="38" max="38" width="11.5546875" bestFit="1" customWidth="1"/>
    <col min="39" max="39" width="9.6640625" customWidth="1"/>
    <col min="44" max="44" width="11.33203125" customWidth="1"/>
    <col min="45" max="45" width="12.109375" customWidth="1"/>
    <col min="46" max="46" width="13.109375" bestFit="1" customWidth="1"/>
    <col min="47" max="47" width="12" bestFit="1" customWidth="1"/>
    <col min="48" max="48" width="10.44140625" bestFit="1" customWidth="1"/>
    <col min="49" max="49" width="10.33203125" customWidth="1"/>
    <col min="50" max="50" width="9.33203125" bestFit="1" customWidth="1"/>
    <col min="51" max="51" width="10.33203125" bestFit="1" customWidth="1"/>
    <col min="52" max="52" width="9.44140625" bestFit="1" customWidth="1"/>
    <col min="53" max="53" width="7.33203125" customWidth="1"/>
    <col min="54" max="54" width="16.88671875" bestFit="1" customWidth="1"/>
    <col min="55" max="57" width="13.44140625" bestFit="1" customWidth="1"/>
    <col min="58" max="58" width="14.33203125" bestFit="1" customWidth="1"/>
    <col min="59" max="59" width="13.88671875" bestFit="1" customWidth="1"/>
    <col min="60" max="60" width="14.33203125" bestFit="1" customWidth="1"/>
    <col min="61" max="61" width="13.88671875" bestFit="1" customWidth="1"/>
    <col min="62" max="62" width="13.44140625" bestFit="1" customWidth="1"/>
    <col min="63" max="64" width="13.88671875" bestFit="1" customWidth="1"/>
    <col min="65" max="65" width="13.44140625" bestFit="1" customWidth="1"/>
  </cols>
  <sheetData>
    <row r="1" spans="1:51" ht="86.4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4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x14ac:dyDescent="0.3">
      <c r="A2" t="s">
        <v>222</v>
      </c>
      <c r="B2" t="s">
        <v>201</v>
      </c>
      <c r="C2" s="220">
        <f t="shared" ref="C2:C14" si="1">D2/180+1</f>
        <v>1.0484842824146261</v>
      </c>
      <c r="D2" s="262">
        <f>EXP((0-$Q$42)/$R$42)</f>
        <v>8.7271708346327035</v>
      </c>
      <c r="E2" s="109">
        <v>3.3E-3</v>
      </c>
      <c r="F2" s="109">
        <v>12.19</v>
      </c>
      <c r="G2" s="109">
        <v>0.14199999999999999</v>
      </c>
      <c r="H2" s="148">
        <v>1.0000000000000001E+32</v>
      </c>
      <c r="I2" s="191">
        <v>1.0000000000000001E+32</v>
      </c>
      <c r="J2" s="189"/>
      <c r="K2" s="2">
        <f t="shared" ref="K2:K14" si="2">F2*G2</f>
        <v>1.7309799999999997</v>
      </c>
      <c r="L2" s="229">
        <f t="shared" ref="L2:L14" si="3">D2</f>
        <v>8.7271708346327035</v>
      </c>
      <c r="M2" s="234">
        <f t="shared" ref="M2:M14" si="4">LN(L2)</f>
        <v>2.1664412434029741</v>
      </c>
      <c r="N2" s="3">
        <f t="shared" ref="N2:O14" si="5">1/H2/0.000001</f>
        <v>9.999999999999999E-27</v>
      </c>
      <c r="O2" s="3">
        <f t="shared" si="5"/>
        <v>9.999999999999999E-27</v>
      </c>
      <c r="P2" s="3">
        <f t="shared" ref="P2:Q14" si="6">N2*60/$C$26</f>
        <v>5.9999999999999995E-25</v>
      </c>
      <c r="Q2" s="4">
        <v>0</v>
      </c>
      <c r="R2" s="3">
        <f t="shared" ref="R2:S14" si="7">P2/$Q$31</f>
        <v>1.3020833333333332E-27</v>
      </c>
      <c r="S2" s="3">
        <f t="shared" si="7"/>
        <v>0</v>
      </c>
      <c r="T2" s="3">
        <f t="shared" ref="T2:T14" si="8">L2</f>
        <v>8.7271708346327035</v>
      </c>
      <c r="U2" s="158">
        <f t="shared" si="0"/>
        <v>1.7309799999999997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3" si="9">$Q$38*(P2/$Q$31/100)^3</f>
        <v>9.76843480821773E-87</v>
      </c>
      <c r="AA2" s="229">
        <f t="shared" ref="AA2:AA14" si="10">SQRT(Z2^3/4/$Q$28/$Q$34)</f>
        <v>9.469612348787209E-129</v>
      </c>
      <c r="AB2" s="1"/>
      <c r="AC2" s="158">
        <f t="shared" ref="AC2:AC14" si="11">SQRT(Z2/$Q$34/$Q$28)</f>
        <v>1.9388187636407961E-42</v>
      </c>
      <c r="AD2" s="175">
        <f t="shared" ref="AD2:AD13" si="12">AC2*1/1.6/1000*3600</f>
        <v>4.3623422181917907E-42</v>
      </c>
      <c r="AE2" s="4">
        <f t="shared" ref="AE2:AE14" si="13">Q2/60*PI()*$C$40/1000</f>
        <v>0</v>
      </c>
      <c r="AF2" s="158">
        <f>AE2/AC2</f>
        <v>0</v>
      </c>
      <c r="AH2" s="228">
        <f t="shared" ref="AH2:AH14" si="14">D2/$Q$32*$Q$24</f>
        <v>0.24242141207313064</v>
      </c>
      <c r="AI2" s="228">
        <f t="shared" ref="AI2:AI14" si="15">AH2/$Q$24*$Q$32</f>
        <v>8.7271708346327035</v>
      </c>
      <c r="AJ2" s="229">
        <f t="shared" ref="AJ2:AJ14" si="16">MAX(($Q$42+$R$42*LN($AI2)),0)</f>
        <v>3.637978807091713E-12</v>
      </c>
      <c r="AK2" s="229">
        <f t="shared" ref="AK2:AK14" si="17">MAX(($Q$42+$R$42*LN(AI2))/$Q$31,0)</f>
        <v>7.8949192862233357E-15</v>
      </c>
      <c r="AL2" s="229">
        <f t="shared" ref="AL2:AL14" si="18">($Q$43+$R$43*AK2*$Q$31)/$Q$31</f>
        <v>-15.642895125478793</v>
      </c>
      <c r="AM2" s="229">
        <f t="shared" ref="AM2:AM14" si="19">($Q$44+$R$44*AL2*$Q$31)/$Q$31</f>
        <v>7.8112427403221024E-2</v>
      </c>
      <c r="AN2" s="1"/>
      <c r="AO2" s="1">
        <f t="shared" ref="AO2:AO14" si="20">MAX($Q$43+$R$43*AJ2, 0)</f>
        <v>0</v>
      </c>
      <c r="AP2" s="227"/>
      <c r="AQ2" s="227"/>
      <c r="AR2" s="227"/>
      <c r="AS2" s="1"/>
      <c r="AT2" s="227"/>
      <c r="AU2" s="1"/>
    </row>
    <row r="3" spans="1:51" ht="15" customHeight="1" x14ac:dyDescent="0.3">
      <c r="A3" t="s">
        <v>223</v>
      </c>
      <c r="B3" t="s">
        <v>201</v>
      </c>
      <c r="C3" s="220">
        <f t="shared" si="1"/>
        <v>1.0777777777777777</v>
      </c>
      <c r="D3" s="73">
        <v>14</v>
      </c>
      <c r="E3" s="109">
        <v>4.4000000000000003E-3</v>
      </c>
      <c r="F3" s="73">
        <v>12.17</v>
      </c>
      <c r="G3" s="106">
        <v>0.47</v>
      </c>
      <c r="H3" s="73">
        <v>6440</v>
      </c>
      <c r="I3" s="191">
        <v>1.0000000000000001E+32</v>
      </c>
      <c r="J3" s="61"/>
      <c r="K3" s="2">
        <f t="shared" si="2"/>
        <v>5.7199</v>
      </c>
      <c r="L3" s="1">
        <f t="shared" si="3"/>
        <v>14</v>
      </c>
      <c r="M3" s="234">
        <f t="shared" si="4"/>
        <v>2.6390573296152584</v>
      </c>
      <c r="N3" s="3">
        <f t="shared" si="5"/>
        <v>155.27950310559007</v>
      </c>
      <c r="O3" s="3">
        <f t="shared" si="5"/>
        <v>9.999999999999999E-27</v>
      </c>
      <c r="P3" s="3">
        <f t="shared" si="6"/>
        <v>9316.7701863354032</v>
      </c>
      <c r="Q3" s="3">
        <f t="shared" si="6"/>
        <v>5.9999999999999995E-25</v>
      </c>
      <c r="R3" s="3">
        <f t="shared" si="7"/>
        <v>20.218685300207039</v>
      </c>
      <c r="S3" s="3">
        <f t="shared" si="7"/>
        <v>1.3020833333333332E-27</v>
      </c>
      <c r="T3" s="3">
        <f>L3</f>
        <v>14</v>
      </c>
      <c r="U3" s="158">
        <f>K3</f>
        <v>5.7199</v>
      </c>
      <c r="V3" s="1">
        <f t="shared" ref="V3:V14" si="21">($U3-$U$2)</f>
        <v>3.9889200000000002</v>
      </c>
      <c r="W3" s="234">
        <f t="shared" ref="W3:W14" si="22">($U3-$U$2)*0.001341022</f>
        <v>5.349229476240001E-3</v>
      </c>
      <c r="X3" s="230">
        <f>$W3/$P3*5252</f>
        <v>3.0154391111221401E-3</v>
      </c>
      <c r="Y3" s="230">
        <f>X3-$X$3</f>
        <v>0</v>
      </c>
      <c r="Z3" s="228">
        <f t="shared" si="9"/>
        <v>3.6573572179396038E-2</v>
      </c>
      <c r="AA3" s="229">
        <f t="shared" si="10"/>
        <v>6.8603424935017449E-2</v>
      </c>
      <c r="AB3" s="2">
        <f>AA3/U3*100</f>
        <v>1.1993815439958295</v>
      </c>
      <c r="AC3" s="158">
        <f t="shared" si="11"/>
        <v>3.7515299079079645</v>
      </c>
      <c r="AD3" s="175">
        <f t="shared" si="12"/>
        <v>8.4409422927929185</v>
      </c>
      <c r="AE3" s="4">
        <f t="shared" si="13"/>
        <v>1.7278759594743859E-27</v>
      </c>
      <c r="AF3" s="158">
        <f t="shared" ref="AF3:AF14" si="23">AE3/AC3</f>
        <v>4.6057901759816529E-28</v>
      </c>
      <c r="AH3" s="228">
        <f t="shared" si="14"/>
        <v>0.3888888888888889</v>
      </c>
      <c r="AI3" s="228">
        <f t="shared" si="15"/>
        <v>14</v>
      </c>
      <c r="AJ3" s="229">
        <f t="shared" si="16"/>
        <v>6785.5755148519966</v>
      </c>
      <c r="AK3" s="229">
        <f t="shared" si="17"/>
        <v>14.725641308272561</v>
      </c>
      <c r="AL3" s="229">
        <f t="shared" si="18"/>
        <v>-1.2545891894708265</v>
      </c>
      <c r="AM3" s="229">
        <f t="shared" si="19"/>
        <v>14.784671930275822</v>
      </c>
      <c r="AN3" s="1"/>
      <c r="AO3" s="1">
        <f t="shared" si="20"/>
        <v>0</v>
      </c>
      <c r="AP3" s="227">
        <f t="shared" ref="AP3:AP14" si="24">MAX($J$48+$AJ3*($K$48+$AJ3*$L$48), 0)</f>
        <v>0</v>
      </c>
      <c r="AQ3" s="227">
        <f>AJ3*AP3/5252</f>
        <v>0</v>
      </c>
      <c r="AR3" s="231">
        <f t="shared" ref="AR3:AR14" si="25">MAX($K$48+$L$48*2*AJ3,1E-32)</f>
        <v>2.4735257773477766E-7</v>
      </c>
      <c r="AS3" s="228"/>
      <c r="AT3" s="1"/>
      <c r="AU3" s="228"/>
      <c r="AX3" s="128"/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1.1000000000000001</v>
      </c>
      <c r="D4" s="73">
        <v>18</v>
      </c>
      <c r="E4" s="109">
        <v>0.34300000000000003</v>
      </c>
      <c r="F4" s="73">
        <v>12.16</v>
      </c>
      <c r="G4" s="106">
        <v>0.64500000000000002</v>
      </c>
      <c r="H4" s="73">
        <v>5000</v>
      </c>
      <c r="I4" s="78">
        <v>13700</v>
      </c>
      <c r="J4" s="61"/>
      <c r="K4" s="2">
        <f t="shared" si="2"/>
        <v>7.8432000000000004</v>
      </c>
      <c r="L4" s="1">
        <f t="shared" si="3"/>
        <v>18</v>
      </c>
      <c r="M4" s="234">
        <f t="shared" si="4"/>
        <v>2.8903717578961645</v>
      </c>
      <c r="N4" s="3">
        <f t="shared" si="5"/>
        <v>200.00000000000003</v>
      </c>
      <c r="O4" s="3">
        <f t="shared" si="5"/>
        <v>72.992700729927023</v>
      </c>
      <c r="P4" s="3">
        <f t="shared" si="6"/>
        <v>12000.000000000002</v>
      </c>
      <c r="Q4" s="3">
        <f t="shared" si="6"/>
        <v>4379.5620437956213</v>
      </c>
      <c r="R4" s="3">
        <f t="shared" si="7"/>
        <v>26.041666666666671</v>
      </c>
      <c r="S4" s="3">
        <f t="shared" si="7"/>
        <v>9.5042579075425806</v>
      </c>
      <c r="T4" s="3">
        <f t="shared" si="8"/>
        <v>18</v>
      </c>
      <c r="U4" s="158">
        <f t="shared" si="0"/>
        <v>7.8432000000000004</v>
      </c>
      <c r="V4" s="229">
        <f t="shared" si="21"/>
        <v>6.1122200000000007</v>
      </c>
      <c r="W4" s="234">
        <f t="shared" si="22"/>
        <v>8.1966214888400009E-3</v>
      </c>
      <c r="X4" s="230">
        <f t="shared" ref="X4:X14" si="26">$W4/$P4*5252</f>
        <v>3.5873880049489735E-3</v>
      </c>
      <c r="Y4" s="230">
        <f t="shared" ref="Y4:Y14" si="27">X4-$X$3</f>
        <v>5.7194889382683337E-4</v>
      </c>
      <c r="Z4" s="228">
        <f t="shared" si="9"/>
        <v>7.8147478465741924E-2</v>
      </c>
      <c r="AA4" s="229">
        <f t="shared" si="10"/>
        <v>0.21427286742513013</v>
      </c>
      <c r="AB4" s="2">
        <f t="shared" ref="AB4:AB13" si="28">AA4/U4*100</f>
        <v>2.7319572040127769</v>
      </c>
      <c r="AC4" s="158">
        <f t="shared" si="11"/>
        <v>5.4838075810485032</v>
      </c>
      <c r="AD4" s="175">
        <f t="shared" si="12"/>
        <v>12.338567057359132</v>
      </c>
      <c r="AE4" s="175">
        <f t="shared" si="13"/>
        <v>12.612233280834939</v>
      </c>
      <c r="AF4" s="158">
        <f t="shared" si="23"/>
        <v>2.2999044175841563</v>
      </c>
      <c r="AG4" s="151"/>
      <c r="AH4" s="228">
        <f t="shared" si="14"/>
        <v>0.5</v>
      </c>
      <c r="AI4" s="228">
        <f t="shared" si="15"/>
        <v>18</v>
      </c>
      <c r="AJ4" s="229">
        <f t="shared" si="16"/>
        <v>10393.817131718955</v>
      </c>
      <c r="AK4" s="229">
        <f t="shared" si="17"/>
        <v>22.556026761542871</v>
      </c>
      <c r="AL4" s="229">
        <f t="shared" si="18"/>
        <v>6.3964175911456653</v>
      </c>
      <c r="AM4" s="229">
        <f t="shared" si="19"/>
        <v>22.604910600238163</v>
      </c>
      <c r="AN4" s="2">
        <f t="shared" ref="AN4:AN14" si="29">AO4/$Q$31</f>
        <v>6.3964175911456653</v>
      </c>
      <c r="AO4" s="3">
        <f t="shared" si="20"/>
        <v>2947.4692259999229</v>
      </c>
      <c r="AP4" s="227">
        <f t="shared" si="24"/>
        <v>2.6622033396538156E-4</v>
      </c>
      <c r="AQ4" s="227">
        <f t="shared" ref="AQ4:AQ14" si="30">AJ4*AP4/5252</f>
        <v>5.268555727306407E-4</v>
      </c>
      <c r="AR4" s="231">
        <f t="shared" si="25"/>
        <v>3.2120770419494546E-7</v>
      </c>
      <c r="AS4" s="228">
        <f t="shared" ref="AS4:AS14" si="31">$Q$36/AR4</f>
        <v>0.11651905298660416</v>
      </c>
      <c r="AT4" s="232">
        <f t="shared" ref="AT4:AT14" si="32">$Q$45*$Q$28*$Q$37^2*$Q$34*PI()/240*($AC4-$Q$47)/$Q$46*$Q$35</f>
        <v>-2.4892694785652227E-8</v>
      </c>
      <c r="AU4" s="165">
        <f t="shared" ref="AU4:AU5" si="33">-$Q$36/AT4</f>
        <v>1.5035261480154642</v>
      </c>
      <c r="AX4" s="127"/>
      <c r="AY4" s="96"/>
    </row>
    <row r="5" spans="1:51" ht="13.95" customHeight="1" x14ac:dyDescent="0.3">
      <c r="A5" t="s">
        <v>225</v>
      </c>
      <c r="B5" s="176">
        <v>16</v>
      </c>
      <c r="C5" s="220">
        <f t="shared" si="1"/>
        <v>1.1333333333333333</v>
      </c>
      <c r="D5" s="73">
        <v>24</v>
      </c>
      <c r="E5" s="73">
        <v>0.58099999999999996</v>
      </c>
      <c r="F5" s="73">
        <v>12.15</v>
      </c>
      <c r="G5" s="73">
        <v>1.0349999999999999</v>
      </c>
      <c r="H5" s="73">
        <v>4040</v>
      </c>
      <c r="I5" s="78">
        <v>8000</v>
      </c>
      <c r="J5" s="61"/>
      <c r="K5" s="2">
        <f t="shared" si="2"/>
        <v>12.575249999999999</v>
      </c>
      <c r="L5" s="1">
        <f t="shared" si="3"/>
        <v>24</v>
      </c>
      <c r="M5" s="234">
        <f t="shared" si="4"/>
        <v>3.1780538303479458</v>
      </c>
      <c r="N5" s="3">
        <f t="shared" si="5"/>
        <v>247.52475247524754</v>
      </c>
      <c r="O5" s="3">
        <f t="shared" si="5"/>
        <v>125.00000000000001</v>
      </c>
      <c r="P5" s="3">
        <f t="shared" si="6"/>
        <v>14851.485148514852</v>
      </c>
      <c r="Q5" s="3">
        <f t="shared" si="6"/>
        <v>7500.0000000000009</v>
      </c>
      <c r="R5" s="3">
        <f t="shared" si="7"/>
        <v>32.229785478547853</v>
      </c>
      <c r="S5" s="3">
        <f t="shared" si="7"/>
        <v>16.276041666666668</v>
      </c>
      <c r="T5" s="3">
        <f t="shared" si="8"/>
        <v>24</v>
      </c>
      <c r="U5" s="158">
        <f t="shared" si="0"/>
        <v>12.575249999999999</v>
      </c>
      <c r="V5" s="229">
        <f t="shared" si="21"/>
        <v>10.844269999999998</v>
      </c>
      <c r="W5" s="234">
        <f t="shared" si="22"/>
        <v>1.4542404643939999E-2</v>
      </c>
      <c r="X5" s="230">
        <f t="shared" si="26"/>
        <v>5.1426984187915069E-3</v>
      </c>
      <c r="Y5" s="230">
        <f t="shared" si="27"/>
        <v>2.1272593076693668E-3</v>
      </c>
      <c r="Z5" s="228">
        <f t="shared" si="9"/>
        <v>0.14814291539889993</v>
      </c>
      <c r="AA5" s="229">
        <f t="shared" si="10"/>
        <v>0.55926296128691122</v>
      </c>
      <c r="AB5" s="2">
        <f t="shared" si="28"/>
        <v>4.4473307591253555</v>
      </c>
      <c r="AC5" s="158">
        <f t="shared" si="11"/>
        <v>7.5503166625417197</v>
      </c>
      <c r="AD5" s="175">
        <f t="shared" si="12"/>
        <v>16.988212490718869</v>
      </c>
      <c r="AE5" s="175">
        <f t="shared" si="13"/>
        <v>21.598449493429833</v>
      </c>
      <c r="AF5" s="158">
        <f t="shared" si="23"/>
        <v>2.8606018076808692</v>
      </c>
      <c r="AG5" s="151"/>
      <c r="AH5" s="228">
        <f t="shared" si="14"/>
        <v>0.66666666666666663</v>
      </c>
      <c r="AI5" s="228">
        <f t="shared" si="15"/>
        <v>24</v>
      </c>
      <c r="AJ5" s="229">
        <f t="shared" si="16"/>
        <v>14524.206434663385</v>
      </c>
      <c r="AK5" s="229">
        <f t="shared" si="17"/>
        <v>31.519545214113247</v>
      </c>
      <c r="AL5" s="229">
        <f t="shared" si="18"/>
        <v>15.154599530983003</v>
      </c>
      <c r="AM5" s="229">
        <f t="shared" si="19"/>
        <v>31.556813931182923</v>
      </c>
      <c r="AN5" s="2">
        <f t="shared" si="29"/>
        <v>15.154599530983003</v>
      </c>
      <c r="AO5" s="3">
        <f t="shared" si="20"/>
        <v>6983.2394638769674</v>
      </c>
      <c r="AP5" s="227">
        <f t="shared" si="24"/>
        <v>1.7675302944863986E-3</v>
      </c>
      <c r="AQ5" s="227">
        <f t="shared" si="30"/>
        <v>4.8880378668396457E-3</v>
      </c>
      <c r="AR5" s="231">
        <f t="shared" si="25"/>
        <v>4.0575038639025837E-7</v>
      </c>
      <c r="AS5" s="228">
        <f t="shared" si="31"/>
        <v>9.2240990422122499E-2</v>
      </c>
      <c r="AT5" s="232">
        <f t="shared" si="32"/>
        <v>-7.718033804874377E-8</v>
      </c>
      <c r="AU5" s="165">
        <f t="shared" si="33"/>
        <v>0.48492684083813109</v>
      </c>
      <c r="AX5" s="127"/>
      <c r="AY5" s="96"/>
    </row>
    <row r="6" spans="1:51" ht="13.95" customHeight="1" x14ac:dyDescent="0.3">
      <c r="A6" t="s">
        <v>226</v>
      </c>
      <c r="B6" s="176">
        <v>20</v>
      </c>
      <c r="C6" s="220">
        <f t="shared" si="1"/>
        <v>1.1555555555555554</v>
      </c>
      <c r="D6" s="73">
        <v>28</v>
      </c>
      <c r="E6" s="73">
        <v>0.68400000000000005</v>
      </c>
      <c r="F6" s="73">
        <v>12.15</v>
      </c>
      <c r="G6" s="73">
        <v>1.232</v>
      </c>
      <c r="H6" s="73">
        <v>3620</v>
      </c>
      <c r="I6" s="78">
        <v>6800</v>
      </c>
      <c r="J6" s="61"/>
      <c r="K6" s="2">
        <f t="shared" si="2"/>
        <v>14.9688</v>
      </c>
      <c r="L6" s="1">
        <f t="shared" si="3"/>
        <v>28</v>
      </c>
      <c r="M6" s="234">
        <f t="shared" si="4"/>
        <v>3.3322045101752038</v>
      </c>
      <c r="N6" s="3">
        <f t="shared" si="5"/>
        <v>276.24309392265195</v>
      </c>
      <c r="O6" s="3">
        <f t="shared" si="5"/>
        <v>147.05882352941177</v>
      </c>
      <c r="P6" s="3">
        <f t="shared" si="6"/>
        <v>16574.585635359115</v>
      </c>
      <c r="Q6" s="3">
        <f t="shared" si="6"/>
        <v>8823.5294117647063</v>
      </c>
      <c r="R6" s="3">
        <f t="shared" si="7"/>
        <v>35.969152854511968</v>
      </c>
      <c r="S6" s="3">
        <f t="shared" si="7"/>
        <v>19.14828431372549</v>
      </c>
      <c r="T6" s="3">
        <f t="shared" si="8"/>
        <v>28</v>
      </c>
      <c r="U6" s="158">
        <f t="shared" si="0"/>
        <v>14.9688</v>
      </c>
      <c r="V6" s="229">
        <f t="shared" si="21"/>
        <v>13.237819999999999</v>
      </c>
      <c r="W6" s="234">
        <f t="shared" si="22"/>
        <v>1.775220785204E-2</v>
      </c>
      <c r="X6" s="230">
        <f t="shared" si="26"/>
        <v>5.6251539368811498E-3</v>
      </c>
      <c r="Y6" s="230">
        <f t="shared" si="27"/>
        <v>2.6097148257590097E-3</v>
      </c>
      <c r="Z6" s="228">
        <f t="shared" si="9"/>
        <v>0.20592035150054883</v>
      </c>
      <c r="AA6" s="229">
        <f t="shared" si="10"/>
        <v>0.91652356042543459</v>
      </c>
      <c r="AB6" s="2">
        <f t="shared" si="28"/>
        <v>6.1228926862903812</v>
      </c>
      <c r="AC6" s="158">
        <f t="shared" si="11"/>
        <v>8.901728787336415</v>
      </c>
      <c r="AD6" s="175">
        <f t="shared" si="12"/>
        <v>20.028889771506933</v>
      </c>
      <c r="AE6" s="175">
        <f t="shared" si="13"/>
        <v>25.409940580505676</v>
      </c>
      <c r="AF6" s="158">
        <f t="shared" si="23"/>
        <v>2.8544950298478895</v>
      </c>
      <c r="AG6" s="151"/>
      <c r="AH6" s="228">
        <f t="shared" si="14"/>
        <v>0.77777777777777779</v>
      </c>
      <c r="AI6" s="228">
        <f t="shared" si="15"/>
        <v>28</v>
      </c>
      <c r="AJ6" s="229">
        <f t="shared" si="16"/>
        <v>16737.421577247005</v>
      </c>
      <c r="AK6" s="229">
        <f t="shared" si="17"/>
        <v>36.322529464511732</v>
      </c>
      <c r="AL6" s="229">
        <f t="shared" si="18"/>
        <v>19.847556893847639</v>
      </c>
      <c r="AM6" s="229">
        <f t="shared" si="19"/>
        <v>36.353574370415124</v>
      </c>
      <c r="AN6" s="2">
        <f t="shared" si="29"/>
        <v>19.847556893847635</v>
      </c>
      <c r="AO6" s="3">
        <f t="shared" si="20"/>
        <v>9145.7542166849908</v>
      </c>
      <c r="AP6" s="227">
        <f t="shared" si="24"/>
        <v>2.7156737247799462E-3</v>
      </c>
      <c r="AQ6" s="227">
        <f t="shared" si="30"/>
        <v>8.6544889561870949E-3</v>
      </c>
      <c r="AR6" s="231">
        <f t="shared" si="25"/>
        <v>4.5105147805634301E-7</v>
      </c>
      <c r="AS6" s="228">
        <f t="shared" si="31"/>
        <v>8.297682044203647E-2</v>
      </c>
      <c r="AT6" s="232">
        <f t="shared" si="32"/>
        <v>-1.1137431073219437E-7</v>
      </c>
      <c r="AU6" s="165">
        <f t="shared" ref="AU6:AU14" si="34">-$Q$36/AT6</f>
        <v>0.33604533450080026</v>
      </c>
      <c r="AX6" s="127"/>
      <c r="AY6" s="96"/>
    </row>
    <row r="7" spans="1:51" ht="13.95" customHeight="1" x14ac:dyDescent="0.3">
      <c r="A7" t="s">
        <v>227</v>
      </c>
      <c r="B7" s="176">
        <v>25</v>
      </c>
      <c r="C7" s="220">
        <f t="shared" si="1"/>
        <v>1.2</v>
      </c>
      <c r="D7" s="73">
        <v>36</v>
      </c>
      <c r="E7" s="73">
        <v>0.95099999999999996</v>
      </c>
      <c r="F7" s="73">
        <v>12.12</v>
      </c>
      <c r="G7" s="73">
        <v>1.7829999999999999</v>
      </c>
      <c r="H7" s="73">
        <v>2980</v>
      </c>
      <c r="I7" s="78">
        <v>4960</v>
      </c>
      <c r="J7" s="61"/>
      <c r="K7" s="2">
        <f t="shared" si="2"/>
        <v>21.609959999999997</v>
      </c>
      <c r="L7" s="1">
        <f t="shared" si="3"/>
        <v>36</v>
      </c>
      <c r="M7" s="234">
        <f t="shared" si="4"/>
        <v>3.5835189384561099</v>
      </c>
      <c r="N7" s="3">
        <f t="shared" si="5"/>
        <v>335.57046979865771</v>
      </c>
      <c r="O7" s="3">
        <f t="shared" si="5"/>
        <v>201.61290322580646</v>
      </c>
      <c r="P7" s="3">
        <f t="shared" si="6"/>
        <v>20134.228187919463</v>
      </c>
      <c r="Q7" s="3">
        <f t="shared" si="6"/>
        <v>12096.774193548388</v>
      </c>
      <c r="R7" s="3">
        <f t="shared" si="7"/>
        <v>43.694071588366889</v>
      </c>
      <c r="S7" s="3">
        <f t="shared" si="7"/>
        <v>26.251680107526884</v>
      </c>
      <c r="T7" s="3">
        <f t="shared" si="8"/>
        <v>36</v>
      </c>
      <c r="U7" s="158">
        <f t="shared" si="0"/>
        <v>21.609959999999997</v>
      </c>
      <c r="V7" s="229">
        <f t="shared" si="21"/>
        <v>19.878979999999999</v>
      </c>
      <c r="W7" s="234">
        <f t="shared" si="22"/>
        <v>2.6658149517560001E-2</v>
      </c>
      <c r="X7" s="230">
        <f t="shared" si="26"/>
        <v>6.9537605295558478E-3</v>
      </c>
      <c r="Y7" s="230">
        <f t="shared" si="27"/>
        <v>3.9383214184337077E-3</v>
      </c>
      <c r="Z7" s="228">
        <f t="shared" si="9"/>
        <v>0.36912732059267428</v>
      </c>
      <c r="AA7" s="229">
        <f t="shared" si="10"/>
        <v>2.1996775003419557</v>
      </c>
      <c r="AB7" s="2">
        <f t="shared" si="28"/>
        <v>10.178998481912767</v>
      </c>
      <c r="AC7" s="158">
        <f t="shared" si="11"/>
        <v>11.918258972595867</v>
      </c>
      <c r="AD7" s="175">
        <f t="shared" si="12"/>
        <v>26.8160826883407</v>
      </c>
      <c r="AE7" s="175">
        <f t="shared" si="13"/>
        <v>34.836208860370697</v>
      </c>
      <c r="AF7" s="158">
        <f t="shared" si="23"/>
        <v>2.9229276642226854</v>
      </c>
      <c r="AG7" s="151"/>
      <c r="AH7" s="228">
        <f t="shared" si="14"/>
        <v>1</v>
      </c>
      <c r="AI7" s="228">
        <f t="shared" si="15"/>
        <v>36</v>
      </c>
      <c r="AJ7" s="233">
        <f t="shared" si="16"/>
        <v>20345.663194113957</v>
      </c>
      <c r="AK7" s="233">
        <f t="shared" si="17"/>
        <v>44.15291491778202</v>
      </c>
      <c r="AL7" s="233">
        <f t="shared" si="18"/>
        <v>27.498563674464105</v>
      </c>
      <c r="AM7" s="233">
        <f t="shared" si="19"/>
        <v>44.173813040377432</v>
      </c>
      <c r="AN7" s="9">
        <f t="shared" si="29"/>
        <v>27.498563674464116</v>
      </c>
      <c r="AO7" s="10">
        <f t="shared" si="20"/>
        <v>12671.338141193064</v>
      </c>
      <c r="AP7" s="230">
        <f t="shared" si="24"/>
        <v>4.4764200097084676E-3</v>
      </c>
      <c r="AQ7" s="230">
        <f t="shared" si="30"/>
        <v>1.7341152671919421E-2</v>
      </c>
      <c r="AR7" s="232">
        <f t="shared" si="25"/>
        <v>5.2490660451651071E-7</v>
      </c>
      <c r="AS7" s="228">
        <f t="shared" si="31"/>
        <v>7.1301860526731251E-2</v>
      </c>
      <c r="AT7" s="232">
        <f t="shared" si="32"/>
        <v>-1.8769976975472293E-7</v>
      </c>
      <c r="AU7" s="165">
        <f t="shared" si="34"/>
        <v>0.19939724781604101</v>
      </c>
      <c r="AX7" s="127"/>
      <c r="AY7" s="96"/>
    </row>
    <row r="8" spans="1:51" ht="13.95" customHeight="1" x14ac:dyDescent="0.3">
      <c r="A8" t="s">
        <v>228</v>
      </c>
      <c r="B8" s="176">
        <v>36</v>
      </c>
      <c r="C8" s="220">
        <f t="shared" si="1"/>
        <v>1.2888888888888888</v>
      </c>
      <c r="D8" s="73">
        <v>52</v>
      </c>
      <c r="E8" s="73">
        <v>1.3580000000000001</v>
      </c>
      <c r="F8" s="73">
        <v>12.07</v>
      </c>
      <c r="G8" s="73">
        <v>3.07</v>
      </c>
      <c r="H8" s="73">
        <v>2480</v>
      </c>
      <c r="I8" s="78">
        <v>3520</v>
      </c>
      <c r="J8" s="61"/>
      <c r="K8" s="2">
        <f t="shared" si="2"/>
        <v>37.054899999999996</v>
      </c>
      <c r="L8" s="1">
        <f t="shared" si="3"/>
        <v>52</v>
      </c>
      <c r="M8" s="234">
        <f t="shared" si="4"/>
        <v>3.9512437185814275</v>
      </c>
      <c r="N8" s="3">
        <f t="shared" si="5"/>
        <v>403.22580645161293</v>
      </c>
      <c r="O8" s="3">
        <f t="shared" si="5"/>
        <v>284.09090909090907</v>
      </c>
      <c r="P8" s="3">
        <f t="shared" si="6"/>
        <v>24193.548387096776</v>
      </c>
      <c r="Q8" s="3">
        <f t="shared" si="6"/>
        <v>17045.454545454544</v>
      </c>
      <c r="R8" s="3">
        <f t="shared" si="7"/>
        <v>52.503360215053767</v>
      </c>
      <c r="S8" s="3">
        <f t="shared" si="7"/>
        <v>36.991003787878782</v>
      </c>
      <c r="T8" s="3">
        <f t="shared" si="8"/>
        <v>52</v>
      </c>
      <c r="U8" s="158">
        <f t="shared" si="0"/>
        <v>37.054899999999996</v>
      </c>
      <c r="V8" s="229">
        <f t="shared" si="21"/>
        <v>35.323919999999994</v>
      </c>
      <c r="W8" s="234">
        <f t="shared" si="22"/>
        <v>4.7370153846239993E-2</v>
      </c>
      <c r="X8" s="230">
        <f t="shared" si="26"/>
        <v>1.0283239317352035E-2</v>
      </c>
      <c r="Y8" s="230">
        <f t="shared" si="27"/>
        <v>7.2678002062298947E-3</v>
      </c>
      <c r="Z8" s="228">
        <f t="shared" si="9"/>
        <v>0.64042745241181076</v>
      </c>
      <c r="AA8" s="229">
        <f t="shared" si="10"/>
        <v>5.0268929546262759</v>
      </c>
      <c r="AB8" s="2">
        <f t="shared" si="28"/>
        <v>13.566068062864229</v>
      </c>
      <c r="AC8" s="158">
        <f t="shared" si="11"/>
        <v>15.698555505999325</v>
      </c>
      <c r="AD8" s="175">
        <f t="shared" si="12"/>
        <v>35.321749888498474</v>
      </c>
      <c r="AE8" s="175">
        <f t="shared" si="13"/>
        <v>49.087385212340514</v>
      </c>
      <c r="AF8" s="158">
        <f t="shared" si="23"/>
        <v>3.1268727363852928</v>
      </c>
      <c r="AG8" s="151"/>
      <c r="AH8" s="228">
        <f t="shared" si="14"/>
        <v>1.4444444444444442</v>
      </c>
      <c r="AI8" s="228">
        <f t="shared" si="15"/>
        <v>51.999999999999993</v>
      </c>
      <c r="AJ8" s="229">
        <f t="shared" si="16"/>
        <v>25625.263988535306</v>
      </c>
      <c r="AK8" s="229">
        <f t="shared" si="17"/>
        <v>55.61038191956446</v>
      </c>
      <c r="AL8" s="229">
        <f t="shared" si="18"/>
        <v>38.693562725592052</v>
      </c>
      <c r="AM8" s="229">
        <f t="shared" si="19"/>
        <v>55.616433207911548</v>
      </c>
      <c r="AN8" s="2">
        <f t="shared" si="29"/>
        <v>38.693562725592052</v>
      </c>
      <c r="AO8" s="3">
        <f t="shared" si="20"/>
        <v>17829.993703952819</v>
      </c>
      <c r="AP8" s="227">
        <f t="shared" si="24"/>
        <v>7.5329880637879515E-3</v>
      </c>
      <c r="AQ8" s="227">
        <f t="shared" si="30"/>
        <v>3.6754533083977851E-2</v>
      </c>
      <c r="AR8" s="231">
        <f t="shared" si="25"/>
        <v>6.3297186891245887E-7</v>
      </c>
      <c r="AS8" s="228">
        <f t="shared" si="31"/>
        <v>5.9128721737825796E-2</v>
      </c>
      <c r="AT8" s="232">
        <f t="shared" si="32"/>
        <v>-2.8335035185837123E-7</v>
      </c>
      <c r="AU8" s="165">
        <f t="shared" si="34"/>
        <v>0.13208671617779957</v>
      </c>
      <c r="AX8" s="127"/>
      <c r="AY8" s="96"/>
    </row>
    <row r="9" spans="1:51" ht="13.95" customHeight="1" x14ac:dyDescent="0.3">
      <c r="A9" t="s">
        <v>229</v>
      </c>
      <c r="B9" s="176">
        <v>45</v>
      </c>
      <c r="C9" s="220">
        <f t="shared" si="1"/>
        <v>1.4055555555555554</v>
      </c>
      <c r="D9" s="73">
        <v>73</v>
      </c>
      <c r="E9" s="73">
        <v>1.639</v>
      </c>
      <c r="F9" s="73">
        <v>11.97</v>
      </c>
      <c r="G9" s="73">
        <v>4.45</v>
      </c>
      <c r="H9" s="73">
        <v>2100</v>
      </c>
      <c r="I9" s="78">
        <v>2820</v>
      </c>
      <c r="J9" s="61"/>
      <c r="K9" s="2">
        <f t="shared" si="2"/>
        <v>53.266500000000008</v>
      </c>
      <c r="L9" s="1">
        <f t="shared" si="3"/>
        <v>73</v>
      </c>
      <c r="M9" s="234">
        <f t="shared" si="4"/>
        <v>4.290459441148391</v>
      </c>
      <c r="N9" s="3">
        <f t="shared" si="5"/>
        <v>476.1904761904762</v>
      </c>
      <c r="O9" s="3">
        <f t="shared" si="5"/>
        <v>354.6099290780142</v>
      </c>
      <c r="P9" s="3">
        <f t="shared" si="6"/>
        <v>28571.428571428572</v>
      </c>
      <c r="Q9" s="3">
        <f t="shared" si="6"/>
        <v>21276.595744680853</v>
      </c>
      <c r="R9" s="3">
        <f t="shared" si="7"/>
        <v>62.003968253968253</v>
      </c>
      <c r="S9" s="3">
        <f t="shared" si="7"/>
        <v>46.173167848699769</v>
      </c>
      <c r="T9" s="3">
        <f t="shared" si="8"/>
        <v>73</v>
      </c>
      <c r="U9" s="158">
        <f t="shared" si="0"/>
        <v>53.266500000000008</v>
      </c>
      <c r="V9" s="229">
        <f t="shared" si="21"/>
        <v>51.535520000000005</v>
      </c>
      <c r="W9" s="234">
        <f t="shared" si="22"/>
        <v>6.9110266101440013E-2</v>
      </c>
      <c r="X9" s="230">
        <f t="shared" si="26"/>
        <v>1.2703849114766703E-2</v>
      </c>
      <c r="Y9" s="230">
        <f t="shared" si="27"/>
        <v>9.6884100036445618E-3</v>
      </c>
      <c r="Z9" s="228">
        <f t="shared" si="9"/>
        <v>1.0547926582677607</v>
      </c>
      <c r="AA9" s="229">
        <f t="shared" si="10"/>
        <v>10.62540211180036</v>
      </c>
      <c r="AB9" s="2">
        <f t="shared" si="28"/>
        <v>19.947625828241687</v>
      </c>
      <c r="AC9" s="158">
        <f t="shared" si="11"/>
        <v>20.146901911983324</v>
      </c>
      <c r="AD9" s="175">
        <f t="shared" si="12"/>
        <v>45.330529301962478</v>
      </c>
      <c r="AE9" s="175">
        <f t="shared" si="13"/>
        <v>61.27219714448178</v>
      </c>
      <c r="AF9" s="165">
        <f t="shared" si="23"/>
        <v>3.0412714278435651</v>
      </c>
      <c r="AG9" s="151">
        <f>$M$42/($Q$28*$Q$37*$Q$34*($AC9-$Q$47)^2/4/$AF9)/(PI()*$Q$37/60/($AC9-$Q$47))</f>
        <v>-1.1274772604941929</v>
      </c>
      <c r="AH9" s="228">
        <f t="shared" si="14"/>
        <v>2.0277777777777777</v>
      </c>
      <c r="AI9" s="228">
        <f t="shared" si="15"/>
        <v>73</v>
      </c>
      <c r="AJ9" s="229">
        <f t="shared" si="16"/>
        <v>30495.546588838792</v>
      </c>
      <c r="AK9" s="229">
        <f t="shared" si="17"/>
        <v>66.179571590361959</v>
      </c>
      <c r="AL9" s="229">
        <f t="shared" si="18"/>
        <v>49.020633125826407</v>
      </c>
      <c r="AM9" s="229">
        <f t="shared" si="19"/>
        <v>66.171927093492542</v>
      </c>
      <c r="AN9" s="2">
        <f t="shared" si="29"/>
        <v>49.020633125826407</v>
      </c>
      <c r="AO9" s="3">
        <f t="shared" si="20"/>
        <v>22588.707744380808</v>
      </c>
      <c r="AP9" s="227">
        <f t="shared" si="24"/>
        <v>1.0858492248972243E-2</v>
      </c>
      <c r="AQ9" s="227">
        <f t="shared" si="30"/>
        <v>6.3049439501728463E-2</v>
      </c>
      <c r="AR9" s="231">
        <f t="shared" si="25"/>
        <v>7.3265902280502244E-7</v>
      </c>
      <c r="AS9" s="228">
        <f t="shared" si="31"/>
        <v>5.1083541374411588E-2</v>
      </c>
      <c r="AT9" s="232">
        <f t="shared" si="32"/>
        <v>-3.9590420031215084E-7</v>
      </c>
      <c r="AU9" s="165">
        <f t="shared" si="34"/>
        <v>9.4535035180953214E-2</v>
      </c>
      <c r="AX9" s="127"/>
      <c r="AY9" s="96"/>
    </row>
    <row r="10" spans="1:51" ht="13.95" customHeight="1" x14ac:dyDescent="0.3">
      <c r="A10" t="s">
        <v>230</v>
      </c>
      <c r="B10" s="176">
        <v>50</v>
      </c>
      <c r="C10" s="220">
        <f t="shared" si="1"/>
        <v>1.5222222222222221</v>
      </c>
      <c r="D10" s="73">
        <v>94</v>
      </c>
      <c r="E10" s="73">
        <v>1.93</v>
      </c>
      <c r="F10" s="73">
        <v>11.92</v>
      </c>
      <c r="G10" s="73">
        <v>6.4</v>
      </c>
      <c r="H10" s="73">
        <v>1800</v>
      </c>
      <c r="I10" s="78">
        <v>2400</v>
      </c>
      <c r="J10" s="61"/>
      <c r="K10" s="2">
        <f t="shared" si="2"/>
        <v>76.287999999999997</v>
      </c>
      <c r="L10" s="1">
        <f t="shared" si="3"/>
        <v>94</v>
      </c>
      <c r="M10" s="234">
        <f t="shared" si="4"/>
        <v>4.5432947822700038</v>
      </c>
      <c r="N10" s="3">
        <f t="shared" si="5"/>
        <v>555.55555555555554</v>
      </c>
      <c r="O10" s="3">
        <f t="shared" si="5"/>
        <v>416.66666666666669</v>
      </c>
      <c r="P10" s="3">
        <f t="shared" si="6"/>
        <v>33333.333333333336</v>
      </c>
      <c r="Q10" s="3">
        <f t="shared" si="6"/>
        <v>25000</v>
      </c>
      <c r="R10" s="3">
        <f t="shared" si="7"/>
        <v>72.337962962962962</v>
      </c>
      <c r="S10" s="3">
        <f t="shared" si="7"/>
        <v>54.253472222222221</v>
      </c>
      <c r="T10" s="3">
        <f t="shared" si="8"/>
        <v>94</v>
      </c>
      <c r="U10" s="158">
        <f t="shared" si="0"/>
        <v>76.287999999999997</v>
      </c>
      <c r="V10" s="229">
        <f t="shared" si="21"/>
        <v>74.557019999999994</v>
      </c>
      <c r="W10" s="234">
        <f t="shared" si="22"/>
        <v>9.9982604074439999E-2</v>
      </c>
      <c r="X10" s="230">
        <f t="shared" si="26"/>
        <v>1.5753259097968767E-2</v>
      </c>
      <c r="Y10" s="230">
        <f t="shared" si="27"/>
        <v>1.2737819986846626E-2</v>
      </c>
      <c r="Z10" s="228">
        <f t="shared" si="9"/>
        <v>1.6749716749344534</v>
      </c>
      <c r="AA10" s="229">
        <f t="shared" si="10"/>
        <v>21.26208881723857</v>
      </c>
      <c r="AB10" s="2">
        <f t="shared" si="28"/>
        <v>27.870816926959119</v>
      </c>
      <c r="AC10" s="158">
        <f t="shared" si="11"/>
        <v>25.387998060409728</v>
      </c>
      <c r="AD10" s="175">
        <f t="shared" si="12"/>
        <v>57.122995635921889</v>
      </c>
      <c r="AE10" s="175">
        <f t="shared" si="13"/>
        <v>71.994831644766094</v>
      </c>
      <c r="AF10" s="165">
        <f t="shared" si="23"/>
        <v>2.835782146881265</v>
      </c>
      <c r="AG10" s="151"/>
      <c r="AH10" s="228">
        <f t="shared" si="14"/>
        <v>2.6111111111111112</v>
      </c>
      <c r="AI10" s="228">
        <f t="shared" si="15"/>
        <v>94</v>
      </c>
      <c r="AJ10" s="229">
        <f t="shared" si="16"/>
        <v>34125.624679819084</v>
      </c>
      <c r="AK10" s="229">
        <f t="shared" si="17"/>
        <v>74.05734522530183</v>
      </c>
      <c r="AL10" s="229">
        <f t="shared" si="18"/>
        <v>56.717942518420131</v>
      </c>
      <c r="AM10" s="229">
        <f t="shared" si="19"/>
        <v>74.039492538490805</v>
      </c>
      <c r="AN10" s="2">
        <f t="shared" si="29"/>
        <v>56.717942518420131</v>
      </c>
      <c r="AO10" s="3">
        <f t="shared" si="20"/>
        <v>26135.627912487998</v>
      </c>
      <c r="AP10" s="227">
        <f t="shared" si="24"/>
        <v>1.3652962901831924E-2</v>
      </c>
      <c r="AQ10" s="227">
        <f t="shared" si="30"/>
        <v>8.8712088300725425E-2</v>
      </c>
      <c r="AR10" s="231">
        <f t="shared" si="25"/>
        <v>8.0696110812447108E-7</v>
      </c>
      <c r="AS10" s="228">
        <f t="shared" si="31"/>
        <v>4.6379952054669979E-2</v>
      </c>
      <c r="AT10" s="232">
        <f t="shared" si="32"/>
        <v>-5.2851652133735734E-7</v>
      </c>
      <c r="AU10" s="165">
        <f t="shared" si="34"/>
        <v>7.0814848720512219E-2</v>
      </c>
      <c r="AX10" s="150"/>
      <c r="AY10" s="152"/>
    </row>
    <row r="11" spans="1:51" ht="13.95" customHeight="1" x14ac:dyDescent="0.3">
      <c r="A11" t="s">
        <v>231</v>
      </c>
      <c r="B11" s="176">
        <v>52</v>
      </c>
      <c r="C11" s="220">
        <f t="shared" si="1"/>
        <v>1.55</v>
      </c>
      <c r="D11" s="73">
        <v>99</v>
      </c>
      <c r="E11" s="73">
        <v>1.96</v>
      </c>
      <c r="F11" s="73">
        <v>11.87</v>
      </c>
      <c r="G11" s="73">
        <v>6.96</v>
      </c>
      <c r="H11" s="73">
        <v>1760</v>
      </c>
      <c r="I11" s="78">
        <v>2320</v>
      </c>
      <c r="J11" s="61"/>
      <c r="K11" s="2">
        <f t="shared" si="2"/>
        <v>82.615199999999987</v>
      </c>
      <c r="L11" s="1">
        <f t="shared" si="3"/>
        <v>99</v>
      </c>
      <c r="M11" s="234">
        <f t="shared" si="4"/>
        <v>4.5951198501345898</v>
      </c>
      <c r="N11" s="3">
        <f t="shared" si="5"/>
        <v>568.18181818181813</v>
      </c>
      <c r="O11" s="3">
        <f t="shared" si="5"/>
        <v>431.0344827586207</v>
      </c>
      <c r="P11" s="3">
        <f t="shared" si="6"/>
        <v>34090.909090909088</v>
      </c>
      <c r="Q11" s="3">
        <f t="shared" si="6"/>
        <v>25862.068965517243</v>
      </c>
      <c r="R11" s="3">
        <f t="shared" si="7"/>
        <v>73.982007575757564</v>
      </c>
      <c r="S11" s="3">
        <f t="shared" si="7"/>
        <v>56.124281609195407</v>
      </c>
      <c r="T11" s="3">
        <f t="shared" si="8"/>
        <v>99</v>
      </c>
      <c r="U11" s="158">
        <f t="shared" si="0"/>
        <v>82.615199999999987</v>
      </c>
      <c r="V11" s="229">
        <f t="shared" si="21"/>
        <v>80.884219999999985</v>
      </c>
      <c r="W11" s="234">
        <f t="shared" si="22"/>
        <v>0.10846751847283999</v>
      </c>
      <c r="X11" s="230">
        <f t="shared" si="26"/>
        <v>1.6710361272567767E-2</v>
      </c>
      <c r="Y11" s="230">
        <f t="shared" si="27"/>
        <v>1.3694922161445626E-2</v>
      </c>
      <c r="Z11" s="228">
        <f t="shared" si="9"/>
        <v>1.7917894660781604</v>
      </c>
      <c r="AA11" s="229">
        <f t="shared" si="10"/>
        <v>23.524759693266088</v>
      </c>
      <c r="AB11" s="2">
        <f t="shared" si="28"/>
        <v>28.475098641976405</v>
      </c>
      <c r="AC11" s="158">
        <f t="shared" si="11"/>
        <v>26.258397137200163</v>
      </c>
      <c r="AD11" s="175">
        <f t="shared" si="12"/>
        <v>59.081393558700363</v>
      </c>
      <c r="AE11" s="175">
        <f t="shared" si="13"/>
        <v>74.477412046309752</v>
      </c>
      <c r="AF11" s="163">
        <f t="shared" si="23"/>
        <v>2.8363274291711398</v>
      </c>
      <c r="AG11" s="159">
        <f>$M$42/($Q$28*$Q$37*$Q$34*($AC11-$Q$47)^2/4/$AF11)/(PI()*$Q$37/60/($AC11-$Q$47))</f>
        <v>-0.75615431600062422</v>
      </c>
      <c r="AH11" s="228">
        <f t="shared" si="14"/>
        <v>2.75</v>
      </c>
      <c r="AI11" s="228">
        <f t="shared" si="15"/>
        <v>99.000000000000014</v>
      </c>
      <c r="AJ11" s="229">
        <f t="shared" si="16"/>
        <v>34869.702001384307</v>
      </c>
      <c r="AK11" s="229">
        <f t="shared" si="17"/>
        <v>75.672096357170801</v>
      </c>
      <c r="AL11" s="229">
        <f t="shared" si="18"/>
        <v>58.29570288956225</v>
      </c>
      <c r="AM11" s="229">
        <f t="shared" si="19"/>
        <v>75.652151240819862</v>
      </c>
      <c r="AN11" s="2">
        <f t="shared" si="29"/>
        <v>58.29570288956225</v>
      </c>
      <c r="AO11" s="3">
        <f t="shared" si="20"/>
        <v>26862.659891510284</v>
      </c>
      <c r="AP11" s="227">
        <f t="shared" si="24"/>
        <v>1.4259070552320049E-2</v>
      </c>
      <c r="AQ11" s="227">
        <f t="shared" si="30"/>
        <v>9.4670514275726286E-2</v>
      </c>
      <c r="AR11" s="231">
        <f t="shared" si="25"/>
        <v>8.2219122032745008E-7</v>
      </c>
      <c r="AS11" s="228">
        <f t="shared" si="31"/>
        <v>4.5520818733494298E-2</v>
      </c>
      <c r="AT11" s="232">
        <f t="shared" si="32"/>
        <v>-5.5053970857196504E-7</v>
      </c>
      <c r="AU11" s="165">
        <f t="shared" si="34"/>
        <v>6.7982049109367726E-2</v>
      </c>
      <c r="AX11" s="127"/>
      <c r="AY11" s="96"/>
    </row>
    <row r="12" spans="1:51" ht="13.95" customHeight="1" x14ac:dyDescent="0.3">
      <c r="A12" t="s">
        <v>232</v>
      </c>
      <c r="B12" s="176">
        <v>55</v>
      </c>
      <c r="C12" s="220">
        <f t="shared" si="1"/>
        <v>1.6111111111111112</v>
      </c>
      <c r="D12" s="73">
        <v>110</v>
      </c>
      <c r="E12" s="73">
        <v>2.17</v>
      </c>
      <c r="F12" s="73">
        <v>11.8</v>
      </c>
      <c r="G12" s="73">
        <v>8.1300000000000008</v>
      </c>
      <c r="H12" s="73">
        <v>1640</v>
      </c>
      <c r="I12" s="78">
        <v>2120</v>
      </c>
      <c r="J12" s="61"/>
      <c r="K12" s="2">
        <f t="shared" si="2"/>
        <v>95.934000000000012</v>
      </c>
      <c r="L12" s="1">
        <f t="shared" si="3"/>
        <v>110</v>
      </c>
      <c r="M12" s="234">
        <f t="shared" si="4"/>
        <v>4.7004803657924166</v>
      </c>
      <c r="N12" s="3">
        <f t="shared" si="5"/>
        <v>609.7560975609756</v>
      </c>
      <c r="O12" s="3">
        <f t="shared" si="5"/>
        <v>471.69811320754718</v>
      </c>
      <c r="P12" s="3">
        <f t="shared" si="6"/>
        <v>36585.365853658535</v>
      </c>
      <c r="Q12" s="3">
        <f t="shared" si="6"/>
        <v>28301.886792452831</v>
      </c>
      <c r="R12" s="3">
        <f t="shared" si="7"/>
        <v>79.395325203252028</v>
      </c>
      <c r="S12" s="3">
        <f t="shared" si="7"/>
        <v>61.419025157232703</v>
      </c>
      <c r="T12" s="3">
        <f t="shared" si="8"/>
        <v>110</v>
      </c>
      <c r="U12" s="158">
        <f t="shared" si="0"/>
        <v>95.934000000000012</v>
      </c>
      <c r="V12" s="229">
        <f t="shared" si="21"/>
        <v>94.203020000000009</v>
      </c>
      <c r="W12" s="234">
        <f t="shared" si="22"/>
        <v>0.12632832228644003</v>
      </c>
      <c r="X12" s="230">
        <f t="shared" si="26"/>
        <v>1.8135020196389139E-2</v>
      </c>
      <c r="Y12" s="230">
        <f t="shared" si="27"/>
        <v>1.5119581085266998E-2</v>
      </c>
      <c r="Z12" s="228">
        <f t="shared" si="9"/>
        <v>2.2145905294235728</v>
      </c>
      <c r="AA12" s="229">
        <f t="shared" si="10"/>
        <v>32.324728415304151</v>
      </c>
      <c r="AB12" s="2">
        <f t="shared" si="28"/>
        <v>33.694757244881011</v>
      </c>
      <c r="AC12" s="158">
        <f t="shared" si="11"/>
        <v>29.192510295542377</v>
      </c>
      <c r="AD12" s="175">
        <f t="shared" si="12"/>
        <v>65.683148164970348</v>
      </c>
      <c r="AE12" s="175">
        <f t="shared" si="13"/>
        <v>81.503582994074819</v>
      </c>
      <c r="AF12" s="165">
        <f t="shared" si="23"/>
        <v>2.7919347178074032</v>
      </c>
      <c r="AG12" s="151"/>
      <c r="AH12" s="228">
        <f t="shared" si="14"/>
        <v>3.0555555555555558</v>
      </c>
      <c r="AI12" s="228">
        <f t="shared" si="15"/>
        <v>110.00000000000001</v>
      </c>
      <c r="AJ12" s="229">
        <f t="shared" si="16"/>
        <v>36382.413388357301</v>
      </c>
      <c r="AK12" s="229">
        <f t="shared" si="17"/>
        <v>78.954890165705947</v>
      </c>
      <c r="AL12" s="229">
        <f t="shared" si="18"/>
        <v>61.503294372556027</v>
      </c>
      <c r="AM12" s="229">
        <f t="shared" si="19"/>
        <v>78.930691133935539</v>
      </c>
      <c r="AN12" s="2">
        <f t="shared" si="29"/>
        <v>61.503294372556027</v>
      </c>
      <c r="AO12" s="3">
        <f t="shared" si="20"/>
        <v>28340.718046873819</v>
      </c>
      <c r="AP12" s="227">
        <f t="shared" si="24"/>
        <v>1.5526227511280348E-2</v>
      </c>
      <c r="AQ12" s="227">
        <f t="shared" si="30"/>
        <v>0.10755552697583542</v>
      </c>
      <c r="AR12" s="231">
        <f t="shared" si="25"/>
        <v>8.5315408330768326E-7</v>
      </c>
      <c r="AS12" s="228">
        <f t="shared" si="31"/>
        <v>4.3868766776210391E-2</v>
      </c>
      <c r="AT12" s="232">
        <f t="shared" si="32"/>
        <v>-6.247798188578991E-7</v>
      </c>
      <c r="AU12" s="165">
        <f t="shared" si="34"/>
        <v>5.990401158157245E-2</v>
      </c>
      <c r="AX12" s="127"/>
      <c r="AY12" s="96"/>
    </row>
    <row r="13" spans="1:51" ht="13.95" customHeight="1" x14ac:dyDescent="0.3">
      <c r="A13" t="s">
        <v>232</v>
      </c>
      <c r="B13" s="176">
        <v>62</v>
      </c>
      <c r="C13" s="220">
        <f t="shared" si="1"/>
        <v>1.7333333333333334</v>
      </c>
      <c r="D13" s="73">
        <v>132</v>
      </c>
      <c r="E13" s="73">
        <v>2.62</v>
      </c>
      <c r="F13" s="73">
        <v>11.68</v>
      </c>
      <c r="G13" s="73">
        <v>11.7</v>
      </c>
      <c r="H13" s="73">
        <v>1460</v>
      </c>
      <c r="I13" s="78">
        <v>1840</v>
      </c>
      <c r="J13" s="61"/>
      <c r="K13" s="2">
        <f t="shared" si="2"/>
        <v>136.65599999999998</v>
      </c>
      <c r="L13" s="1">
        <f t="shared" si="3"/>
        <v>132</v>
      </c>
      <c r="M13" s="234">
        <f t="shared" si="4"/>
        <v>4.8828019225863706</v>
      </c>
      <c r="N13" s="3">
        <f t="shared" si="5"/>
        <v>684.93150684931516</v>
      </c>
      <c r="O13" s="3">
        <f t="shared" si="5"/>
        <v>543.47826086956525</v>
      </c>
      <c r="P13" s="3">
        <f t="shared" si="6"/>
        <v>41095.890410958906</v>
      </c>
      <c r="Q13" s="3">
        <f t="shared" si="6"/>
        <v>32608.695652173916</v>
      </c>
      <c r="R13" s="3">
        <f t="shared" si="7"/>
        <v>89.183789954337897</v>
      </c>
      <c r="S13" s="3">
        <f t="shared" si="7"/>
        <v>70.76539855072464</v>
      </c>
      <c r="T13" s="3">
        <f t="shared" si="8"/>
        <v>132</v>
      </c>
      <c r="U13" s="158">
        <f t="shared" si="0"/>
        <v>136.65599999999998</v>
      </c>
      <c r="V13" s="229">
        <f t="shared" si="21"/>
        <v>134.92501999999999</v>
      </c>
      <c r="W13" s="234">
        <f t="shared" si="22"/>
        <v>0.18093742017044001</v>
      </c>
      <c r="X13" s="230">
        <f t="shared" si="26"/>
        <v>2.3123561047888673E-2</v>
      </c>
      <c r="Y13" s="230">
        <f t="shared" si="27"/>
        <v>2.0108121936766532E-2</v>
      </c>
      <c r="Z13" s="228">
        <f t="shared" si="9"/>
        <v>3.138820028500596</v>
      </c>
      <c r="AA13" s="229">
        <f t="shared" si="10"/>
        <v>54.543669194719321</v>
      </c>
      <c r="AB13" s="2">
        <f t="shared" si="28"/>
        <v>39.913117019903503</v>
      </c>
      <c r="AC13" s="158">
        <f t="shared" si="11"/>
        <v>34.754250769053904</v>
      </c>
      <c r="AD13" s="175">
        <f t="shared" si="12"/>
        <v>78.197064230371282</v>
      </c>
      <c r="AE13" s="175">
        <f t="shared" si="13"/>
        <v>93.906302145347084</v>
      </c>
      <c r="AF13" s="165">
        <f t="shared" si="23"/>
        <v>2.7020091087379652</v>
      </c>
      <c r="AG13" s="151"/>
      <c r="AH13" s="228">
        <f t="shared" si="14"/>
        <v>3.6666666666666665</v>
      </c>
      <c r="AI13" s="228">
        <f t="shared" si="15"/>
        <v>132</v>
      </c>
      <c r="AJ13" s="229">
        <f t="shared" si="16"/>
        <v>39000.091304328736</v>
      </c>
      <c r="AK13" s="229">
        <f t="shared" si="17"/>
        <v>84.635614809741185</v>
      </c>
      <c r="AL13" s="229">
        <f t="shared" si="18"/>
        <v>67.053884829399593</v>
      </c>
      <c r="AM13" s="229">
        <f t="shared" si="19"/>
        <v>84.604054571764621</v>
      </c>
      <c r="AN13" s="2">
        <f t="shared" si="29"/>
        <v>67.053884829399593</v>
      </c>
      <c r="AO13" s="3">
        <f t="shared" si="20"/>
        <v>30898.430129387332</v>
      </c>
      <c r="AP13" s="227">
        <f t="shared" si="24"/>
        <v>1.7829637468826251E-2</v>
      </c>
      <c r="AQ13" s="227">
        <f t="shared" si="30"/>
        <v>0.13239860799834435</v>
      </c>
      <c r="AR13" s="231">
        <f t="shared" si="25"/>
        <v>9.0673390252276299E-7</v>
      </c>
      <c r="AS13" s="228">
        <f t="shared" si="31"/>
        <v>4.127651717958869E-2</v>
      </c>
      <c r="AT13" s="232">
        <f t="shared" si="32"/>
        <v>-7.6550521145609418E-7</v>
      </c>
      <c r="AU13" s="165">
        <f t="shared" si="34"/>
        <v>4.8891656052354585E-2</v>
      </c>
      <c r="AX13" s="127"/>
      <c r="AY13" s="96"/>
    </row>
    <row r="14" spans="1:51" ht="13.95" customHeight="1" thickBot="1" x14ac:dyDescent="0.35">
      <c r="A14" t="s">
        <v>233</v>
      </c>
      <c r="B14" t="s">
        <v>234</v>
      </c>
      <c r="C14" s="221">
        <f t="shared" si="1"/>
        <v>1.9722222222222223</v>
      </c>
      <c r="D14" s="80">
        <v>175</v>
      </c>
      <c r="E14" s="80">
        <v>3.68</v>
      </c>
      <c r="F14" s="80">
        <v>11.46</v>
      </c>
      <c r="G14" s="80">
        <v>14.25</v>
      </c>
      <c r="H14" s="80">
        <v>1360</v>
      </c>
      <c r="I14" s="81">
        <v>1650</v>
      </c>
      <c r="J14" s="61"/>
      <c r="K14" s="2">
        <f t="shared" si="2"/>
        <v>163.30500000000001</v>
      </c>
      <c r="L14" s="1">
        <f t="shared" si="3"/>
        <v>175</v>
      </c>
      <c r="M14" s="234">
        <f t="shared" si="4"/>
        <v>5.1647859739235145</v>
      </c>
      <c r="N14" s="3">
        <f t="shared" si="5"/>
        <v>735.2941176470589</v>
      </c>
      <c r="O14" s="3">
        <f t="shared" si="5"/>
        <v>606.06060606060612</v>
      </c>
      <c r="P14" s="3">
        <f t="shared" si="6"/>
        <v>44117.647058823532</v>
      </c>
      <c r="Q14" s="3">
        <f t="shared" si="6"/>
        <v>36363.636363636368</v>
      </c>
      <c r="R14" s="3">
        <f t="shared" si="7"/>
        <v>95.741421568627459</v>
      </c>
      <c r="S14" s="3">
        <f t="shared" si="7"/>
        <v>78.914141414141426</v>
      </c>
      <c r="T14" s="3">
        <f t="shared" si="8"/>
        <v>175</v>
      </c>
      <c r="U14" s="158">
        <f t="shared" si="0"/>
        <v>163.30500000000001</v>
      </c>
      <c r="V14" s="229">
        <f t="shared" si="21"/>
        <v>161.57402000000002</v>
      </c>
      <c r="W14" s="234">
        <f t="shared" si="22"/>
        <v>0.21667431544844004</v>
      </c>
      <c r="X14" s="230">
        <f t="shared" si="26"/>
        <v>2.5794066107331357E-2</v>
      </c>
      <c r="Y14" s="230">
        <f t="shared" si="27"/>
        <v>2.2778626996209216E-2</v>
      </c>
      <c r="Z14" s="163">
        <f>C34/0.224</f>
        <v>4.4249528005034611</v>
      </c>
      <c r="AA14" s="229">
        <f t="shared" si="10"/>
        <v>91.297248929319878</v>
      </c>
      <c r="AB14" s="2">
        <f>AA14/U14*100</f>
        <v>55.905972829564234</v>
      </c>
      <c r="AC14" s="158">
        <f t="shared" si="11"/>
        <v>41.264733453849395</v>
      </c>
      <c r="AD14" s="175">
        <f>AC14*1/1.6/1000*3600</f>
        <v>92.845650271161119</v>
      </c>
      <c r="AE14" s="175">
        <f t="shared" si="13"/>
        <v>104.71975511965978</v>
      </c>
      <c r="AF14" s="165">
        <f t="shared" si="23"/>
        <v>2.5377543086950669</v>
      </c>
      <c r="AG14" s="151"/>
      <c r="AH14" s="228">
        <f t="shared" si="14"/>
        <v>4.8611111111111107</v>
      </c>
      <c r="AI14" s="228">
        <f t="shared" si="15"/>
        <v>174.99999999999997</v>
      </c>
      <c r="AJ14" s="229">
        <f t="shared" si="16"/>
        <v>43048.671388995259</v>
      </c>
      <c r="AK14" s="229">
        <f t="shared" si="17"/>
        <v>93.421595896257074</v>
      </c>
      <c r="AL14" s="229">
        <f t="shared" si="18"/>
        <v>75.638596433759602</v>
      </c>
      <c r="AM14" s="229">
        <f t="shared" si="19"/>
        <v>93.378650593424581</v>
      </c>
      <c r="AN14" s="2">
        <f t="shared" si="29"/>
        <v>75.638596433759602</v>
      </c>
      <c r="AO14" s="3">
        <f t="shared" si="20"/>
        <v>34854.265236676423</v>
      </c>
      <c r="AP14" s="227">
        <f t="shared" si="24"/>
        <v>2.1668371508124493E-2</v>
      </c>
      <c r="AQ14" s="227">
        <f t="shared" si="30"/>
        <v>0.1776075027775931</v>
      </c>
      <c r="AR14" s="231">
        <f t="shared" si="25"/>
        <v>9.8960207652181796E-7</v>
      </c>
      <c r="AS14" s="228">
        <f t="shared" si="31"/>
        <v>3.7820067674414551E-2</v>
      </c>
      <c r="AT14" s="232">
        <f t="shared" si="32"/>
        <v>-9.3023606076218221E-7</v>
      </c>
      <c r="AU14" s="165">
        <f t="shared" si="34"/>
        <v>4.0233677325012464E-2</v>
      </c>
      <c r="AX14" s="127"/>
      <c r="AY14" s="96"/>
    </row>
    <row r="15" spans="1:51" ht="13.95" customHeight="1" x14ac:dyDescent="0.3">
      <c r="AE15" s="45"/>
      <c r="AF15" s="30"/>
      <c r="AV15" s="146"/>
      <c r="AW15" s="95"/>
      <c r="AX15" s="128"/>
      <c r="AY15" s="96"/>
    </row>
    <row r="16" spans="1:51" x14ac:dyDescent="0.3">
      <c r="A16" t="s">
        <v>235</v>
      </c>
      <c r="AE16" s="194"/>
      <c r="AF16" s="30"/>
    </row>
    <row r="17" spans="1:65" ht="13.95" customHeight="1" x14ac:dyDescent="0.3">
      <c r="A17">
        <v>1</v>
      </c>
      <c r="C17" t="s">
        <v>236</v>
      </c>
      <c r="I17" s="3" t="s">
        <v>28</v>
      </c>
      <c r="J17" s="11" t="s">
        <v>29</v>
      </c>
      <c r="K17" s="12"/>
      <c r="L17" s="12"/>
      <c r="AE17" s="45"/>
      <c r="AF17" s="30"/>
    </row>
    <row r="18" spans="1:65" ht="13.95" customHeight="1" x14ac:dyDescent="0.3">
      <c r="A18">
        <v>2</v>
      </c>
      <c r="C18" t="s">
        <v>237</v>
      </c>
      <c r="I18" s="3"/>
      <c r="J18" s="13" t="s">
        <v>276</v>
      </c>
      <c r="K18" s="14"/>
      <c r="L18" s="14"/>
      <c r="AE18" s="149"/>
      <c r="AF18" s="30"/>
    </row>
    <row r="19" spans="1:65" ht="13.95" customHeight="1" x14ac:dyDescent="0.3">
      <c r="A19">
        <v>3</v>
      </c>
      <c r="C19" t="s">
        <v>239</v>
      </c>
      <c r="I19" s="3"/>
      <c r="J19" s="15" t="s">
        <v>274</v>
      </c>
      <c r="K19" s="16"/>
      <c r="L19" s="16"/>
      <c r="AE19" s="149"/>
      <c r="AF19" s="30"/>
    </row>
    <row r="20" spans="1:65" ht="13.95" customHeight="1" x14ac:dyDescent="0.3">
      <c r="A20">
        <v>4</v>
      </c>
      <c r="C20" t="s">
        <v>238</v>
      </c>
      <c r="J20" s="288" t="s">
        <v>297</v>
      </c>
      <c r="K20" s="287"/>
      <c r="L20" s="287"/>
      <c r="M20" s="287"/>
      <c r="N20" s="287"/>
      <c r="O20" s="289"/>
      <c r="AE20" s="149"/>
      <c r="AF20" s="30"/>
      <c r="AN20" s="45"/>
    </row>
    <row r="21" spans="1:65" ht="13.95" customHeight="1" x14ac:dyDescent="0.3">
      <c r="A21">
        <v>5</v>
      </c>
      <c r="C21" t="s">
        <v>240</v>
      </c>
      <c r="O21" s="188"/>
      <c r="AE21" s="149"/>
      <c r="AF21" s="30"/>
      <c r="AN21" s="45"/>
      <c r="AO21" s="5"/>
      <c r="AU21" s="5"/>
      <c r="AV21" s="5"/>
    </row>
    <row r="22" spans="1:65" ht="13.95" customHeight="1" thickBot="1" x14ac:dyDescent="0.35">
      <c r="A22">
        <v>6</v>
      </c>
      <c r="C22" t="s">
        <v>241</v>
      </c>
      <c r="O22" s="188"/>
      <c r="AN22" s="45"/>
      <c r="AO22" s="5"/>
      <c r="AV22" s="5"/>
    </row>
    <row r="23" spans="1:65" ht="13.95" customHeight="1" x14ac:dyDescent="0.3">
      <c r="A23">
        <v>7</v>
      </c>
      <c r="C23" t="s">
        <v>243</v>
      </c>
      <c r="O23" s="188"/>
      <c r="P23" s="214" t="s">
        <v>270</v>
      </c>
      <c r="Q23" s="64"/>
      <c r="R23" s="64"/>
      <c r="S23" s="64"/>
      <c r="T23" s="29"/>
      <c r="AN23" s="45"/>
      <c r="AO23" s="5"/>
      <c r="AV23" s="5"/>
    </row>
    <row r="24" spans="1:65" ht="13.95" customHeight="1" x14ac:dyDescent="0.3">
      <c r="A24" s="45">
        <v>8</v>
      </c>
      <c r="B24" s="45"/>
      <c r="C24" s="45" t="s">
        <v>275</v>
      </c>
      <c r="D24" s="61"/>
      <c r="E24" s="61"/>
      <c r="F24" s="61"/>
      <c r="G24" s="61"/>
      <c r="O24" s="188"/>
      <c r="P24" s="268" t="s">
        <v>15</v>
      </c>
      <c r="Q24" s="269">
        <f>C46</f>
        <v>5</v>
      </c>
      <c r="R24" s="45"/>
      <c r="S24" s="30"/>
      <c r="T24" s="31" t="s">
        <v>265</v>
      </c>
      <c r="AN24" s="45"/>
      <c r="AO24" s="5"/>
      <c r="AV24" s="5"/>
    </row>
    <row r="25" spans="1:65" ht="13.95" customHeight="1" thickBot="1" x14ac:dyDescent="0.35">
      <c r="H25" s="61"/>
      <c r="I25" s="61"/>
      <c r="J25" s="61"/>
      <c r="K25" s="187"/>
      <c r="L25" s="61"/>
      <c r="M25" s="61"/>
      <c r="N25" s="188"/>
      <c r="O25" s="188"/>
      <c r="P25" s="268" t="s">
        <v>17</v>
      </c>
      <c r="Q25" s="269">
        <f>C38</f>
        <v>5</v>
      </c>
      <c r="R25" s="30"/>
      <c r="S25" s="30"/>
      <c r="T25" s="31" t="s">
        <v>265</v>
      </c>
      <c r="AN25" s="45"/>
      <c r="AO25" s="5"/>
      <c r="AV25" s="5"/>
    </row>
    <row r="26" spans="1:65" ht="13.95" customHeight="1" x14ac:dyDescent="0.3">
      <c r="A26" t="s">
        <v>32</v>
      </c>
      <c r="B26" s="17" t="s">
        <v>3</v>
      </c>
      <c r="C26" s="18">
        <v>1</v>
      </c>
      <c r="D26"/>
      <c r="F26"/>
      <c r="G26" s="61"/>
      <c r="I26" s="17" t="s">
        <v>134</v>
      </c>
      <c r="J26" s="28"/>
      <c r="K26" s="28"/>
      <c r="L26" s="29"/>
      <c r="M26" s="61"/>
      <c r="N26" s="188"/>
      <c r="O26" s="188"/>
      <c r="P26" s="268" t="s">
        <v>16</v>
      </c>
      <c r="Q26" s="269">
        <f>C37</f>
        <v>0</v>
      </c>
      <c r="R26" s="30"/>
      <c r="S26" s="30"/>
      <c r="T26" s="31" t="s">
        <v>265</v>
      </c>
      <c r="AN26" s="45"/>
      <c r="AO26" s="5"/>
      <c r="AV26" s="5"/>
    </row>
    <row r="27" spans="1:65" ht="13.95" customHeight="1" x14ac:dyDescent="0.3">
      <c r="A27" s="189"/>
      <c r="B27" s="19" t="s">
        <v>4</v>
      </c>
      <c r="C27" s="20">
        <v>4800</v>
      </c>
      <c r="D27" t="s">
        <v>77</v>
      </c>
      <c r="F27"/>
      <c r="G27" s="61"/>
      <c r="I27" s="19" t="s">
        <v>128</v>
      </c>
      <c r="J27" s="208">
        <v>25</v>
      </c>
      <c r="K27" s="30" t="s">
        <v>93</v>
      </c>
      <c r="L27" s="31"/>
      <c r="M27" s="61"/>
      <c r="N27" s="188"/>
      <c r="O27" s="188"/>
      <c r="P27" s="268" t="s">
        <v>14</v>
      </c>
      <c r="Q27" s="269">
        <f>C45</f>
        <v>0</v>
      </c>
      <c r="R27" s="45"/>
      <c r="S27" s="30"/>
      <c r="T27" s="31" t="s">
        <v>265</v>
      </c>
      <c r="AN27" s="45"/>
      <c r="AO27" s="5"/>
      <c r="AP27" s="5"/>
      <c r="AY27" t="s">
        <v>326</v>
      </c>
      <c r="AZ27">
        <v>-25454</v>
      </c>
      <c r="BA27">
        <v>13061</v>
      </c>
    </row>
    <row r="28" spans="1:65" ht="13.95" customHeight="1" x14ac:dyDescent="0.3">
      <c r="A28" s="189"/>
      <c r="B28" s="19" t="s">
        <v>5</v>
      </c>
      <c r="C28" s="20">
        <v>12</v>
      </c>
      <c r="D28"/>
      <c r="F28"/>
      <c r="G28" s="61"/>
      <c r="I28" s="19" t="s">
        <v>144</v>
      </c>
      <c r="J28" s="208">
        <v>2.1797</v>
      </c>
      <c r="K28" s="30" t="s">
        <v>94</v>
      </c>
      <c r="L28" s="31"/>
      <c r="M28" s="61"/>
      <c r="N28" s="188"/>
      <c r="O28" s="188"/>
      <c r="P28" s="268" t="s">
        <v>177</v>
      </c>
      <c r="Q28" s="270">
        <f>$C$43</f>
        <v>1.2250000000000001</v>
      </c>
      <c r="R28" s="30"/>
      <c r="S28" s="30"/>
      <c r="T28" s="31" t="s">
        <v>161</v>
      </c>
      <c r="AN28" s="45"/>
      <c r="AO28" s="5"/>
      <c r="AP28" s="5"/>
    </row>
    <row r="29" spans="1:65" ht="13.95" customHeight="1" x14ac:dyDescent="0.3">
      <c r="A29" s="189"/>
      <c r="B29" s="57" t="s">
        <v>69</v>
      </c>
      <c r="C29" s="20">
        <v>3.9899999999999998E-2</v>
      </c>
      <c r="D29" t="s">
        <v>76</v>
      </c>
      <c r="F29"/>
      <c r="G29" s="6"/>
      <c r="I29" s="19" t="s">
        <v>129</v>
      </c>
      <c r="J29" s="44">
        <f>($J$27/25.4)^2*$J$28/1000*2.2/3</f>
        <v>1.5484983053299442E-3</v>
      </c>
      <c r="K29" s="30" t="s">
        <v>96</v>
      </c>
      <c r="L29" s="177" t="s">
        <v>146</v>
      </c>
      <c r="N29" s="3"/>
      <c r="O29" s="3"/>
      <c r="P29" s="215"/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65" ht="13.95" customHeight="1" x14ac:dyDescent="0.3">
      <c r="A30" s="189"/>
      <c r="B30" s="57" t="s">
        <v>70</v>
      </c>
      <c r="C30" s="129">
        <v>4.1999999999999996E-6</v>
      </c>
      <c r="D30" t="s">
        <v>75</v>
      </c>
      <c r="F30"/>
      <c r="G30" s="6"/>
      <c r="I30" s="19" t="s">
        <v>141</v>
      </c>
      <c r="J30" s="210">
        <f>3/8/2*25.4</f>
        <v>4.7624999999999993</v>
      </c>
      <c r="K30" s="30" t="s">
        <v>93</v>
      </c>
      <c r="L30" s="31" t="s">
        <v>142</v>
      </c>
      <c r="N30" s="3"/>
      <c r="O30" s="3"/>
      <c r="P30" s="217" t="s">
        <v>271</v>
      </c>
      <c r="Q30" s="213"/>
      <c r="R30" s="213"/>
      <c r="S30" s="213"/>
      <c r="T30" s="216"/>
      <c r="AN30" s="45"/>
      <c r="AO30" s="5"/>
      <c r="AP30" s="5"/>
      <c r="AQ30" s="5"/>
      <c r="AR30" s="5"/>
      <c r="AS30" s="151"/>
      <c r="AT30" s="153"/>
      <c r="AU30" s="5"/>
    </row>
    <row r="31" spans="1:65" ht="13.95" customHeight="1" x14ac:dyDescent="0.3">
      <c r="A31" s="189"/>
      <c r="B31" s="19" t="s">
        <v>255</v>
      </c>
      <c r="C31" s="20">
        <v>240</v>
      </c>
      <c r="D31" t="s">
        <v>256</v>
      </c>
      <c r="F31"/>
      <c r="G31" s="6"/>
      <c r="I31" s="19" t="s">
        <v>143</v>
      </c>
      <c r="J31" s="210">
        <f>3/4*25.4</f>
        <v>19.049999999999997</v>
      </c>
      <c r="K31" s="30" t="s">
        <v>93</v>
      </c>
      <c r="L31" s="31" t="s">
        <v>142</v>
      </c>
      <c r="N31" s="3"/>
      <c r="O31" s="3"/>
      <c r="P31" s="268" t="s">
        <v>27</v>
      </c>
      <c r="Q31" s="269">
        <f>$C$27*$C$28/$B$50/100</f>
        <v>460.8</v>
      </c>
      <c r="R31" s="30"/>
      <c r="S31" s="30"/>
      <c r="T31" s="31" t="s">
        <v>266</v>
      </c>
      <c r="AN31" s="45"/>
      <c r="AO31" s="5"/>
    </row>
    <row r="32" spans="1:65" ht="15" thickBot="1" x14ac:dyDescent="0.35">
      <c r="A32" s="189"/>
      <c r="B32" s="57" t="s">
        <v>71</v>
      </c>
      <c r="C32" s="130">
        <f>C27*2*PI()/60</f>
        <v>502.6548245743669</v>
      </c>
      <c r="D32" t="s">
        <v>73</v>
      </c>
      <c r="F32"/>
      <c r="G32" s="6"/>
      <c r="I32" s="19" t="s">
        <v>145</v>
      </c>
      <c r="J32" s="44">
        <f>PI()*($J$30/25.4)^2/4*3/4*0.3</f>
        <v>6.2126221909368446E-3</v>
      </c>
      <c r="K32" s="30" t="s">
        <v>148</v>
      </c>
      <c r="L32" s="31" t="s">
        <v>142</v>
      </c>
      <c r="N32" s="3"/>
      <c r="O32" s="3"/>
      <c r="P32" s="268" t="s">
        <v>18</v>
      </c>
      <c r="Q32" s="269">
        <f>C48</f>
        <v>180</v>
      </c>
      <c r="R32" s="30"/>
      <c r="S32" s="30"/>
      <c r="T32" s="31" t="s">
        <v>175</v>
      </c>
      <c r="AY32" t="s">
        <v>342</v>
      </c>
      <c r="AZ32" s="262">
        <v>7.0220000000000002</v>
      </c>
      <c r="BA32" s="73">
        <v>14</v>
      </c>
      <c r="BB32" s="73">
        <v>18</v>
      </c>
      <c r="BC32" s="73">
        <v>24</v>
      </c>
      <c r="BD32" s="73">
        <v>28</v>
      </c>
      <c r="BE32" s="73">
        <v>36</v>
      </c>
      <c r="BF32" s="73">
        <v>52</v>
      </c>
      <c r="BG32" s="73">
        <v>73</v>
      </c>
      <c r="BH32" s="73">
        <v>94</v>
      </c>
      <c r="BI32" s="73">
        <v>99</v>
      </c>
      <c r="BJ32" s="73">
        <v>110</v>
      </c>
      <c r="BK32" s="73">
        <v>132</v>
      </c>
      <c r="BL32" s="80">
        <v>175</v>
      </c>
      <c r="BM32">
        <v>180</v>
      </c>
    </row>
    <row r="33" spans="1:65" ht="13.95" customHeight="1" x14ac:dyDescent="0.3">
      <c r="A33" s="189"/>
      <c r="B33" s="57" t="s">
        <v>72</v>
      </c>
      <c r="C33" s="132">
        <f>7/C32</f>
        <v>1.3926057520540842E-2</v>
      </c>
      <c r="D33" t="s">
        <v>74</v>
      </c>
      <c r="F33"/>
      <c r="G33" s="6"/>
      <c r="I33" s="19" t="s">
        <v>135</v>
      </c>
      <c r="J33" s="44">
        <f>($J$30/25.4)^2*$J$32/2</f>
        <v>1.0920624945006168E-4</v>
      </c>
      <c r="K33" s="30" t="s">
        <v>96</v>
      </c>
      <c r="L33" s="31" t="s">
        <v>147</v>
      </c>
      <c r="N33" s="3"/>
      <c r="O33" s="3"/>
      <c r="P33" s="268" t="s">
        <v>13</v>
      </c>
      <c r="Q33" s="269">
        <f>C47</f>
        <v>0</v>
      </c>
      <c r="R33" s="30"/>
      <c r="S33" s="30"/>
      <c r="T33" s="31" t="s">
        <v>175</v>
      </c>
      <c r="AZ33" s="174">
        <v>-0.27337168179292348</v>
      </c>
      <c r="BA33" s="174">
        <v>9014.727782104892</v>
      </c>
      <c r="BB33" s="174">
        <v>12297.145529881804</v>
      </c>
      <c r="BC33" s="174">
        <v>16054.56107817452</v>
      </c>
      <c r="BD33" s="174">
        <v>18067.923107398339</v>
      </c>
      <c r="BE33" s="174">
        <v>21350.340855175251</v>
      </c>
      <c r="BF33" s="174">
        <v>26153.194208392022</v>
      </c>
      <c r="BG33" s="174">
        <v>30583.69076083913</v>
      </c>
      <c r="BH33" s="174">
        <v>33885.973151228522</v>
      </c>
      <c r="BI33" s="174">
        <v>34562.860362607877</v>
      </c>
      <c r="BJ33" s="174">
        <v>35938.974057614752</v>
      </c>
      <c r="BK33" s="174">
        <v>38320.275910900586</v>
      </c>
      <c r="BL33" s="174">
        <v>42003.269605415029</v>
      </c>
      <c r="BM33" s="174">
        <v>42371.209429477036</v>
      </c>
    </row>
    <row r="34" spans="1:65" ht="13.95" customHeight="1" thickBot="1" x14ac:dyDescent="0.35">
      <c r="B34" s="131" t="s">
        <v>257</v>
      </c>
      <c r="C34" s="204">
        <f>450/454</f>
        <v>0.99118942731277537</v>
      </c>
      <c r="D34" s="6" t="s">
        <v>155</v>
      </c>
      <c r="F34" s="6"/>
      <c r="G34" s="6"/>
      <c r="I34" s="19" t="s">
        <v>95</v>
      </c>
      <c r="J34" s="44">
        <f>$J$29+$J$33</f>
        <v>1.6577045547800059E-3</v>
      </c>
      <c r="K34" s="30" t="s">
        <v>96</v>
      </c>
      <c r="L34" s="31"/>
      <c r="N34" s="3"/>
      <c r="O34" s="3"/>
      <c r="P34" s="268" t="s">
        <v>178</v>
      </c>
      <c r="Q34" s="270">
        <f>(C40^2-C41^2)*PI()/4/1000^2</f>
        <v>2.1213604393365078E-3</v>
      </c>
      <c r="R34" s="30"/>
      <c r="S34" s="30"/>
      <c r="T34" s="31" t="s">
        <v>264</v>
      </c>
      <c r="AY34" s="262">
        <v>7.0205000000000002</v>
      </c>
      <c r="AZ34">
        <f>(LN($AY34)*$BA$27+$AZ$27)/$Q$31</f>
        <v>-5.9325451777978181E-4</v>
      </c>
      <c r="BA34" s="174">
        <f>AZ34*$Q$31</f>
        <v>-0.27337168179292348</v>
      </c>
      <c r="BB34" s="174">
        <v>-0.27337168179292348</v>
      </c>
    </row>
    <row r="35" spans="1:65" ht="15" customHeight="1" thickBot="1" x14ac:dyDescent="0.35">
      <c r="D35"/>
      <c r="F35" s="6"/>
      <c r="G35" s="6"/>
      <c r="I35" s="19" t="s">
        <v>95</v>
      </c>
      <c r="J35" s="44">
        <f>$J$34/144</f>
        <v>1.1511837185972264E-5</v>
      </c>
      <c r="K35" s="30" t="s">
        <v>97</v>
      </c>
      <c r="L35" s="31"/>
      <c r="N35" s="3"/>
      <c r="O35" s="3"/>
      <c r="P35" s="268" t="s">
        <v>183</v>
      </c>
      <c r="Q35" s="271">
        <f>1/1.3556</f>
        <v>0.73768073177928595</v>
      </c>
      <c r="R35" s="30"/>
      <c r="S35" s="30"/>
      <c r="T35" s="31" t="s">
        <v>269</v>
      </c>
      <c r="AY35" s="73">
        <v>14</v>
      </c>
      <c r="AZ35">
        <f t="shared" ref="AZ35:AZ47" si="35">(LN($AY35)*$BA$27+$AZ$27)/$Q$31</f>
        <v>19.563211332692909</v>
      </c>
      <c r="BA35" s="174">
        <f t="shared" ref="BA35:BA47" si="36">AZ35*$Q$31</f>
        <v>9014.727782104892</v>
      </c>
      <c r="BB35" s="174">
        <v>9014.727782104892</v>
      </c>
    </row>
    <row r="36" spans="1:65" ht="15" customHeight="1" thickBot="1" x14ac:dyDescent="0.35">
      <c r="A36" t="s">
        <v>33</v>
      </c>
      <c r="B36" s="17"/>
      <c r="C36" s="222" t="s">
        <v>22</v>
      </c>
      <c r="D36"/>
      <c r="F36" s="6"/>
      <c r="G36" s="6"/>
      <c r="I36" s="21" t="s">
        <v>95</v>
      </c>
      <c r="J36" s="108">
        <f>$J$35/2048.5*6.66</f>
        <v>3.7426817504796325E-8</v>
      </c>
      <c r="K36" s="32" t="s">
        <v>98</v>
      </c>
      <c r="L36" s="33"/>
      <c r="N36" s="3"/>
      <c r="O36" s="3"/>
      <c r="P36" s="268" t="s">
        <v>184</v>
      </c>
      <c r="Q36" s="272">
        <f>$J$35/2048.5*6.66</f>
        <v>3.7426817504796325E-8</v>
      </c>
      <c r="R36" s="30"/>
      <c r="S36" s="30"/>
      <c r="T36" s="31" t="s">
        <v>80</v>
      </c>
      <c r="AY36" s="73">
        <v>18</v>
      </c>
      <c r="AZ36">
        <f t="shared" si="35"/>
        <v>26.686513736722663</v>
      </c>
      <c r="BA36" s="174">
        <f t="shared" si="36"/>
        <v>12297.145529881804</v>
      </c>
      <c r="BB36" s="174">
        <v>12297.145529881804</v>
      </c>
    </row>
    <row r="37" spans="1:65" ht="15" customHeight="1" x14ac:dyDescent="0.3">
      <c r="B37" s="24" t="s">
        <v>16</v>
      </c>
      <c r="C37" s="203">
        <v>0</v>
      </c>
      <c r="D37"/>
      <c r="F37" s="6"/>
      <c r="G37" s="6"/>
      <c r="I37" s="30"/>
      <c r="J37" s="45"/>
      <c r="K37" s="30"/>
      <c r="L37" s="30"/>
      <c r="N37" s="3"/>
      <c r="O37" s="3"/>
      <c r="P37" s="268" t="s">
        <v>199</v>
      </c>
      <c r="Q37" s="270">
        <f>C40/1000</f>
        <v>5.5E-2</v>
      </c>
      <c r="R37" s="30"/>
      <c r="S37" s="30"/>
      <c r="T37" s="31" t="s">
        <v>262</v>
      </c>
      <c r="AY37" s="73">
        <v>24</v>
      </c>
      <c r="AZ37">
        <f t="shared" si="35"/>
        <v>34.840627339788455</v>
      </c>
      <c r="BA37" s="174">
        <f t="shared" si="36"/>
        <v>16054.56107817452</v>
      </c>
      <c r="BB37" s="174">
        <v>16054.56107817452</v>
      </c>
    </row>
    <row r="38" spans="1:65" ht="15" thickBot="1" x14ac:dyDescent="0.35">
      <c r="B38" s="26" t="s">
        <v>17</v>
      </c>
      <c r="C38" s="200">
        <v>5</v>
      </c>
      <c r="I38" s="208" t="s">
        <v>292</v>
      </c>
      <c r="J38" s="208"/>
      <c r="K38" s="208"/>
      <c r="L38" s="208"/>
      <c r="N38" s="3"/>
      <c r="O38" s="3"/>
      <c r="P38" s="268" t="s">
        <v>218</v>
      </c>
      <c r="Q38" s="271">
        <f>$Z$14</f>
        <v>4.4249528005034611</v>
      </c>
      <c r="R38" s="30"/>
      <c r="S38" s="30"/>
      <c r="T38" s="31" t="s">
        <v>158</v>
      </c>
      <c r="AI38" s="5"/>
      <c r="AY38" s="73">
        <v>28</v>
      </c>
      <c r="AZ38">
        <f t="shared" si="35"/>
        <v>39.20990257681931</v>
      </c>
      <c r="BA38" s="174">
        <f t="shared" si="36"/>
        <v>18067.923107398339</v>
      </c>
      <c r="BB38" s="174">
        <v>18067.923107398339</v>
      </c>
    </row>
    <row r="39" spans="1:65" ht="43.8" thickBot="1" x14ac:dyDescent="0.35">
      <c r="I39" s="193" t="s">
        <v>100</v>
      </c>
      <c r="J39" s="236" t="s">
        <v>294</v>
      </c>
      <c r="K39" s="292" t="s">
        <v>341</v>
      </c>
      <c r="L39" s="263" t="s">
        <v>272</v>
      </c>
      <c r="M39" s="264" t="s">
        <v>273</v>
      </c>
      <c r="P39" s="215"/>
      <c r="Q39" s="213"/>
      <c r="R39" s="213"/>
      <c r="S39" s="213"/>
      <c r="T39" s="216"/>
      <c r="AI39" s="5"/>
      <c r="AY39" s="73">
        <v>36</v>
      </c>
      <c r="AZ39">
        <f t="shared" si="35"/>
        <v>46.333204980849068</v>
      </c>
      <c r="BA39" s="174">
        <f t="shared" si="36"/>
        <v>21350.340855175251</v>
      </c>
      <c r="BB39" s="174">
        <v>21350.340855175251</v>
      </c>
      <c r="BC39" s="45"/>
      <c r="BD39" s="45"/>
      <c r="BE39" s="45"/>
    </row>
    <row r="40" spans="1:65" ht="18" x14ac:dyDescent="0.35">
      <c r="A40" s="3" t="s">
        <v>246</v>
      </c>
      <c r="B40" s="17" t="s">
        <v>247</v>
      </c>
      <c r="C40" s="199">
        <v>55</v>
      </c>
      <c r="D40" t="s">
        <v>93</v>
      </c>
      <c r="E40"/>
      <c r="I40" s="248">
        <v>72.5</v>
      </c>
      <c r="J40" s="253">
        <f t="shared" ref="J40:J45" si="37">(I40*$Q$31*$R$44+$Q$44)/$Q$31</f>
        <v>90.170631844457375</v>
      </c>
      <c r="K40" s="242">
        <v>0</v>
      </c>
      <c r="L40" s="213"/>
      <c r="M40" s="216"/>
      <c r="P40" s="226" t="s">
        <v>343</v>
      </c>
      <c r="Q40" s="58"/>
      <c r="R40" s="58"/>
      <c r="S40" s="58"/>
      <c r="T40" s="25"/>
      <c r="AI40" s="5"/>
      <c r="AY40" s="73">
        <v>52</v>
      </c>
      <c r="AZ40">
        <f t="shared" si="35"/>
        <v>56.756063820295182</v>
      </c>
      <c r="BA40" s="174">
        <f t="shared" si="36"/>
        <v>26153.194208392022</v>
      </c>
      <c r="BB40" s="174">
        <v>26153.194208392022</v>
      </c>
      <c r="BC40" s="45"/>
      <c r="BD40" s="195"/>
      <c r="BE40" s="45"/>
    </row>
    <row r="41" spans="1:65" ht="15" thickBot="1" x14ac:dyDescent="0.35">
      <c r="B41" s="21" t="s">
        <v>248</v>
      </c>
      <c r="C41" s="200">
        <v>18</v>
      </c>
      <c r="D41" t="s">
        <v>93</v>
      </c>
      <c r="E41"/>
      <c r="I41" s="241">
        <v>62</v>
      </c>
      <c r="J41" s="253">
        <f t="shared" si="37"/>
        <v>79.438383345784871</v>
      </c>
      <c r="K41" s="243">
        <v>3.5000000000000003E-2</v>
      </c>
      <c r="L41" s="249"/>
      <c r="M41" s="250"/>
      <c r="P41" s="65" t="s">
        <v>121</v>
      </c>
      <c r="Q41" s="205">
        <f>INDEX(LINEST($Q$4:$Q$14,$E$4:$E$14^{1,2},FALSE,FALSE),3)</f>
        <v>0</v>
      </c>
      <c r="R41" s="67">
        <f>INDEX(LINEST($Q$4:$Q$14,$E$4:$E$14^{1,2},FALSE,FALSE),2)</f>
        <v>15515.668826848267</v>
      </c>
      <c r="S41" s="67">
        <f>INDEX(LINEST($Q$4:$Q$14,$E$4:$E$14^{1,2},FALSE,FALSE),1)</f>
        <v>-1431.5901226166982</v>
      </c>
      <c r="T41" s="31" t="s">
        <v>267</v>
      </c>
      <c r="AI41" s="5"/>
      <c r="AY41" s="73">
        <v>73</v>
      </c>
      <c r="AZ41">
        <f t="shared" si="35"/>
        <v>66.370856685848807</v>
      </c>
      <c r="BA41" s="174">
        <f t="shared" si="36"/>
        <v>30583.69076083913</v>
      </c>
      <c r="BB41" s="174">
        <v>30583.69076083913</v>
      </c>
      <c r="BC41" s="45"/>
      <c r="BD41" s="61"/>
      <c r="BE41" s="45"/>
    </row>
    <row r="42" spans="1:65" ht="15" thickBot="1" x14ac:dyDescent="0.35">
      <c r="B42" s="30"/>
      <c r="C42" s="201"/>
      <c r="D42"/>
      <c r="E42"/>
      <c r="H42" s="10"/>
      <c r="I42" s="241">
        <v>47</v>
      </c>
      <c r="J42" s="253">
        <f t="shared" si="37"/>
        <v>64.106599776252708</v>
      </c>
      <c r="K42" s="243">
        <v>8.5000000000000006E-2</v>
      </c>
      <c r="L42" s="251">
        <f>$Q$36/K42</f>
        <v>4.4031550005642732E-7</v>
      </c>
      <c r="M42" s="252">
        <f>-L42/$Q$35</f>
        <v>-5.9689169187649285E-7</v>
      </c>
      <c r="N42" s="266" t="s">
        <v>291</v>
      </c>
      <c r="P42" s="65" t="s">
        <v>21</v>
      </c>
      <c r="Q42" s="205">
        <f>INDEX(LINEST($P$4:$P$14,$M$4:$M$14),2)</f>
        <v>-31104.634574367206</v>
      </c>
      <c r="R42" s="67">
        <f>INDEX(LINEST($P$4:$P$14,$M$4:$M$14),1)</f>
        <v>14357.478961907631</v>
      </c>
      <c r="S42" s="30"/>
      <c r="T42" s="31" t="s">
        <v>267</v>
      </c>
      <c r="AI42" s="5"/>
      <c r="AW42" s="151"/>
      <c r="AX42" s="164"/>
      <c r="AY42" s="73">
        <v>94</v>
      </c>
      <c r="AZ42">
        <f t="shared" si="35"/>
        <v>73.537268123325788</v>
      </c>
      <c r="BA42" s="174">
        <f t="shared" si="36"/>
        <v>33885.973151228522</v>
      </c>
      <c r="BB42" s="174">
        <v>33885.973151228522</v>
      </c>
      <c r="BC42" s="45">
        <f>(32000-BA41)/(BA42-BA41)*(AY42-AY41)+AY41</f>
        <v>82.006647677660041</v>
      </c>
      <c r="BD42" s="61"/>
      <c r="BE42" s="45"/>
    </row>
    <row r="43" spans="1:65" ht="15" thickBot="1" x14ac:dyDescent="0.35">
      <c r="A43" s="10" t="s">
        <v>249</v>
      </c>
      <c r="B43" s="197" t="s">
        <v>250</v>
      </c>
      <c r="C43" s="202">
        <v>1.2250000000000001</v>
      </c>
      <c r="D43" t="s">
        <v>161</v>
      </c>
      <c r="E43" t="s">
        <v>169</v>
      </c>
      <c r="G43" s="6"/>
      <c r="I43" s="241">
        <v>25</v>
      </c>
      <c r="J43" s="253">
        <f t="shared" si="37"/>
        <v>41.619983874272194</v>
      </c>
      <c r="K43" s="243">
        <v>0.28999999999999998</v>
      </c>
      <c r="L43" s="61"/>
      <c r="M43" s="250"/>
      <c r="P43" s="65" t="s">
        <v>122</v>
      </c>
      <c r="Q43" s="205">
        <f>INDEX(LINEST($Q$4:$Q$14,$P$4:$P$14),2)</f>
        <v>-7208.2460738206319</v>
      </c>
      <c r="R43" s="69">
        <f>INDEX(LINEST($Q$4:$Q$14,$P$4:$P$14),1)</f>
        <v>0.97709197411490134</v>
      </c>
      <c r="S43" s="30"/>
      <c r="T43" s="31" t="s">
        <v>267</v>
      </c>
      <c r="AI43" s="5"/>
      <c r="AY43" s="73">
        <v>99</v>
      </c>
      <c r="AZ43">
        <f t="shared" si="35"/>
        <v>75.00620738413167</v>
      </c>
      <c r="BA43" s="174">
        <f t="shared" si="36"/>
        <v>34562.860362607877</v>
      </c>
      <c r="BB43" s="174">
        <v>34562.860362607877</v>
      </c>
      <c r="BC43" s="45"/>
      <c r="BD43" s="61"/>
      <c r="BE43" s="45"/>
    </row>
    <row r="44" spans="1:65" ht="15" thickBot="1" x14ac:dyDescent="0.35">
      <c r="C44" s="198"/>
      <c r="D44"/>
      <c r="E44"/>
      <c r="G44" s="6"/>
      <c r="I44" s="241">
        <v>16</v>
      </c>
      <c r="J44" s="253">
        <f t="shared" si="37"/>
        <v>32.420913732552897</v>
      </c>
      <c r="K44" s="243">
        <v>0.44</v>
      </c>
      <c r="L44" s="61"/>
      <c r="M44" s="250"/>
      <c r="P44" s="65" t="s">
        <v>123</v>
      </c>
      <c r="Q44" s="205">
        <f>INDEX(LINEST($P$4:$P$14,$Q$4:$Q$14),2)</f>
        <v>7403.6787878639261</v>
      </c>
      <c r="R44" s="69">
        <f>INDEX(LINEST($P$4:$P$14,$Q$4:$Q$14),1)</f>
        <v>1.0221189046354775</v>
      </c>
      <c r="S44" s="30"/>
      <c r="T44" s="31" t="s">
        <v>267</v>
      </c>
      <c r="AI44" s="5"/>
      <c r="AY44" s="73">
        <v>110</v>
      </c>
      <c r="AZ44">
        <f t="shared" si="35"/>
        <v>77.992565229198675</v>
      </c>
      <c r="BA44" s="174">
        <f t="shared" si="36"/>
        <v>35938.974057614752</v>
      </c>
      <c r="BB44" s="174">
        <v>35938.974057614752</v>
      </c>
      <c r="BC44" s="45"/>
      <c r="BD44" s="61"/>
      <c r="BE44" s="45"/>
    </row>
    <row r="45" spans="1:65" ht="15" thickBot="1" x14ac:dyDescent="0.35">
      <c r="A45" s="188" t="s">
        <v>251</v>
      </c>
      <c r="B45" s="193" t="s">
        <v>252</v>
      </c>
      <c r="C45" s="199">
        <v>0</v>
      </c>
      <c r="D45" s="30" t="s">
        <v>258</v>
      </c>
      <c r="E45"/>
      <c r="F45" s="6"/>
      <c r="I45" s="254">
        <f>(K45-K43)/(K44-K43)*(I44-I43)+I43</f>
        <v>12.4</v>
      </c>
      <c r="J45" s="257">
        <f t="shared" si="37"/>
        <v>28.741285675865178</v>
      </c>
      <c r="K45" s="246">
        <v>0.5</v>
      </c>
      <c r="L45" s="255"/>
      <c r="M45" s="256"/>
      <c r="P45" s="65" t="s">
        <v>180</v>
      </c>
      <c r="Q45" s="293">
        <v>-2</v>
      </c>
      <c r="R45" s="30"/>
      <c r="S45" s="30"/>
      <c r="T45" s="31" t="s">
        <v>261</v>
      </c>
      <c r="U45" s="5"/>
      <c r="AI45" s="5"/>
      <c r="AJ45" s="5"/>
      <c r="AK45" s="151"/>
      <c r="AY45" s="73">
        <v>132</v>
      </c>
      <c r="AZ45">
        <f t="shared" si="35"/>
        <v>83.160320987197451</v>
      </c>
      <c r="BA45" s="174">
        <f t="shared" si="36"/>
        <v>38320.275910900586</v>
      </c>
      <c r="BB45" s="174">
        <v>38320.275910900586</v>
      </c>
      <c r="BC45" s="45"/>
      <c r="BD45" s="61"/>
      <c r="BE45" s="45"/>
    </row>
    <row r="46" spans="1:65" ht="15" thickBot="1" x14ac:dyDescent="0.35">
      <c r="A46" s="30"/>
      <c r="B46" s="57" t="s">
        <v>253</v>
      </c>
      <c r="C46" s="203">
        <v>5</v>
      </c>
      <c r="D46" s="45" t="s">
        <v>258</v>
      </c>
      <c r="E46"/>
      <c r="F46" s="6"/>
      <c r="P46" s="65" t="s">
        <v>182</v>
      </c>
      <c r="Q46" s="294">
        <v>6</v>
      </c>
      <c r="R46" s="30"/>
      <c r="S46" s="30"/>
      <c r="T46" s="31" t="s">
        <v>261</v>
      </c>
      <c r="AI46" s="5"/>
      <c r="AJ46" s="5"/>
      <c r="AK46" s="151"/>
      <c r="AX46" s="164"/>
      <c r="AY46" s="80">
        <v>175</v>
      </c>
      <c r="AZ46">
        <f t="shared" si="35"/>
        <v>91.152928831195808</v>
      </c>
      <c r="BA46" s="174">
        <f t="shared" si="36"/>
        <v>42003.269605415029</v>
      </c>
      <c r="BB46" s="174">
        <v>42003.269605415029</v>
      </c>
      <c r="BC46" s="45"/>
      <c r="BD46" s="61"/>
      <c r="BE46" s="45"/>
    </row>
    <row r="47" spans="1:65" ht="15" thickBot="1" x14ac:dyDescent="0.35">
      <c r="A47" s="188"/>
      <c r="B47" s="57" t="s">
        <v>252</v>
      </c>
      <c r="C47" s="203">
        <v>0</v>
      </c>
      <c r="D47" s="45" t="s">
        <v>254</v>
      </c>
      <c r="E47"/>
      <c r="H47" s="6"/>
      <c r="I47" s="6"/>
      <c r="J47" s="6"/>
      <c r="K47" s="9"/>
      <c r="L47" s="6"/>
      <c r="M47" s="6"/>
      <c r="N47" s="10"/>
      <c r="O47" s="10"/>
      <c r="P47" s="218" t="s">
        <v>211</v>
      </c>
      <c r="Q47" s="295">
        <v>4.5</v>
      </c>
      <c r="R47" s="32"/>
      <c r="S47" s="32"/>
      <c r="T47" s="33" t="s">
        <v>263</v>
      </c>
      <c r="W47" s="45"/>
      <c r="X47" s="195"/>
      <c r="Y47" s="45"/>
      <c r="AI47" s="5"/>
      <c r="AJ47" s="5"/>
      <c r="AK47" s="151"/>
      <c r="AY47">
        <v>180</v>
      </c>
      <c r="AZ47">
        <f t="shared" si="35"/>
        <v>91.951409352163708</v>
      </c>
      <c r="BA47" s="174">
        <f t="shared" si="36"/>
        <v>42371.209429477036</v>
      </c>
      <c r="BB47" s="174">
        <v>42371.209429477036</v>
      </c>
      <c r="BC47" s="45"/>
      <c r="BD47" s="61"/>
      <c r="BE47" s="45"/>
    </row>
    <row r="48" spans="1:65" ht="15" thickBot="1" x14ac:dyDescent="0.35">
      <c r="A48" s="188"/>
      <c r="B48" s="131" t="s">
        <v>253</v>
      </c>
      <c r="C48" s="200">
        <v>180</v>
      </c>
      <c r="D48" s="45" t="s">
        <v>254</v>
      </c>
      <c r="E48"/>
      <c r="H48" s="6"/>
      <c r="I48" s="212" t="s">
        <v>92</v>
      </c>
      <c r="J48" s="211">
        <f>INDEX(LINEST($Y$3:$Y$14,$P$3:$P$14^{1,2}),3)</f>
        <v>-1.9667355966361683E-3</v>
      </c>
      <c r="K48" s="180">
        <f>INDEX(LINEST($Y$3:$Y$14,$P$3:$P$14^{1,2}),2)</f>
        <v>1.0846233950578638E-7</v>
      </c>
      <c r="L48" s="180">
        <f>INDEX(LINEST($Y$3:$Y$14,$P$3:$P$14^{1,2}),1)</f>
        <v>1.0234226848186559E-11</v>
      </c>
      <c r="M48" s="44" t="s">
        <v>268</v>
      </c>
      <c r="N48" s="10"/>
      <c r="O48" s="10"/>
      <c r="U48" s="10"/>
      <c r="V48" s="3"/>
      <c r="W48" s="45"/>
      <c r="X48" s="61"/>
      <c r="Y48" s="45"/>
      <c r="AX48" s="164"/>
      <c r="BC48" s="45"/>
      <c r="BD48" s="61"/>
      <c r="BE48" s="45"/>
    </row>
    <row r="49" spans="1:57" ht="15" thickBot="1" x14ac:dyDescent="0.35">
      <c r="Q49" s="61"/>
      <c r="R49" s="213"/>
      <c r="T49" s="213"/>
      <c r="U49" s="188"/>
      <c r="V49" s="30"/>
      <c r="BC49" s="45"/>
      <c r="BD49" s="61"/>
      <c r="BE49" s="45"/>
    </row>
    <row r="50" spans="1:57" ht="15" thickBot="1" x14ac:dyDescent="0.35">
      <c r="A50" s="3" t="s">
        <v>244</v>
      </c>
      <c r="B50" s="209">
        <v>1.25</v>
      </c>
      <c r="C50" s="45" t="s">
        <v>245</v>
      </c>
      <c r="D50" s="5"/>
      <c r="E50" s="192">
        <f>C31</f>
        <v>240</v>
      </c>
      <c r="F50" s="192" t="s">
        <v>156</v>
      </c>
      <c r="I50" s="176" t="s">
        <v>283</v>
      </c>
      <c r="M50" s="237" t="s">
        <v>282</v>
      </c>
      <c r="N50" s="142"/>
      <c r="Q50" s="61"/>
      <c r="R50" s="213"/>
      <c r="T50" s="213"/>
      <c r="U50" s="188"/>
      <c r="V50" s="30"/>
      <c r="W50" s="194"/>
      <c r="X50" s="45"/>
      <c r="Y50" s="45"/>
      <c r="BC50" s="45"/>
      <c r="BD50" s="61"/>
      <c r="BE50" s="45"/>
    </row>
    <row r="51" spans="1:57" x14ac:dyDescent="0.3">
      <c r="I51" s="238" t="s">
        <v>277</v>
      </c>
      <c r="J51" s="236" t="s">
        <v>100</v>
      </c>
      <c r="K51" s="239" t="s">
        <v>278</v>
      </c>
      <c r="L51" s="239" t="s">
        <v>279</v>
      </c>
      <c r="M51" s="239" t="s">
        <v>280</v>
      </c>
      <c r="N51" s="240" t="s">
        <v>281</v>
      </c>
      <c r="P51" s="235" t="s">
        <v>286</v>
      </c>
      <c r="Q51" s="260">
        <v>0</v>
      </c>
      <c r="R51" s="258">
        <f ca="1">J56</f>
        <v>21.759999999999998</v>
      </c>
      <c r="S51" s="258">
        <f ca="1">J55</f>
        <v>36.268292682926827</v>
      </c>
      <c r="T51" s="258">
        <f ca="1">J54</f>
        <v>47</v>
      </c>
      <c r="U51" s="259">
        <f ca="1">J53</f>
        <v>66.5</v>
      </c>
      <c r="V51" s="261">
        <v>80</v>
      </c>
      <c r="W51" s="45"/>
      <c r="X51" s="45"/>
      <c r="Y51" s="45"/>
      <c r="BC51" s="45"/>
      <c r="BD51" s="61"/>
      <c r="BE51" s="45"/>
    </row>
    <row r="52" spans="1:57" x14ac:dyDescent="0.3">
      <c r="I52" s="241">
        <v>0</v>
      </c>
      <c r="J52" s="253">
        <f t="shared" ref="J52:J57" ca="1" si="38">FORECAST(I52,OFFSET(MeasNt,MATCH(I52,MeasTauT,1)-1,0,2),OFFSET(MeasTauT,MATCH(I52,MeasTauT,1)-1,0,2))</f>
        <v>72.5</v>
      </c>
      <c r="K52" s="58">
        <v>0.2</v>
      </c>
      <c r="L52" s="58">
        <v>4.4000000000000004</v>
      </c>
      <c r="M52" s="58">
        <v>0.09</v>
      </c>
      <c r="N52" s="25">
        <v>5</v>
      </c>
      <c r="P52" s="273" t="s">
        <v>278</v>
      </c>
      <c r="Q52" s="274">
        <f>K57</f>
        <v>0.47499999999999998</v>
      </c>
      <c r="R52" s="274">
        <f>K56</f>
        <v>0.47499999999999998</v>
      </c>
      <c r="S52" s="274">
        <f>K55</f>
        <v>0.32500000000000001</v>
      </c>
      <c r="T52" s="274">
        <f>K54</f>
        <v>0.22500000000000001</v>
      </c>
      <c r="U52" s="275">
        <f>K53</f>
        <v>0.2</v>
      </c>
      <c r="V52" s="276">
        <f>K52</f>
        <v>0.2</v>
      </c>
      <c r="W52" s="45" t="s">
        <v>287</v>
      </c>
      <c r="X52" s="45"/>
      <c r="Y52" s="45"/>
      <c r="AJ52" s="104"/>
      <c r="AR52" s="3"/>
      <c r="BC52" s="45"/>
      <c r="BD52" s="61"/>
      <c r="BE52" s="45"/>
    </row>
    <row r="53" spans="1:57" x14ac:dyDescent="0.3">
      <c r="I53" s="241">
        <v>0.02</v>
      </c>
      <c r="J53" s="253">
        <f t="shared" ca="1" si="38"/>
        <v>66.5</v>
      </c>
      <c r="K53" s="58">
        <v>0.2</v>
      </c>
      <c r="L53" s="58">
        <v>3.75</v>
      </c>
      <c r="M53" s="58">
        <v>0.09</v>
      </c>
      <c r="N53" s="25">
        <v>5</v>
      </c>
      <c r="P53" s="273" t="s">
        <v>279</v>
      </c>
      <c r="Q53" s="277">
        <f>L57</f>
        <v>2.4</v>
      </c>
      <c r="R53" s="277">
        <f>L56</f>
        <v>2.4</v>
      </c>
      <c r="S53" s="277">
        <f>L55</f>
        <v>2.7</v>
      </c>
      <c r="T53" s="277">
        <f>L54</f>
        <v>3.2</v>
      </c>
      <c r="U53" s="278">
        <f>L53</f>
        <v>3.75</v>
      </c>
      <c r="V53" s="279">
        <f>L52</f>
        <v>4.4000000000000004</v>
      </c>
      <c r="W53" s="45"/>
      <c r="X53" s="45"/>
      <c r="Y53" s="45"/>
      <c r="AS53" s="3"/>
      <c r="BC53" s="45"/>
      <c r="BD53" s="45"/>
      <c r="BE53" s="45"/>
    </row>
    <row r="54" spans="1:57" x14ac:dyDescent="0.3">
      <c r="I54" s="241">
        <v>8.5000000000000006E-2</v>
      </c>
      <c r="J54" s="253">
        <f t="shared" ca="1" si="38"/>
        <v>47</v>
      </c>
      <c r="K54" s="58">
        <v>0.22500000000000001</v>
      </c>
      <c r="L54" s="58">
        <v>3.2</v>
      </c>
      <c r="M54" s="243">
        <v>0.125</v>
      </c>
      <c r="N54" s="244">
        <v>4.05</v>
      </c>
      <c r="P54" s="273" t="s">
        <v>284</v>
      </c>
      <c r="Q54" s="280">
        <v>0.15</v>
      </c>
      <c r="R54" s="280"/>
      <c r="S54" s="280"/>
      <c r="T54" s="280"/>
      <c r="U54" s="281"/>
      <c r="V54" s="282"/>
      <c r="W54" s="45"/>
      <c r="X54" s="45"/>
      <c r="Y54" s="45"/>
      <c r="BC54" s="45"/>
      <c r="BD54" s="45"/>
      <c r="BE54" s="45"/>
    </row>
    <row r="55" spans="1:57" x14ac:dyDescent="0.3">
      <c r="I55" s="241">
        <v>0.185</v>
      </c>
      <c r="J55" s="253">
        <f t="shared" ca="1" si="38"/>
        <v>36.268292682926827</v>
      </c>
      <c r="K55" s="58">
        <v>0.32500000000000001</v>
      </c>
      <c r="L55" s="58">
        <v>2.7</v>
      </c>
      <c r="M55" s="58">
        <v>0.24</v>
      </c>
      <c r="N55" s="25">
        <v>3.75</v>
      </c>
      <c r="P55" s="273" t="s">
        <v>285</v>
      </c>
      <c r="Q55" s="280">
        <v>0.03</v>
      </c>
      <c r="R55" s="280"/>
      <c r="S55" s="280"/>
      <c r="T55" s="280"/>
      <c r="U55" s="281"/>
      <c r="V55" s="282"/>
      <c r="W55" s="45"/>
      <c r="X55" s="196"/>
      <c r="Y55" s="45"/>
    </row>
    <row r="56" spans="1:57" x14ac:dyDescent="0.3">
      <c r="I56" s="241">
        <v>0.34399999999999997</v>
      </c>
      <c r="J56" s="253">
        <f t="shared" ca="1" si="38"/>
        <v>21.759999999999998</v>
      </c>
      <c r="K56" s="58">
        <v>0.47499999999999998</v>
      </c>
      <c r="L56" s="58">
        <v>2.4</v>
      </c>
      <c r="M56" s="58">
        <v>0.42</v>
      </c>
      <c r="N56" s="25">
        <v>3.6</v>
      </c>
      <c r="P56" s="273" t="s">
        <v>280</v>
      </c>
      <c r="Q56" s="274">
        <f>M57</f>
        <v>0.42</v>
      </c>
      <c r="R56" s="274">
        <f>M56</f>
        <v>0.42</v>
      </c>
      <c r="S56" s="274">
        <f>M55</f>
        <v>0.24</v>
      </c>
      <c r="T56" s="274">
        <f>M54</f>
        <v>0.125</v>
      </c>
      <c r="U56" s="275">
        <f>M53</f>
        <v>0.09</v>
      </c>
      <c r="V56" s="276">
        <f>M52</f>
        <v>0.09</v>
      </c>
      <c r="W56" s="45" t="s">
        <v>288</v>
      </c>
      <c r="X56" s="196"/>
      <c r="Y56" s="45"/>
    </row>
    <row r="57" spans="1:57" ht="15" thickBot="1" x14ac:dyDescent="0.35">
      <c r="I57" s="245">
        <v>0.5</v>
      </c>
      <c r="J57" s="257">
        <f t="shared" ca="1" si="38"/>
        <v>12.399999999999995</v>
      </c>
      <c r="K57" s="247">
        <v>0.47499999999999998</v>
      </c>
      <c r="L57" s="247">
        <v>2.4</v>
      </c>
      <c r="M57" s="247">
        <v>0.42</v>
      </c>
      <c r="N57" s="27">
        <v>3.6</v>
      </c>
      <c r="P57" s="283" t="s">
        <v>281</v>
      </c>
      <c r="Q57" s="284">
        <f>N57</f>
        <v>3.6</v>
      </c>
      <c r="R57" s="284">
        <f>N56</f>
        <v>3.6</v>
      </c>
      <c r="S57" s="284">
        <f>N55</f>
        <v>3.75</v>
      </c>
      <c r="T57" s="284">
        <f>N54</f>
        <v>4.05</v>
      </c>
      <c r="U57" s="285">
        <f>N53</f>
        <v>5</v>
      </c>
      <c r="V57" s="286">
        <f>N52</f>
        <v>5</v>
      </c>
      <c r="W57" s="45"/>
      <c r="X57" s="196"/>
      <c r="Y57" s="45"/>
    </row>
    <row r="58" spans="1:57" x14ac:dyDescent="0.3">
      <c r="V58" s="45"/>
      <c r="W58" s="45"/>
      <c r="X58" s="196"/>
      <c r="Y58" s="45"/>
    </row>
    <row r="59" spans="1:57" x14ac:dyDescent="0.3">
      <c r="W59" s="45"/>
      <c r="X59" s="196"/>
      <c r="Y59" s="45"/>
    </row>
    <row r="60" spans="1:57" x14ac:dyDescent="0.3">
      <c r="W60" s="45"/>
      <c r="X60" s="149"/>
      <c r="Y60" s="45"/>
    </row>
    <row r="61" spans="1:57" x14ac:dyDescent="0.3">
      <c r="W61" s="45"/>
      <c r="X61" s="149"/>
      <c r="Y61" s="45"/>
    </row>
    <row r="62" spans="1:57" x14ac:dyDescent="0.3">
      <c r="W62" s="45"/>
      <c r="X62" s="149"/>
      <c r="Y62" s="45"/>
    </row>
    <row r="63" spans="1:57" x14ac:dyDescent="0.3">
      <c r="H63" s="176"/>
    </row>
    <row r="65" spans="1:36" x14ac:dyDescent="0.3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3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3">
      <c r="V67" s="45"/>
      <c r="W67" s="45"/>
      <c r="X67" s="45"/>
      <c r="Y67" s="45"/>
      <c r="Z67" s="45"/>
      <c r="AA67" s="45"/>
      <c r="AB67" s="45"/>
      <c r="AC67" s="45"/>
      <c r="AD67" s="45"/>
      <c r="AG67" s="45"/>
      <c r="AH67" s="149"/>
    </row>
    <row r="68" spans="1:36" x14ac:dyDescent="0.3">
      <c r="V68" s="45"/>
      <c r="W68" s="45"/>
      <c r="X68" s="45"/>
      <c r="Y68" s="45"/>
      <c r="Z68" s="45"/>
      <c r="AA68" s="45"/>
      <c r="AB68" s="45"/>
      <c r="AC68" s="45"/>
      <c r="AD68" s="45"/>
    </row>
    <row r="69" spans="1:36" x14ac:dyDescent="0.3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3">
      <c r="A70" s="45"/>
      <c r="B70" s="45"/>
      <c r="C70" s="45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3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3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104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3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3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3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3">
      <c r="A76" s="45"/>
      <c r="B76" s="45"/>
      <c r="C76" s="45"/>
      <c r="D76" s="61"/>
      <c r="E76" s="61"/>
      <c r="F76" s="61"/>
      <c r="G76" s="61"/>
      <c r="H76" s="61"/>
      <c r="I76" s="190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45"/>
      <c r="Y76" s="45"/>
      <c r="Z76" s="45"/>
      <c r="AA76" s="149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3">
      <c r="A77" s="45"/>
      <c r="B77" s="45"/>
      <c r="C77" s="45"/>
      <c r="D77" s="61"/>
      <c r="E77" s="61"/>
      <c r="F77" s="61"/>
      <c r="G77" s="61"/>
      <c r="H77" s="61"/>
      <c r="I77" s="61"/>
      <c r="J77" s="61"/>
      <c r="K77" s="187"/>
      <c r="L77" s="61"/>
      <c r="M77" s="61"/>
      <c r="N77" s="188"/>
      <c r="O77" s="188"/>
      <c r="P77" s="188"/>
      <c r="Q77" s="188"/>
      <c r="R77" s="188"/>
      <c r="S77" s="188"/>
      <c r="T77" s="188"/>
      <c r="U77" s="189"/>
      <c r="V77" s="189"/>
      <c r="W77" s="45"/>
      <c r="X77" s="186"/>
      <c r="Y77" s="186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</row>
    <row r="78" spans="1:36" x14ac:dyDescent="0.3">
      <c r="V78" s="45"/>
      <c r="W78" s="45"/>
      <c r="X78" s="45"/>
      <c r="Y78" s="45"/>
      <c r="Z78" s="45"/>
      <c r="AA78" s="45"/>
      <c r="AB78" s="45"/>
      <c r="AC78" s="45"/>
      <c r="AD78" s="45"/>
    </row>
    <row r="93" spans="1:36" x14ac:dyDescent="0.3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3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3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3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3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3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3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3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3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187"/>
      <c r="L101" s="61"/>
      <c r="M101" s="61"/>
      <c r="N101" s="188"/>
      <c r="O101" s="188"/>
      <c r="P101" s="188"/>
      <c r="Q101" s="188"/>
      <c r="R101" s="188"/>
      <c r="S101" s="188"/>
      <c r="T101" s="188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3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3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189"/>
      <c r="V103" s="189"/>
      <c r="W103" s="45"/>
      <c r="X103" s="186"/>
      <c r="Y103" s="186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3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3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3">
      <c r="A106" s="45"/>
      <c r="B106" s="45"/>
      <c r="C106" s="45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3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3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3">
      <c r="A109" s="45"/>
      <c r="B109" s="45"/>
      <c r="C109" s="45"/>
      <c r="D109" s="61"/>
      <c r="E109" s="61"/>
      <c r="F109" s="61"/>
      <c r="G109" s="61"/>
      <c r="H109" s="61"/>
      <c r="I109" s="190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3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3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3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3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3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3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3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3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3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3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187"/>
      <c r="L119" s="61"/>
      <c r="M119" s="61"/>
      <c r="N119" s="188"/>
      <c r="O119" s="188"/>
      <c r="P119" s="188"/>
      <c r="Q119" s="188"/>
      <c r="R119" s="188"/>
      <c r="S119" s="188"/>
      <c r="T119" s="188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3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3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189"/>
      <c r="V121" s="189"/>
      <c r="W121" s="45"/>
      <c r="X121" s="186"/>
      <c r="Y121" s="186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3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3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186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3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  <row r="125" spans="1:36" x14ac:dyDescent="0.3">
      <c r="A125" s="45"/>
      <c r="B125" s="45"/>
      <c r="C125" s="45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8"/>
  <sheetViews>
    <sheetView zoomScale="70" zoomScaleNormal="70" workbookViewId="0">
      <pane ySplit="1" topLeftCell="A2" activePane="bottomLeft" state="frozen"/>
      <selection pane="bottomLeft" activeCell="D3" sqref="D3:D19"/>
    </sheetView>
  </sheetViews>
  <sheetFormatPr defaultRowHeight="14.4" x14ac:dyDescent="0.3"/>
  <cols>
    <col min="3" max="3" width="7.109375" bestFit="1" customWidth="1"/>
    <col min="4" max="4" width="6.88671875" style="1" customWidth="1"/>
    <col min="5" max="5" width="6.44140625" style="1" customWidth="1"/>
    <col min="6" max="7" width="6.33203125" style="1" customWidth="1"/>
    <col min="8" max="8" width="9.109375" style="1" bestFit="1" customWidth="1"/>
    <col min="9" max="9" width="8.5546875" style="1" bestFit="1" customWidth="1"/>
    <col min="10" max="10" width="10" style="1" bestFit="1" customWidth="1"/>
    <col min="11" max="12" width="5.109375" style="1" customWidth="1"/>
    <col min="13" max="13" width="6.6640625" style="1" customWidth="1"/>
    <col min="14" max="14" width="7.88671875" style="1" customWidth="1"/>
    <col min="15" max="15" width="7.33203125" style="1" bestFit="1" customWidth="1"/>
    <col min="16" max="16" width="7.44140625" style="1" customWidth="1"/>
    <col min="17" max="17" width="6.33203125" style="1" customWidth="1"/>
    <col min="18" max="18" width="5.6640625" style="1" customWidth="1"/>
    <col min="19" max="19" width="8" style="1" customWidth="1"/>
    <col min="20" max="21" width="7.6640625" customWidth="1"/>
    <col min="23" max="23" width="9.88671875" bestFit="1" customWidth="1"/>
    <col min="24" max="24" width="10.6640625" customWidth="1"/>
    <col min="25" max="25" width="8.6640625" customWidth="1"/>
    <col min="26" max="26" width="9.6640625" customWidth="1"/>
    <col min="27" max="27" width="7.6640625" customWidth="1"/>
    <col min="28" max="28" width="7.88671875" customWidth="1"/>
    <col min="29" max="29" width="10" customWidth="1"/>
    <col min="30" max="30" width="10.88671875" customWidth="1"/>
    <col min="31" max="31" width="10" customWidth="1"/>
    <col min="32" max="32" width="10.6640625" customWidth="1"/>
    <col min="33" max="33" width="11.88671875" customWidth="1"/>
    <col min="34" max="35" width="11.5546875" customWidth="1"/>
    <col min="36" max="36" width="8.6640625" customWidth="1"/>
    <col min="37" max="37" width="12.5546875" bestFit="1" customWidth="1"/>
    <col min="38" max="38" width="9.6640625" customWidth="1"/>
    <col min="39" max="44" width="12.5546875" bestFit="1" customWidth="1"/>
    <col min="45" max="45" width="13.33203125" bestFit="1" customWidth="1"/>
    <col min="46" max="47" width="12.5546875" bestFit="1" customWidth="1"/>
    <col min="48" max="48" width="10.33203125" customWidth="1"/>
    <col min="49" max="49" width="13.6640625" bestFit="1" customWidth="1"/>
    <col min="50" max="50" width="10.33203125" bestFit="1" customWidth="1"/>
  </cols>
  <sheetData>
    <row r="1" spans="2:50" ht="72" x14ac:dyDescent="0.3">
      <c r="B1" t="s">
        <v>39</v>
      </c>
      <c r="C1" s="74" t="s">
        <v>50</v>
      </c>
      <c r="D1" s="75" t="s">
        <v>0</v>
      </c>
      <c r="E1" s="75" t="s">
        <v>1</v>
      </c>
      <c r="F1" s="75" t="s">
        <v>10</v>
      </c>
      <c r="G1" s="75" t="s">
        <v>11</v>
      </c>
      <c r="H1" s="75" t="s">
        <v>23</v>
      </c>
      <c r="I1" s="75" t="s">
        <v>110</v>
      </c>
      <c r="J1" s="4" t="s">
        <v>12</v>
      </c>
      <c r="K1" s="4" t="s">
        <v>7</v>
      </c>
      <c r="L1" s="4" t="s">
        <v>61</v>
      </c>
      <c r="M1" s="4" t="s">
        <v>24</v>
      </c>
      <c r="N1" s="4" t="s">
        <v>115</v>
      </c>
      <c r="O1" s="4" t="s">
        <v>25</v>
      </c>
      <c r="P1" s="4" t="s">
        <v>136</v>
      </c>
      <c r="Q1" s="4" t="s">
        <v>26</v>
      </c>
      <c r="R1" s="4" t="s">
        <v>100</v>
      </c>
      <c r="S1" s="4" t="s">
        <v>7</v>
      </c>
      <c r="T1" s="4" t="str">
        <f t="shared" ref="T1:T19" si="0">J1</f>
        <v>Charger Pwr, W</v>
      </c>
      <c r="U1" s="4" t="s">
        <v>170</v>
      </c>
      <c r="V1" s="4" t="s">
        <v>137</v>
      </c>
      <c r="W1" s="4" t="s">
        <v>149</v>
      </c>
      <c r="X1" s="4" t="s">
        <v>46</v>
      </c>
      <c r="Y1" s="4" t="s">
        <v>157</v>
      </c>
      <c r="Z1" s="4" t="s">
        <v>159</v>
      </c>
      <c r="AA1" s="4" t="s">
        <v>171</v>
      </c>
      <c r="AB1" s="4" t="s">
        <v>165</v>
      </c>
      <c r="AC1" s="4" t="s">
        <v>166</v>
      </c>
      <c r="AD1" s="4" t="s">
        <v>167</v>
      </c>
      <c r="AE1" s="4" t="s">
        <v>213</v>
      </c>
      <c r="AF1" s="4" t="s">
        <v>172</v>
      </c>
      <c r="AG1" s="4" t="s">
        <v>66</v>
      </c>
      <c r="AH1" s="4" t="s">
        <v>63</v>
      </c>
      <c r="AI1" s="4" t="s">
        <v>67</v>
      </c>
      <c r="AJ1" s="4" t="s">
        <v>64</v>
      </c>
      <c r="AK1" s="4" t="s">
        <v>107</v>
      </c>
      <c r="AL1" s="4" t="s">
        <v>108</v>
      </c>
      <c r="AM1" s="4" t="s">
        <v>101</v>
      </c>
      <c r="AN1" s="4" t="s">
        <v>102</v>
      </c>
      <c r="AO1" s="4" t="s">
        <v>85</v>
      </c>
      <c r="AP1" s="4" t="s">
        <v>138</v>
      </c>
      <c r="AQ1" s="4" t="s">
        <v>84</v>
      </c>
      <c r="AR1" s="4" t="s">
        <v>81</v>
      </c>
      <c r="AS1" s="4"/>
      <c r="AT1" s="4" t="s">
        <v>105</v>
      </c>
      <c r="AU1" s="4" t="s">
        <v>185</v>
      </c>
      <c r="AW1" s="4" t="s">
        <v>82</v>
      </c>
      <c r="AX1" s="4" t="s">
        <v>83</v>
      </c>
    </row>
    <row r="2" spans="2:50" x14ac:dyDescent="0.3">
      <c r="C2" s="113">
        <f>D2/180+1</f>
        <v>1.0000055555555556</v>
      </c>
      <c r="D2" s="110">
        <v>1E-3</v>
      </c>
      <c r="E2" s="110"/>
      <c r="F2" s="110"/>
      <c r="G2" s="110"/>
      <c r="H2" s="110"/>
      <c r="I2" s="110"/>
      <c r="J2" s="4"/>
      <c r="K2" s="1">
        <f t="shared" ref="K2:K19" si="1">D2</f>
        <v>1E-3</v>
      </c>
      <c r="L2" s="1">
        <f>LN(K2)</f>
        <v>-6.9077552789821368</v>
      </c>
      <c r="M2" s="3"/>
      <c r="N2" s="4"/>
      <c r="O2" s="4">
        <v>0</v>
      </c>
      <c r="P2" s="4">
        <v>0</v>
      </c>
      <c r="Q2" s="2">
        <f t="shared" ref="Q2:Q19" si="2">O2/$X$44*100</f>
        <v>0</v>
      </c>
      <c r="R2" s="2">
        <f t="shared" ref="R2:R19" si="3">P2/$X$44*100</f>
        <v>0</v>
      </c>
      <c r="S2" s="3">
        <f t="shared" ref="S2:S19" si="4">K2</f>
        <v>1E-3</v>
      </c>
      <c r="T2" s="4">
        <f t="shared" si="0"/>
        <v>0</v>
      </c>
      <c r="U2" s="4"/>
      <c r="AC2" s="4"/>
      <c r="AD2" s="4"/>
      <c r="AE2" s="4"/>
      <c r="AG2" s="95">
        <f t="shared" ref="AG2:AG8" si="5">D2/$AE$31*$AE$26</f>
        <v>2.7777777777777779E-5</v>
      </c>
      <c r="AH2" s="95">
        <f t="shared" ref="AH2:AH8" si="6">AG2/$AE$26*$AE$31</f>
        <v>1E-3</v>
      </c>
      <c r="AI2" s="96">
        <f t="shared" ref="AI2:AI19" si="7">MAX(($AE$34+$AF$34*LN($AH2)),0)</f>
        <v>0</v>
      </c>
      <c r="AJ2" s="96">
        <f>MAX(($AE$34+$AF$34*LN($AH2))/$AE$30,0)</f>
        <v>0</v>
      </c>
      <c r="AK2" s="96">
        <f t="shared" ref="AK2:AK19" si="8">($AE$35+$AF$35*AJ2*$AE$30)/$AE$30</f>
        <v>-10.046183440837153</v>
      </c>
      <c r="AL2" s="96">
        <f t="shared" ref="AL2:AL19" si="9">($AE$36+$AF$36*AK2*$AE$30)/$AE$30</f>
        <v>0.23225272009350995</v>
      </c>
      <c r="AN2">
        <f t="shared" ref="AN2:AN19" si="10">MAX($AE$35+$AF$35*AI2, 0)</f>
        <v>0</v>
      </c>
      <c r="AO2" s="127"/>
      <c r="AP2" s="127"/>
      <c r="AS2" s="127"/>
      <c r="AT2" s="127"/>
    </row>
    <row r="3" spans="2:50" x14ac:dyDescent="0.3">
      <c r="C3" s="113">
        <f>D3/180+1</f>
        <v>1.0559818143006103</v>
      </c>
      <c r="D3" s="111">
        <f>EXP((0-$AE$34)/$AF$34)</f>
        <v>10.076726574109877</v>
      </c>
      <c r="E3" s="109"/>
      <c r="F3" s="109">
        <v>13.82</v>
      </c>
      <c r="G3" s="109">
        <v>0.32200000000000001</v>
      </c>
      <c r="H3" s="148">
        <v>1.0000000000000001E+32</v>
      </c>
      <c r="I3" s="105">
        <v>1.0000000000000001E+32</v>
      </c>
      <c r="J3" s="2">
        <f t="shared" ref="J3:J19" si="11">F3*G3</f>
        <v>4.4500400000000004</v>
      </c>
      <c r="K3" s="1">
        <f t="shared" si="1"/>
        <v>10.076726574109877</v>
      </c>
      <c r="L3" s="1">
        <f>LN(K3)</f>
        <v>2.3102284652703093</v>
      </c>
      <c r="M3" s="3">
        <f t="shared" ref="M3:M19" si="12">1/H3/0.000001</f>
        <v>9.999999999999999E-27</v>
      </c>
      <c r="N3" s="3">
        <f t="shared" ref="N3:N19" si="13">1/I3/0.000001</f>
        <v>9.999999999999999E-27</v>
      </c>
      <c r="O3" s="3">
        <f t="shared" ref="O3:O19" si="14">M3*60/$X$33</f>
        <v>5.9999999999999995E-25</v>
      </c>
      <c r="P3" s="4">
        <v>0</v>
      </c>
      <c r="Q3" s="2">
        <f t="shared" si="2"/>
        <v>1.3020833333333332E-27</v>
      </c>
      <c r="R3" s="2">
        <f t="shared" si="3"/>
        <v>0</v>
      </c>
      <c r="S3" s="3">
        <f t="shared" si="4"/>
        <v>10.076726574109877</v>
      </c>
      <c r="T3" s="4">
        <f t="shared" si="0"/>
        <v>4.4500400000000004</v>
      </c>
      <c r="U3">
        <f t="shared" ref="U3:U19" si="15">($T3-$T$3)</f>
        <v>0</v>
      </c>
      <c r="V3">
        <f t="shared" ref="V3:V19" si="16">($T3-$T$3)*0.001341022</f>
        <v>0</v>
      </c>
      <c r="W3" s="127">
        <v>0</v>
      </c>
      <c r="X3" s="127">
        <v>0</v>
      </c>
      <c r="Y3" s="95">
        <f t="shared" ref="Y3:Y17" si="17">$AE$48*(O3/$AE$30/100)^3</f>
        <v>9.76843480821773E-87</v>
      </c>
      <c r="Z3" s="127">
        <f t="shared" ref="Z3:Z13" si="18">SQRT(Y3^3/4/$X$46/$X$47)</f>
        <v>9.469612348787209E-129</v>
      </c>
      <c r="AB3">
        <f t="shared" ref="AB3:AB19" si="19">SQRT(Y3/$AE$40/$AE$41)</f>
        <v>1.9388187636407961E-42</v>
      </c>
      <c r="AC3" s="4">
        <f t="shared" ref="AC3:AC17" si="20">AB3*1/1.6/1000*3600</f>
        <v>4.3623422181917907E-42</v>
      </c>
      <c r="AD3" s="4">
        <f t="shared" ref="AD3:AD19" si="21">P3/60*PI()*$AA$47/1000</f>
        <v>0</v>
      </c>
      <c r="AE3" s="158">
        <f>AD3/AB3</f>
        <v>0</v>
      </c>
      <c r="AG3" s="95">
        <f t="shared" si="5"/>
        <v>0.27990907150305216</v>
      </c>
      <c r="AH3" s="95">
        <f t="shared" si="6"/>
        <v>10.076726574109877</v>
      </c>
      <c r="AI3" s="96">
        <f t="shared" si="7"/>
        <v>0</v>
      </c>
      <c r="AJ3" s="96">
        <f t="shared" ref="AJ3:AJ19" si="22">MAX(($AE$34+$AF$34*LN(AH3))/$AE$30,0)</f>
        <v>0</v>
      </c>
      <c r="AK3" s="96">
        <f t="shared" si="8"/>
        <v>-10.046183440837153</v>
      </c>
      <c r="AL3" s="96">
        <f t="shared" si="9"/>
        <v>0.23225272009350995</v>
      </c>
      <c r="AN3">
        <f t="shared" si="10"/>
        <v>0</v>
      </c>
      <c r="AO3" s="127"/>
      <c r="AP3" s="127"/>
      <c r="AQ3" s="127"/>
      <c r="AS3" s="127"/>
      <c r="AT3" s="127"/>
    </row>
    <row r="4" spans="2:50" ht="15" customHeight="1" x14ac:dyDescent="0.3">
      <c r="C4" s="113">
        <f>D4/180+1</f>
        <v>1.0833333333333333</v>
      </c>
      <c r="D4" s="73">
        <v>15</v>
      </c>
      <c r="E4" s="109"/>
      <c r="F4" s="73">
        <v>13.78</v>
      </c>
      <c r="G4" s="106">
        <v>0.379</v>
      </c>
      <c r="H4" s="73">
        <v>7240</v>
      </c>
      <c r="I4" s="105">
        <v>1.0000000000000001E+32</v>
      </c>
      <c r="J4" s="2">
        <f t="shared" si="11"/>
        <v>5.22262</v>
      </c>
      <c r="K4" s="1">
        <f t="shared" si="1"/>
        <v>15</v>
      </c>
      <c r="L4" s="1">
        <f>LN(K4)</f>
        <v>2.7080502011022101</v>
      </c>
      <c r="M4" s="3">
        <f t="shared" si="12"/>
        <v>138.12154696132598</v>
      </c>
      <c r="N4" s="3">
        <f t="shared" si="13"/>
        <v>9.999999999999999E-27</v>
      </c>
      <c r="O4" s="3">
        <f t="shared" si="14"/>
        <v>8287.2928176795576</v>
      </c>
      <c r="P4" s="3">
        <f t="shared" ref="P4:P19" si="23">N4*60/$X$33</f>
        <v>5.9999999999999995E-25</v>
      </c>
      <c r="Q4" s="2">
        <f t="shared" si="2"/>
        <v>17.984576427255984</v>
      </c>
      <c r="R4" s="2">
        <f t="shared" si="3"/>
        <v>1.3020833333333332E-27</v>
      </c>
      <c r="S4" s="3">
        <f>K4</f>
        <v>15</v>
      </c>
      <c r="T4" s="4">
        <f>J4</f>
        <v>5.22262</v>
      </c>
      <c r="U4">
        <f t="shared" si="15"/>
        <v>0.7725799999999996</v>
      </c>
      <c r="V4">
        <f t="shared" si="16"/>
        <v>1.0360467767599995E-3</v>
      </c>
      <c r="W4" s="150">
        <f t="shared" ref="W4:W19" si="24">$V4/$O4*5252</f>
        <v>6.5658566569958454E-4</v>
      </c>
      <c r="X4" s="150">
        <f t="shared" ref="X4:X19" si="25">W4-$W$4</f>
        <v>0</v>
      </c>
      <c r="Y4" s="95">
        <f t="shared" si="17"/>
        <v>2.5740043937568603E-2</v>
      </c>
      <c r="Z4" s="127">
        <f t="shared" si="18"/>
        <v>4.0505001543378952E-2</v>
      </c>
      <c r="AA4" s="97">
        <f>Z4/U4*100</f>
        <v>5.2428229495170688</v>
      </c>
      <c r="AB4">
        <f t="shared" si="19"/>
        <v>3.147236394904541</v>
      </c>
      <c r="AC4" s="4">
        <f t="shared" si="20"/>
        <v>7.0812818885352167</v>
      </c>
      <c r="AD4" s="4">
        <f t="shared" si="21"/>
        <v>1.7278759594743859E-27</v>
      </c>
      <c r="AE4" s="158">
        <f t="shared" ref="AE4:AE19" si="26">AD4/AB4</f>
        <v>5.4901371955149687E-28</v>
      </c>
      <c r="AG4" s="95">
        <f t="shared" si="5"/>
        <v>0.41666666666666663</v>
      </c>
      <c r="AH4" s="95">
        <f t="shared" si="6"/>
        <v>15</v>
      </c>
      <c r="AI4" s="96">
        <f t="shared" si="7"/>
        <v>6193.6380340466058</v>
      </c>
      <c r="AJ4" s="96">
        <f t="shared" si="22"/>
        <v>13.441054761385862</v>
      </c>
      <c r="AK4" s="96">
        <f t="shared" si="8"/>
        <v>3.0962873406135314</v>
      </c>
      <c r="AL4" s="96">
        <f t="shared" si="9"/>
        <v>13.629561535587357</v>
      </c>
      <c r="AN4">
        <f t="shared" si="10"/>
        <v>1426.7692065547162</v>
      </c>
      <c r="AO4" s="127">
        <f t="shared" ref="AO4:AO19" si="27">MAX($AE$37+$AI4*($AF$37+$AI4*$AG$37), 0)</f>
        <v>0</v>
      </c>
      <c r="AP4" s="127">
        <f>AI4*AO4/5252</f>
        <v>0</v>
      </c>
      <c r="AQ4" s="146">
        <f t="shared" ref="AQ4:AQ19" si="28">MAX($AF$37+$AG$37*2*AI4,1E-32)</f>
        <v>5.4627781792346842E-7</v>
      </c>
      <c r="AR4" s="95"/>
      <c r="AS4" s="127"/>
      <c r="AU4" s="95"/>
      <c r="AW4" s="128">
        <f t="shared" ref="AW4:AW19" si="29">$X$37/$X$36</f>
        <v>1.0526315789473683E-4</v>
      </c>
      <c r="AX4" s="96"/>
    </row>
    <row r="5" spans="2:50" ht="15" customHeight="1" x14ac:dyDescent="0.3">
      <c r="C5" s="113">
        <f t="shared" ref="C5:C30" si="30">D5/180+1</f>
        <v>1.0944444444444446</v>
      </c>
      <c r="D5" s="140">
        <v>17</v>
      </c>
      <c r="E5" s="141">
        <v>0.159</v>
      </c>
      <c r="F5" s="73">
        <v>13.82</v>
      </c>
      <c r="G5" s="106">
        <v>0.497</v>
      </c>
      <c r="H5" s="73">
        <v>6400</v>
      </c>
      <c r="I5" s="140">
        <v>16300</v>
      </c>
      <c r="J5" s="2">
        <f t="shared" si="11"/>
        <v>6.8685400000000003</v>
      </c>
      <c r="K5" s="1">
        <f t="shared" si="1"/>
        <v>17</v>
      </c>
      <c r="L5" s="1">
        <f t="shared" ref="L5:L19" si="31">LN(K5)</f>
        <v>2.8332133440562162</v>
      </c>
      <c r="M5" s="3">
        <f t="shared" si="12"/>
        <v>156.25</v>
      </c>
      <c r="N5" s="3">
        <f t="shared" si="13"/>
        <v>61.349693251533751</v>
      </c>
      <c r="O5" s="3">
        <f t="shared" si="14"/>
        <v>9375</v>
      </c>
      <c r="P5" s="3">
        <f t="shared" si="23"/>
        <v>3680.9815950920251</v>
      </c>
      <c r="Q5" s="2">
        <f t="shared" si="2"/>
        <v>20.345052083333336</v>
      </c>
      <c r="R5" s="2">
        <f t="shared" si="3"/>
        <v>7.9882413087934578</v>
      </c>
      <c r="S5" s="3">
        <f t="shared" si="4"/>
        <v>17</v>
      </c>
      <c r="T5" s="158">
        <f t="shared" si="0"/>
        <v>6.8685400000000003</v>
      </c>
      <c r="U5" s="96">
        <f t="shared" si="15"/>
        <v>2.4184999999999999</v>
      </c>
      <c r="V5">
        <f t="shared" si="16"/>
        <v>3.2432617070000001E-3</v>
      </c>
      <c r="W5" s="150">
        <f t="shared" si="24"/>
        <v>1.8169184517508267E-3</v>
      </c>
      <c r="X5" s="150">
        <f t="shared" si="25"/>
        <v>1.1603327860512421E-3</v>
      </c>
      <c r="Y5" s="95">
        <f t="shared" si="17"/>
        <v>3.7263621552344237E-2</v>
      </c>
      <c r="Z5" s="147">
        <f t="shared" si="18"/>
        <v>7.055411002626423E-2</v>
      </c>
      <c r="AA5" s="97">
        <f t="shared" ref="AA5:AA19" si="32">Z5/U5*100</f>
        <v>2.9172673155370781</v>
      </c>
      <c r="AB5">
        <f t="shared" si="19"/>
        <v>3.7867553977359298</v>
      </c>
      <c r="AC5" s="175">
        <f t="shared" si="20"/>
        <v>8.5201996449058424</v>
      </c>
      <c r="AD5" s="175">
        <f t="shared" si="21"/>
        <v>10.600466009045316</v>
      </c>
      <c r="AE5" s="158">
        <f t="shared" si="26"/>
        <v>2.799353244570074</v>
      </c>
      <c r="AF5" s="151"/>
      <c r="AG5" s="95">
        <f t="shared" si="5"/>
        <v>0.47222222222222221</v>
      </c>
      <c r="AH5" s="95">
        <f t="shared" si="6"/>
        <v>17</v>
      </c>
      <c r="AI5" s="96">
        <f t="shared" si="7"/>
        <v>8142.287725194481</v>
      </c>
      <c r="AJ5" s="96">
        <f t="shared" si="22"/>
        <v>17.669895236967189</v>
      </c>
      <c r="AK5" s="96">
        <f t="shared" si="8"/>
        <v>7.2311869728514129</v>
      </c>
      <c r="AL5" s="96">
        <f t="shared" si="9"/>
        <v>17.844638610162221</v>
      </c>
      <c r="AM5" s="97">
        <f t="shared" ref="AM5:AM19" si="33">AN5/$AE$30</f>
        <v>7.2311869728514129</v>
      </c>
      <c r="AN5" s="174">
        <f t="shared" si="10"/>
        <v>3332.1309570899311</v>
      </c>
      <c r="AO5" s="127">
        <f t="shared" si="27"/>
        <v>4.2385969866061413E-7</v>
      </c>
      <c r="AP5" s="127">
        <f t="shared" ref="AP5:AP19" si="34">AI5*AO5/5252</f>
        <v>6.5711873983414897E-7</v>
      </c>
      <c r="AQ5" s="146">
        <f t="shared" si="28"/>
        <v>5.7065996888827122E-7</v>
      </c>
      <c r="AR5" s="95">
        <f>$X$40/AQ5</f>
        <v>6.5585146225885127E-2</v>
      </c>
      <c r="AS5" s="127"/>
      <c r="AT5" s="153">
        <f t="shared" ref="AT5:AT19" si="35">$AE$42*$AE$41*$AE$46^2*$AE$40*PI()/240*($AB5-$AE$47)/$AE$43*$AE$44</f>
        <v>5.1291448900881614E-8</v>
      </c>
      <c r="AU5" s="151" t="str">
        <f>IF(AT5&lt;0,-$AE$45/AT5,"")</f>
        <v/>
      </c>
      <c r="AW5" s="127">
        <f t="shared" si="29"/>
        <v>1.0526315789473683E-4</v>
      </c>
      <c r="AX5" s="96">
        <f t="shared" ref="AX5:AX19" si="36">$X$39/$X$36/$X$34/AQ5</f>
        <v>127.41971906685956</v>
      </c>
    </row>
    <row r="6" spans="2:50" ht="13.95" customHeight="1" x14ac:dyDescent="0.3">
      <c r="C6" s="113">
        <f>D6/180+1</f>
        <v>1.1111111111111112</v>
      </c>
      <c r="D6" s="73">
        <v>20</v>
      </c>
      <c r="E6" s="73">
        <v>0.21099999999999999</v>
      </c>
      <c r="F6" s="73">
        <v>13.8</v>
      </c>
      <c r="G6" s="73">
        <v>0.69399999999999995</v>
      </c>
      <c r="H6" s="73">
        <v>5080</v>
      </c>
      <c r="I6" s="73">
        <v>8560</v>
      </c>
      <c r="J6" s="2">
        <f t="shared" si="11"/>
        <v>9.5771999999999995</v>
      </c>
      <c r="K6" s="1">
        <f t="shared" si="1"/>
        <v>20</v>
      </c>
      <c r="L6" s="1">
        <f>LN(K6)</f>
        <v>2.9957322735539909</v>
      </c>
      <c r="M6" s="3">
        <f t="shared" si="12"/>
        <v>196.85039370078741</v>
      </c>
      <c r="N6" s="3">
        <f t="shared" si="13"/>
        <v>116.82242990654207</v>
      </c>
      <c r="O6" s="3">
        <f t="shared" si="14"/>
        <v>11811.023622047245</v>
      </c>
      <c r="P6" s="3">
        <f t="shared" si="23"/>
        <v>7009.3457943925241</v>
      </c>
      <c r="Q6" s="2">
        <f t="shared" si="2"/>
        <v>25.631561679790028</v>
      </c>
      <c r="R6" s="2">
        <f t="shared" si="3"/>
        <v>15.211253894080997</v>
      </c>
      <c r="S6" s="3">
        <f>K6</f>
        <v>20</v>
      </c>
      <c r="T6" s="158">
        <f>J6</f>
        <v>9.5771999999999995</v>
      </c>
      <c r="U6" s="96">
        <f t="shared" si="15"/>
        <v>5.1271599999999991</v>
      </c>
      <c r="V6">
        <f t="shared" si="16"/>
        <v>6.8756343575199991E-3</v>
      </c>
      <c r="W6" s="150">
        <f t="shared" si="24"/>
        <v>3.0573837460021792E-3</v>
      </c>
      <c r="X6" s="150">
        <f t="shared" si="25"/>
        <v>2.4007980803025944E-3</v>
      </c>
      <c r="Y6" s="95">
        <f t="shared" si="17"/>
        <v>7.4513308242844273E-2</v>
      </c>
      <c r="Z6" s="147">
        <f t="shared" si="18"/>
        <v>0.19950119235292085</v>
      </c>
      <c r="AA6" s="97">
        <f>Z6/U6*100</f>
        <v>3.8910662501837443</v>
      </c>
      <c r="AB6">
        <f t="shared" si="19"/>
        <v>5.354780160954121</v>
      </c>
      <c r="AC6" s="175">
        <f>AB6*1/1.6/1000*3600</f>
        <v>12.048255362146772</v>
      </c>
      <c r="AD6" s="175">
        <f t="shared" si="21"/>
        <v>20.185466816289562</v>
      </c>
      <c r="AE6" s="158">
        <f>AD6/AB6</f>
        <v>3.7696163445658417</v>
      </c>
      <c r="AF6" s="151"/>
      <c r="AG6" s="95">
        <f t="shared" si="5"/>
        <v>0.55555555555555558</v>
      </c>
      <c r="AH6" s="95">
        <f t="shared" si="6"/>
        <v>20</v>
      </c>
      <c r="AI6" s="96">
        <f t="shared" si="7"/>
        <v>10672.525096174351</v>
      </c>
      <c r="AJ6" s="96">
        <f t="shared" si="22"/>
        <v>23.16086175385059</v>
      </c>
      <c r="AK6" s="96">
        <f t="shared" si="8"/>
        <v>12.600175366335458</v>
      </c>
      <c r="AL6" s="96">
        <f t="shared" si="9"/>
        <v>23.317733945921322</v>
      </c>
      <c r="AM6" s="97">
        <f t="shared" si="33"/>
        <v>12.600175366335453</v>
      </c>
      <c r="AN6" s="174">
        <f t="shared" si="10"/>
        <v>5806.1608088073772</v>
      </c>
      <c r="AO6" s="127">
        <f t="shared" si="27"/>
        <v>1.4843816451516282E-3</v>
      </c>
      <c r="AP6" s="127">
        <f>AI6*AO6/5252</f>
        <v>3.0163938233399323E-3</v>
      </c>
      <c r="AQ6" s="146">
        <f t="shared" si="28"/>
        <v>6.0231913771490417E-7</v>
      </c>
      <c r="AR6" s="95">
        <f>$X$40/AQ6</f>
        <v>6.2137852114059124E-2</v>
      </c>
      <c r="AS6" s="127"/>
      <c r="AT6" s="153">
        <f>$AE$42*$AE$41*$AE$46^2*$AE$40*PI()/240*($AB6-$AE$47)/$AE$43*$AE$44</f>
        <v>-1.4998779687679272E-8</v>
      </c>
      <c r="AU6" s="151">
        <f t="shared" ref="AU6:AU19" si="37">IF(AT6&lt;0,-$AE$45/AT6,"")</f>
        <v>2.4953241719751733</v>
      </c>
      <c r="AW6" s="127">
        <f t="shared" si="29"/>
        <v>1.0526315789473683E-4</v>
      </c>
      <c r="AX6" s="96">
        <f t="shared" si="36"/>
        <v>120.72226891927805</v>
      </c>
    </row>
    <row r="7" spans="2:50" ht="13.95" customHeight="1" x14ac:dyDescent="0.3">
      <c r="C7" s="113">
        <f t="shared" si="30"/>
        <v>1.1944444444444444</v>
      </c>
      <c r="D7" s="73">
        <v>35</v>
      </c>
      <c r="E7" s="73">
        <v>0.49199999999999999</v>
      </c>
      <c r="F7" s="73">
        <v>13.7</v>
      </c>
      <c r="G7" s="73">
        <v>1.7889999999999999</v>
      </c>
      <c r="H7" s="73">
        <v>3100</v>
      </c>
      <c r="I7" s="73">
        <v>4320</v>
      </c>
      <c r="J7" s="2">
        <f t="shared" si="11"/>
        <v>24.509299999999996</v>
      </c>
      <c r="K7" s="1">
        <f t="shared" si="1"/>
        <v>35</v>
      </c>
      <c r="L7" s="1">
        <f t="shared" si="31"/>
        <v>3.5553480614894135</v>
      </c>
      <c r="M7" s="3">
        <f t="shared" si="12"/>
        <v>322.58064516129036</v>
      </c>
      <c r="N7" s="3">
        <f t="shared" si="13"/>
        <v>231.4814814814815</v>
      </c>
      <c r="O7" s="3">
        <f t="shared" si="14"/>
        <v>19354.83870967742</v>
      </c>
      <c r="P7" s="3">
        <f t="shared" si="23"/>
        <v>13888.888888888891</v>
      </c>
      <c r="Q7" s="2">
        <f t="shared" si="2"/>
        <v>42.002688172043015</v>
      </c>
      <c r="R7" s="2">
        <f t="shared" si="3"/>
        <v>30.140817901234573</v>
      </c>
      <c r="S7" s="3">
        <f t="shared" si="4"/>
        <v>35</v>
      </c>
      <c r="T7" s="158">
        <f t="shared" si="0"/>
        <v>24.509299999999996</v>
      </c>
      <c r="U7" s="96">
        <f t="shared" si="15"/>
        <v>20.059259999999995</v>
      </c>
      <c r="V7">
        <f t="shared" si="16"/>
        <v>2.6899908963719996E-2</v>
      </c>
      <c r="W7" s="150">
        <f t="shared" si="24"/>
        <v>7.2993799636686327E-3</v>
      </c>
      <c r="X7" s="150">
        <f t="shared" si="25"/>
        <v>6.6427942979690483E-3</v>
      </c>
      <c r="Y7" s="95">
        <f t="shared" si="17"/>
        <v>0.32789885563484727</v>
      </c>
      <c r="Z7" s="147">
        <f t="shared" si="18"/>
        <v>1.8416393194961516</v>
      </c>
      <c r="AA7" s="97">
        <f t="shared" si="32"/>
        <v>9.1809933142905162</v>
      </c>
      <c r="AB7">
        <f t="shared" si="19"/>
        <v>11.232971923189794</v>
      </c>
      <c r="AC7" s="175">
        <f t="shared" si="20"/>
        <v>25.274186827177036</v>
      </c>
      <c r="AD7" s="175">
        <f t="shared" si="21"/>
        <v>39.997128691536716</v>
      </c>
      <c r="AE7" s="158">
        <f t="shared" si="26"/>
        <v>3.560689812547742</v>
      </c>
      <c r="AF7" s="151"/>
      <c r="AG7" s="95">
        <f t="shared" si="5"/>
        <v>0.97222222222222221</v>
      </c>
      <c r="AH7" s="95">
        <f t="shared" si="6"/>
        <v>35</v>
      </c>
      <c r="AI7" s="96">
        <f t="shared" si="7"/>
        <v>19385.114973551928</v>
      </c>
      <c r="AJ7" s="96">
        <f t="shared" si="22"/>
        <v>42.068391869687346</v>
      </c>
      <c r="AK7" s="96">
        <f t="shared" si="8"/>
        <v>31.087687433518074</v>
      </c>
      <c r="AL7" s="96">
        <f t="shared" si="9"/>
        <v>42.163726644934563</v>
      </c>
      <c r="AM7" s="97">
        <f t="shared" si="33"/>
        <v>31.087687433518067</v>
      </c>
      <c r="AN7" s="174">
        <f t="shared" si="10"/>
        <v>14325.206369365125</v>
      </c>
      <c r="AO7" s="127">
        <f t="shared" si="27"/>
        <v>7.2070419454749604E-3</v>
      </c>
      <c r="AP7" s="127">
        <f t="shared" si="34"/>
        <v>2.6601168456253519E-2</v>
      </c>
      <c r="AQ7" s="146">
        <f t="shared" si="28"/>
        <v>7.1133395071574516E-7</v>
      </c>
      <c r="AR7" s="95">
        <f t="shared" ref="AR7:AR19" si="38">$X$40/AQ7</f>
        <v>5.2614974256658793E-2</v>
      </c>
      <c r="AS7" s="127"/>
      <c r="AT7" s="153">
        <f t="shared" si="35"/>
        <v>-2.6350676549668665E-7</v>
      </c>
      <c r="AU7" s="151">
        <f t="shared" si="37"/>
        <v>0.14203361129741821</v>
      </c>
      <c r="AW7" s="127">
        <f t="shared" si="29"/>
        <v>1.0526315789473683E-4</v>
      </c>
      <c r="AX7" s="96">
        <f t="shared" si="36"/>
        <v>102.22109157770704</v>
      </c>
    </row>
    <row r="8" spans="2:50" ht="13.95" customHeight="1" x14ac:dyDescent="0.3">
      <c r="C8" s="113">
        <f t="shared" si="30"/>
        <v>1.3</v>
      </c>
      <c r="D8" s="73">
        <v>54</v>
      </c>
      <c r="E8" s="73">
        <v>0.69099999999999995</v>
      </c>
      <c r="F8" s="73">
        <v>13.15</v>
      </c>
      <c r="G8" s="73">
        <v>3.26</v>
      </c>
      <c r="H8" s="73">
        <v>2420</v>
      </c>
      <c r="I8" s="73">
        <v>2980</v>
      </c>
      <c r="J8" s="2">
        <f t="shared" si="11"/>
        <v>42.869</v>
      </c>
      <c r="K8" s="1">
        <f t="shared" si="1"/>
        <v>54</v>
      </c>
      <c r="L8" s="1">
        <f t="shared" si="31"/>
        <v>3.9889840465642745</v>
      </c>
      <c r="M8" s="3">
        <f t="shared" si="12"/>
        <v>413.22314049586777</v>
      </c>
      <c r="N8" s="3">
        <f t="shared" si="13"/>
        <v>335.57046979865771</v>
      </c>
      <c r="O8" s="3">
        <f t="shared" si="14"/>
        <v>24793.388429752067</v>
      </c>
      <c r="P8" s="3">
        <f t="shared" si="23"/>
        <v>20134.228187919463</v>
      </c>
      <c r="Q8" s="2">
        <f t="shared" si="2"/>
        <v>53.805096418732788</v>
      </c>
      <c r="R8" s="2">
        <f t="shared" si="3"/>
        <v>43.694071588366889</v>
      </c>
      <c r="S8" s="3">
        <f t="shared" si="4"/>
        <v>54</v>
      </c>
      <c r="T8" s="158">
        <f t="shared" si="0"/>
        <v>42.869</v>
      </c>
      <c r="U8" s="96">
        <f t="shared" si="15"/>
        <v>38.418959999999998</v>
      </c>
      <c r="V8">
        <f t="shared" si="16"/>
        <v>5.1520670577120002E-2</v>
      </c>
      <c r="W8" s="150">
        <f t="shared" si="24"/>
        <v>1.0913657995465047E-2</v>
      </c>
      <c r="X8" s="150">
        <f t="shared" si="25"/>
        <v>1.0257072329765462E-2</v>
      </c>
      <c r="Y8" s="95">
        <f t="shared" si="17"/>
        <v>0.6892533483335973</v>
      </c>
      <c r="Z8" s="147">
        <f t="shared" si="18"/>
        <v>5.6125865867595603</v>
      </c>
      <c r="AA8" s="97">
        <f t="shared" si="32"/>
        <v>14.608897759750811</v>
      </c>
      <c r="AB8">
        <f t="shared" si="19"/>
        <v>16.285990050912538</v>
      </c>
      <c r="AC8" s="175">
        <f t="shared" si="20"/>
        <v>36.643477614553206</v>
      </c>
      <c r="AD8" s="175">
        <f t="shared" si="21"/>
        <v>57.982414747462627</v>
      </c>
      <c r="AE8" s="158">
        <f t="shared" si="26"/>
        <v>3.5602634267981608</v>
      </c>
      <c r="AF8" s="151"/>
      <c r="AG8" s="95">
        <f t="shared" si="5"/>
        <v>1.5</v>
      </c>
      <c r="AH8" s="95">
        <f t="shared" si="6"/>
        <v>54</v>
      </c>
      <c r="AI8" s="96">
        <f t="shared" si="7"/>
        <v>26136.340681404661</v>
      </c>
      <c r="AJ8" s="96">
        <f t="shared" si="22"/>
        <v>56.719489325964972</v>
      </c>
      <c r="AK8" s="96">
        <f t="shared" si="8"/>
        <v>45.413320626270703</v>
      </c>
      <c r="AL8" s="96">
        <f t="shared" si="9"/>
        <v>56.767139888331641</v>
      </c>
      <c r="AM8" s="97">
        <f t="shared" si="33"/>
        <v>45.413320626270711</v>
      </c>
      <c r="AN8" s="174">
        <f t="shared" si="10"/>
        <v>20926.458144585544</v>
      </c>
      <c r="AO8" s="127">
        <f t="shared" si="27"/>
        <v>1.2294568083529682E-2</v>
      </c>
      <c r="AP8" s="127">
        <f t="shared" si="34"/>
        <v>6.1183362521297822E-2</v>
      </c>
      <c r="AQ8" s="146">
        <f t="shared" si="28"/>
        <v>7.9580752498314336E-7</v>
      </c>
      <c r="AR8" s="95">
        <f t="shared" si="38"/>
        <v>4.7029986937594102E-2</v>
      </c>
      <c r="AS8" s="127"/>
      <c r="AT8" s="153">
        <f t="shared" si="35"/>
        <v>-4.7712949302389988E-7</v>
      </c>
      <c r="AU8" s="151">
        <f t="shared" si="37"/>
        <v>7.8441634927232592E-2</v>
      </c>
      <c r="AW8" s="127">
        <f t="shared" si="29"/>
        <v>1.0526315789473683E-4</v>
      </c>
      <c r="AX8" s="96">
        <f t="shared" si="36"/>
        <v>91.370501830812074</v>
      </c>
    </row>
    <row r="9" spans="2:50" ht="13.95" customHeight="1" x14ac:dyDescent="0.3">
      <c r="B9">
        <v>64</v>
      </c>
      <c r="C9" s="113">
        <f t="shared" si="30"/>
        <v>1.3555555555555556</v>
      </c>
      <c r="D9" s="140">
        <v>64</v>
      </c>
      <c r="E9" s="140">
        <v>0.77700000000000002</v>
      </c>
      <c r="F9" s="73">
        <v>13.37</v>
      </c>
      <c r="G9" s="140">
        <v>4.43</v>
      </c>
      <c r="H9" s="73">
        <v>2140</v>
      </c>
      <c r="I9" s="140">
        <v>2660</v>
      </c>
      <c r="J9" s="2">
        <f t="shared" si="11"/>
        <v>59.229099999999995</v>
      </c>
      <c r="K9" s="1">
        <f t="shared" si="1"/>
        <v>64</v>
      </c>
      <c r="L9" s="1">
        <f t="shared" si="31"/>
        <v>4.1588830833596715</v>
      </c>
      <c r="M9" s="3">
        <f t="shared" si="12"/>
        <v>467.28971962616828</v>
      </c>
      <c r="N9" s="3">
        <f t="shared" si="13"/>
        <v>375.93984962406017</v>
      </c>
      <c r="O9" s="3">
        <f t="shared" si="14"/>
        <v>28037.383177570096</v>
      </c>
      <c r="P9" s="3">
        <f t="shared" si="23"/>
        <v>22556.390977443611</v>
      </c>
      <c r="Q9" s="2">
        <f t="shared" si="2"/>
        <v>60.845015576323988</v>
      </c>
      <c r="R9" s="2">
        <f t="shared" si="3"/>
        <v>48.950501253132835</v>
      </c>
      <c r="S9" s="3">
        <f t="shared" si="4"/>
        <v>64</v>
      </c>
      <c r="T9" s="158">
        <f t="shared" si="0"/>
        <v>59.229099999999995</v>
      </c>
      <c r="U9" s="96">
        <f t="shared" si="15"/>
        <v>54.779059999999994</v>
      </c>
      <c r="V9">
        <f t="shared" si="16"/>
        <v>7.3459924599319992E-2</v>
      </c>
      <c r="W9" s="150">
        <f t="shared" si="24"/>
        <v>1.3760611022510751E-2</v>
      </c>
      <c r="X9" s="150">
        <f t="shared" si="25"/>
        <v>1.3104025356811166E-2</v>
      </c>
      <c r="Y9" s="95">
        <f t="shared" si="17"/>
        <v>0.99674407431185397</v>
      </c>
      <c r="Z9" s="147">
        <f t="shared" si="18"/>
        <v>9.7604585367043626</v>
      </c>
      <c r="AA9" s="97">
        <f t="shared" si="32"/>
        <v>17.817864228966986</v>
      </c>
      <c r="AB9">
        <f t="shared" si="19"/>
        <v>19.584683347012472</v>
      </c>
      <c r="AC9" s="175">
        <f t="shared" si="20"/>
        <v>44.065537530778059</v>
      </c>
      <c r="AD9" s="175">
        <f t="shared" si="21"/>
        <v>64.957742837382938</v>
      </c>
      <c r="AE9" s="158">
        <f t="shared" si="26"/>
        <v>3.3167624763916268</v>
      </c>
      <c r="AF9" s="151"/>
      <c r="AG9" s="95"/>
      <c r="AH9" s="151">
        <v>70.201599999999999</v>
      </c>
      <c r="AI9" s="152">
        <f t="shared" si="7"/>
        <v>30221.412724320267</v>
      </c>
      <c r="AJ9" s="152">
        <f t="shared" si="22"/>
        <v>65.584663030208915</v>
      </c>
      <c r="AK9" s="152">
        <f t="shared" si="8"/>
        <v>54.081560466735283</v>
      </c>
      <c r="AL9" s="152">
        <f t="shared" si="9"/>
        <v>65.603460543758075</v>
      </c>
      <c r="AM9" s="173">
        <f t="shared" si="33"/>
        <v>54.081560466735276</v>
      </c>
      <c r="AN9" s="8">
        <f t="shared" si="10"/>
        <v>24920.783063071616</v>
      </c>
      <c r="AO9" s="150">
        <f t="shared" si="27"/>
        <v>1.5649900883462433E-2</v>
      </c>
      <c r="AP9" s="150">
        <f t="shared" si="34"/>
        <v>9.0053715478641008E-2</v>
      </c>
      <c r="AQ9" s="153">
        <f t="shared" si="28"/>
        <v>8.4692130069405188E-7</v>
      </c>
      <c r="AR9" s="151">
        <f t="shared" si="38"/>
        <v>4.4191611988180078E-2</v>
      </c>
      <c r="AS9" s="150"/>
      <c r="AT9" s="153">
        <f t="shared" si="35"/>
        <v>-6.165859211183265E-7</v>
      </c>
      <c r="AU9" s="151">
        <f t="shared" si="37"/>
        <v>6.0700084486058022E-2</v>
      </c>
      <c r="AW9" s="150">
        <f t="shared" si="29"/>
        <v>1.0526315789473683E-4</v>
      </c>
      <c r="AX9" s="152">
        <f t="shared" si="36"/>
        <v>85.856068159884231</v>
      </c>
    </row>
    <row r="10" spans="2:50" ht="13.95" customHeight="1" x14ac:dyDescent="0.3">
      <c r="C10" s="113">
        <f t="shared" si="30"/>
        <v>1.4944444444444445</v>
      </c>
      <c r="D10" s="73">
        <v>89</v>
      </c>
      <c r="E10" s="73">
        <v>0.94299999999999995</v>
      </c>
      <c r="F10" s="73">
        <v>13.18</v>
      </c>
      <c r="G10" s="73">
        <v>6.68</v>
      </c>
      <c r="H10" s="73">
        <v>1870</v>
      </c>
      <c r="I10" s="73">
        <v>2180</v>
      </c>
      <c r="J10" s="2">
        <f t="shared" si="11"/>
        <v>88.042400000000001</v>
      </c>
      <c r="K10" s="1">
        <f t="shared" si="1"/>
        <v>89</v>
      </c>
      <c r="L10" s="1">
        <f t="shared" si="31"/>
        <v>4.4886363697321396</v>
      </c>
      <c r="M10" s="3">
        <f t="shared" si="12"/>
        <v>534.75935828877004</v>
      </c>
      <c r="N10" s="3">
        <f t="shared" si="13"/>
        <v>458.71559633027528</v>
      </c>
      <c r="O10" s="3">
        <f t="shared" si="14"/>
        <v>32085.561497326202</v>
      </c>
      <c r="P10" s="3">
        <f t="shared" si="23"/>
        <v>27522.935779816515</v>
      </c>
      <c r="Q10" s="2">
        <f t="shared" si="2"/>
        <v>69.630124777183596</v>
      </c>
      <c r="R10" s="2">
        <f t="shared" si="3"/>
        <v>59.72859327217126</v>
      </c>
      <c r="S10" s="3">
        <f t="shared" si="4"/>
        <v>89</v>
      </c>
      <c r="T10" s="158">
        <f t="shared" si="0"/>
        <v>88.042400000000001</v>
      </c>
      <c r="U10" s="96">
        <f t="shared" si="15"/>
        <v>83.592359999999999</v>
      </c>
      <c r="V10">
        <f t="shared" si="16"/>
        <v>0.11209919379192</v>
      </c>
      <c r="W10" s="150">
        <f t="shared" si="24"/>
        <v>1.834921810061594E-2</v>
      </c>
      <c r="X10" s="150">
        <f t="shared" si="25"/>
        <v>1.7692632434916356E-2</v>
      </c>
      <c r="Y10" s="95">
        <f t="shared" si="17"/>
        <v>1.4938265119186129</v>
      </c>
      <c r="Z10" s="147">
        <f t="shared" si="18"/>
        <v>17.907912822547804</v>
      </c>
      <c r="AA10" s="97">
        <f t="shared" si="32"/>
        <v>21.422906139446003</v>
      </c>
      <c r="AB10">
        <f t="shared" si="19"/>
        <v>23.975893692698723</v>
      </c>
      <c r="AC10" s="175">
        <f t="shared" si="20"/>
        <v>53.945760808572125</v>
      </c>
      <c r="AD10" s="175">
        <f t="shared" si="21"/>
        <v>79.260365113503937</v>
      </c>
      <c r="AE10" s="158">
        <f t="shared" si="26"/>
        <v>3.3058356918574745</v>
      </c>
      <c r="AF10" s="151"/>
      <c r="AG10" s="95">
        <f t="shared" ref="AG10:AG19" si="39">D10/$AE$31*$AE$26</f>
        <v>2.4722222222222223</v>
      </c>
      <c r="AH10" s="95">
        <f t="shared" ref="AH10:AH19" si="40">AG10/$AE$26*$AE$31</f>
        <v>89</v>
      </c>
      <c r="AI10" s="96">
        <f t="shared" si="7"/>
        <v>33915.366696916011</v>
      </c>
      <c r="AJ10" s="96">
        <f t="shared" si="22"/>
        <v>73.601056199904534</v>
      </c>
      <c r="AK10" s="96">
        <f t="shared" si="8"/>
        <v>61.919874860633549</v>
      </c>
      <c r="AL10" s="96">
        <f t="shared" si="9"/>
        <v>73.593763149277294</v>
      </c>
      <c r="AM10" s="97">
        <f t="shared" si="33"/>
        <v>61.919874860633534</v>
      </c>
      <c r="AN10" s="174">
        <f t="shared" si="10"/>
        <v>28532.678335779932</v>
      </c>
      <c r="AO10" s="127">
        <f t="shared" si="27"/>
        <v>1.886375641999986E-2</v>
      </c>
      <c r="AP10" s="127">
        <f t="shared" si="34"/>
        <v>0.1218147784207157</v>
      </c>
      <c r="AQ10" s="146">
        <f t="shared" si="28"/>
        <v>8.9314127744308335E-7</v>
      </c>
      <c r="AR10" s="95">
        <f t="shared" si="38"/>
        <v>4.1904700241761475E-2</v>
      </c>
      <c r="AS10" s="127"/>
      <c r="AT10" s="153">
        <f t="shared" si="35"/>
        <v>-8.0222988824455823E-7</v>
      </c>
      <c r="AU10" s="151">
        <f t="shared" si="37"/>
        <v>4.6653481817654281E-2</v>
      </c>
      <c r="AW10" s="127">
        <f t="shared" si="29"/>
        <v>1.0526315789473683E-4</v>
      </c>
      <c r="AX10" s="96">
        <f t="shared" si="36"/>
        <v>81.413024741855679</v>
      </c>
    </row>
    <row r="11" spans="2:50" ht="13.95" customHeight="1" x14ac:dyDescent="0.3">
      <c r="C11" s="113">
        <f>D11/180+1</f>
        <v>1.5611111111111111</v>
      </c>
      <c r="D11" s="73">
        <v>101</v>
      </c>
      <c r="E11" s="73">
        <v>1.018</v>
      </c>
      <c r="F11" s="73">
        <v>13.08</v>
      </c>
      <c r="G11" s="73">
        <v>7.79</v>
      </c>
      <c r="H11" s="73">
        <v>1760</v>
      </c>
      <c r="I11" s="73">
        <v>2020</v>
      </c>
      <c r="J11" s="2">
        <f t="shared" si="11"/>
        <v>101.89320000000001</v>
      </c>
      <c r="K11" s="1">
        <f t="shared" si="1"/>
        <v>101</v>
      </c>
      <c r="L11" s="1">
        <f>LN(K11)</f>
        <v>4.6151205168412597</v>
      </c>
      <c r="M11" s="3">
        <f t="shared" si="12"/>
        <v>568.18181818181813</v>
      </c>
      <c r="N11" s="3">
        <f t="shared" si="13"/>
        <v>495.04950495049508</v>
      </c>
      <c r="O11" s="3">
        <f t="shared" si="14"/>
        <v>34090.909090909088</v>
      </c>
      <c r="P11" s="3">
        <f t="shared" si="23"/>
        <v>29702.970297029704</v>
      </c>
      <c r="Q11" s="2">
        <f t="shared" si="2"/>
        <v>73.982007575757564</v>
      </c>
      <c r="R11" s="2">
        <f t="shared" si="3"/>
        <v>64.459570957095707</v>
      </c>
      <c r="S11" s="3">
        <f>K11</f>
        <v>101</v>
      </c>
      <c r="T11" s="158">
        <f>J11</f>
        <v>101.89320000000001</v>
      </c>
      <c r="U11" s="96">
        <f t="shared" si="15"/>
        <v>97.443160000000006</v>
      </c>
      <c r="V11">
        <f t="shared" si="16"/>
        <v>0.13067342130952</v>
      </c>
      <c r="W11" s="150">
        <f t="shared" si="24"/>
        <v>2.0131373055716242E-2</v>
      </c>
      <c r="X11" s="150">
        <f t="shared" si="25"/>
        <v>1.9474787390016658E-2</v>
      </c>
      <c r="Y11" s="95">
        <f t="shared" si="17"/>
        <v>1.7917894660781604</v>
      </c>
      <c r="Z11" s="147">
        <f t="shared" si="18"/>
        <v>23.524759693266088</v>
      </c>
      <c r="AA11" s="97">
        <f>Z11/U11*100</f>
        <v>24.142032845882756</v>
      </c>
      <c r="AB11">
        <f t="shared" si="19"/>
        <v>26.258397137200163</v>
      </c>
      <c r="AC11" s="175">
        <f>AB11*1/1.6/1000*3600</f>
        <v>59.081393558700363</v>
      </c>
      <c r="AD11" s="175">
        <f t="shared" si="21"/>
        <v>85.53841383536566</v>
      </c>
      <c r="AE11" s="158">
        <f>AD11/AB11</f>
        <v>3.2575641760777447</v>
      </c>
      <c r="AF11" s="151"/>
      <c r="AG11" s="95">
        <f t="shared" si="39"/>
        <v>2.8055555555555554</v>
      </c>
      <c r="AH11" s="95">
        <f t="shared" si="40"/>
        <v>101</v>
      </c>
      <c r="AI11" s="96">
        <f t="shared" si="7"/>
        <v>35884.582940469918</v>
      </c>
      <c r="AJ11" s="96">
        <f t="shared" si="22"/>
        <v>77.87452895067257</v>
      </c>
      <c r="AK11" s="96">
        <f t="shared" si="8"/>
        <v>66.098415292121516</v>
      </c>
      <c r="AL11" s="96">
        <f t="shared" si="9"/>
        <v>77.853327236547941</v>
      </c>
      <c r="AM11" s="97">
        <f t="shared" si="33"/>
        <v>66.098415292121501</v>
      </c>
      <c r="AN11" s="174">
        <f t="shared" si="10"/>
        <v>30458.149766609586</v>
      </c>
      <c r="AO11" s="127">
        <f t="shared" si="27"/>
        <v>2.064680496984065E-2</v>
      </c>
      <c r="AP11" s="127">
        <f>AI11*AO11/5252</f>
        <v>0.14107044657196369</v>
      </c>
      <c r="AQ11" s="146">
        <f t="shared" si="28"/>
        <v>9.1778076392994913E-7</v>
      </c>
      <c r="AR11" s="95">
        <f>$X$40/AQ11</f>
        <v>4.0779692684486224E-2</v>
      </c>
      <c r="AS11" s="127"/>
      <c r="AT11" s="153">
        <f t="shared" si="35"/>
        <v>-8.9872560606704742E-7</v>
      </c>
      <c r="AU11" s="151">
        <f t="shared" si="37"/>
        <v>4.1644320860714609E-2</v>
      </c>
      <c r="AW11" s="127">
        <f t="shared" si="29"/>
        <v>1.0526315789473683E-4</v>
      </c>
      <c r="AX11" s="96">
        <f t="shared" si="36"/>
        <v>79.227344673347588</v>
      </c>
    </row>
    <row r="12" spans="2:50" ht="13.95" customHeight="1" x14ac:dyDescent="0.3">
      <c r="C12" s="113">
        <f>D12/180+1</f>
        <v>1.6333333333333333</v>
      </c>
      <c r="D12" s="73">
        <v>114</v>
      </c>
      <c r="E12" s="73">
        <v>1.077</v>
      </c>
      <c r="F12" s="73">
        <v>13</v>
      </c>
      <c r="G12" s="73">
        <v>9.17</v>
      </c>
      <c r="H12" s="73">
        <v>1630</v>
      </c>
      <c r="I12" s="73">
        <v>1920</v>
      </c>
      <c r="J12" s="2">
        <f t="shared" si="11"/>
        <v>119.21</v>
      </c>
      <c r="K12" s="1">
        <f t="shared" si="1"/>
        <v>114</v>
      </c>
      <c r="L12" s="1">
        <f>LN(K12)</f>
        <v>4.7361984483944957</v>
      </c>
      <c r="M12" s="3">
        <f t="shared" si="12"/>
        <v>613.49693251533745</v>
      </c>
      <c r="N12" s="3">
        <f t="shared" si="13"/>
        <v>520.83333333333337</v>
      </c>
      <c r="O12" s="3">
        <f t="shared" si="14"/>
        <v>36809.815950920245</v>
      </c>
      <c r="P12" s="3">
        <f t="shared" si="23"/>
        <v>31250.000000000004</v>
      </c>
      <c r="Q12" s="2">
        <f t="shared" si="2"/>
        <v>79.882413087934552</v>
      </c>
      <c r="R12" s="2">
        <f t="shared" si="3"/>
        <v>67.816840277777786</v>
      </c>
      <c r="S12" s="3">
        <f>K12</f>
        <v>114</v>
      </c>
      <c r="T12" s="158">
        <f>J12</f>
        <v>119.21</v>
      </c>
      <c r="U12" s="96">
        <f t="shared" si="15"/>
        <v>114.75995999999999</v>
      </c>
      <c r="V12">
        <f t="shared" si="16"/>
        <v>0.15389563107911999</v>
      </c>
      <c r="W12" s="150">
        <f t="shared" si="24"/>
        <v>2.1957726045281456E-2</v>
      </c>
      <c r="X12" s="150">
        <f t="shared" si="25"/>
        <v>2.1301140379581873E-2</v>
      </c>
      <c r="Y12" s="95">
        <f t="shared" si="17"/>
        <v>2.2556004329548065</v>
      </c>
      <c r="Z12" s="147">
        <f t="shared" si="18"/>
        <v>33.226758975060008</v>
      </c>
      <c r="AA12" s="97">
        <f>Z12/U12*100</f>
        <v>28.953268173899687</v>
      </c>
      <c r="AB12">
        <f t="shared" si="19"/>
        <v>29.461564636723708</v>
      </c>
      <c r="AC12" s="175">
        <f>AB12*1/1.6/1000*3600</f>
        <v>66.288520432628331</v>
      </c>
      <c r="AD12" s="175">
        <f t="shared" si="21"/>
        <v>89.993539555957625</v>
      </c>
      <c r="AE12" s="158">
        <f>AD12/AB12</f>
        <v>3.0546082893296536</v>
      </c>
      <c r="AF12" s="151"/>
      <c r="AG12" s="95">
        <f t="shared" si="39"/>
        <v>3.1666666666666665</v>
      </c>
      <c r="AH12" s="95">
        <f t="shared" si="40"/>
        <v>114</v>
      </c>
      <c r="AI12" s="96">
        <f t="shared" si="7"/>
        <v>37769.630474093603</v>
      </c>
      <c r="AJ12" s="96">
        <f t="shared" si="22"/>
        <v>81.965343910793408</v>
      </c>
      <c r="AK12" s="96">
        <f t="shared" si="8"/>
        <v>70.098355552774535</v>
      </c>
      <c r="AL12" s="96">
        <f t="shared" si="9"/>
        <v>81.93082802058089</v>
      </c>
      <c r="AM12" s="97">
        <f t="shared" si="33"/>
        <v>70.098355552774535</v>
      </c>
      <c r="AN12" s="174">
        <f t="shared" si="10"/>
        <v>32301.322238718505</v>
      </c>
      <c r="AO12" s="127">
        <f t="shared" si="27"/>
        <v>2.2399096021018378E-2</v>
      </c>
      <c r="AP12" s="127">
        <f>AI12*AO12/5252</f>
        <v>0.16108255515377085</v>
      </c>
      <c r="AQ12" s="146">
        <f t="shared" si="28"/>
        <v>9.4136710361400359E-7</v>
      </c>
      <c r="AR12" s="95">
        <f>$X$40/AQ12</f>
        <v>3.9757940723773949E-2</v>
      </c>
      <c r="AS12" s="127"/>
      <c r="AT12" s="153">
        <f t="shared" si="35"/>
        <v>-1.0341435603824269E-6</v>
      </c>
      <c r="AU12" s="151">
        <f t="shared" si="37"/>
        <v>3.619112368785226E-2</v>
      </c>
      <c r="AW12" s="127">
        <f t="shared" si="29"/>
        <v>1.0526315789473683E-4</v>
      </c>
      <c r="AX12" s="96">
        <f t="shared" si="36"/>
        <v>77.242270990023428</v>
      </c>
    </row>
    <row r="13" spans="2:50" ht="13.95" customHeight="1" x14ac:dyDescent="0.3">
      <c r="C13" s="113">
        <f t="shared" si="30"/>
        <v>1.6944444444444444</v>
      </c>
      <c r="D13" s="73">
        <v>125</v>
      </c>
      <c r="E13" s="73">
        <v>1.1279999999999999</v>
      </c>
      <c r="F13" s="73">
        <v>12.92</v>
      </c>
      <c r="G13" s="73">
        <v>10.7</v>
      </c>
      <c r="H13" s="73">
        <v>1600</v>
      </c>
      <c r="I13" s="73">
        <v>1800</v>
      </c>
      <c r="J13" s="2">
        <f t="shared" si="11"/>
        <v>138.244</v>
      </c>
      <c r="K13" s="1">
        <f t="shared" si="1"/>
        <v>125</v>
      </c>
      <c r="L13" s="1">
        <f t="shared" si="31"/>
        <v>4.8283137373023015</v>
      </c>
      <c r="M13" s="3">
        <f t="shared" si="12"/>
        <v>625</v>
      </c>
      <c r="N13" s="3">
        <f t="shared" si="13"/>
        <v>555.55555555555554</v>
      </c>
      <c r="O13" s="3">
        <f t="shared" si="14"/>
        <v>37500</v>
      </c>
      <c r="P13" s="3">
        <f t="shared" si="23"/>
        <v>33333.333333333336</v>
      </c>
      <c r="Q13" s="2">
        <f t="shared" si="2"/>
        <v>81.380208333333343</v>
      </c>
      <c r="R13" s="2">
        <f t="shared" si="3"/>
        <v>72.337962962962962</v>
      </c>
      <c r="S13" s="3">
        <f t="shared" si="4"/>
        <v>125</v>
      </c>
      <c r="T13" s="158">
        <f t="shared" si="0"/>
        <v>138.244</v>
      </c>
      <c r="U13" s="96">
        <f t="shared" si="15"/>
        <v>133.79396</v>
      </c>
      <c r="V13">
        <f t="shared" si="16"/>
        <v>0.17942064382712</v>
      </c>
      <c r="W13" s="150">
        <f t="shared" si="24"/>
        <v>2.5128459236800915E-2</v>
      </c>
      <c r="X13" s="150">
        <f t="shared" si="25"/>
        <v>2.4471873571101331E-2</v>
      </c>
      <c r="Y13" s="95">
        <f t="shared" si="17"/>
        <v>2.3848717793500311</v>
      </c>
      <c r="Z13" s="147">
        <f t="shared" si="18"/>
        <v>36.123704333447286</v>
      </c>
      <c r="AA13" s="97">
        <f t="shared" si="32"/>
        <v>26.999503066840454</v>
      </c>
      <c r="AB13">
        <f t="shared" si="19"/>
        <v>30.294043181887439</v>
      </c>
      <c r="AC13" s="175">
        <f t="shared" si="20"/>
        <v>68.161597159246739</v>
      </c>
      <c r="AD13" s="175">
        <f t="shared" si="21"/>
        <v>95.993108859688135</v>
      </c>
      <c r="AE13" s="163">
        <f t="shared" si="26"/>
        <v>3.1687123532286252</v>
      </c>
      <c r="AF13" s="159">
        <f>$AS$33/($AE$41*$AE$46*$AE$40*($AB13-$AE$47)^2/4/$AE13)/(PI()*$AE$46/60/($AB13-$AE$47))</f>
        <v>-1.764803727720339</v>
      </c>
      <c r="AG13" s="95">
        <f t="shared" si="39"/>
        <v>3.4722222222222223</v>
      </c>
      <c r="AH13" s="95">
        <f t="shared" si="40"/>
        <v>125</v>
      </c>
      <c r="AI13" s="96">
        <f t="shared" si="7"/>
        <v>39203.762160497106</v>
      </c>
      <c r="AJ13" s="96">
        <f t="shared" si="22"/>
        <v>85.077608855245458</v>
      </c>
      <c r="AK13" s="96">
        <f t="shared" si="8"/>
        <v>73.141483627373418</v>
      </c>
      <c r="AL13" s="96">
        <f t="shared" si="9"/>
        <v>85.032963627992174</v>
      </c>
      <c r="AM13" s="97">
        <f t="shared" si="33"/>
        <v>73.141483627373418</v>
      </c>
      <c r="AN13" s="174">
        <f t="shared" si="10"/>
        <v>33703.595655493671</v>
      </c>
      <c r="AO13" s="127">
        <f t="shared" si="27"/>
        <v>2.3762007679769385E-2</v>
      </c>
      <c r="AP13" s="127">
        <f t="shared" si="34"/>
        <v>0.17737244812139846</v>
      </c>
      <c r="AQ13" s="146">
        <f t="shared" si="28"/>
        <v>9.5931143472705205E-7</v>
      </c>
      <c r="AR13" s="95">
        <f t="shared" si="38"/>
        <v>3.9014251420285827E-2</v>
      </c>
      <c r="AS13" s="127"/>
      <c r="AT13" s="153">
        <f t="shared" si="35"/>
        <v>-1.0693376429941804E-6</v>
      </c>
      <c r="AU13" s="134">
        <f t="shared" si="37"/>
        <v>3.500000000000001E-2</v>
      </c>
      <c r="AW13" s="127">
        <f t="shared" si="29"/>
        <v>1.0526315789473683E-4</v>
      </c>
      <c r="AX13" s="96">
        <f t="shared" si="36"/>
        <v>75.797421240095076</v>
      </c>
    </row>
    <row r="14" spans="2:50" ht="13.95" customHeight="1" x14ac:dyDescent="0.3">
      <c r="C14" s="113">
        <f t="shared" si="30"/>
        <v>1.7222222222222223</v>
      </c>
      <c r="D14" s="73">
        <v>130</v>
      </c>
      <c r="E14" s="73">
        <v>1.1579999999999999</v>
      </c>
      <c r="F14" s="73">
        <v>12.87</v>
      </c>
      <c r="G14" s="73">
        <v>11.2</v>
      </c>
      <c r="H14" s="73">
        <v>1540</v>
      </c>
      <c r="I14" s="73">
        <v>1770</v>
      </c>
      <c r="J14" s="2">
        <f t="shared" si="11"/>
        <v>144.14399999999998</v>
      </c>
      <c r="K14" s="1">
        <f t="shared" si="1"/>
        <v>130</v>
      </c>
      <c r="L14" s="1">
        <f t="shared" si="31"/>
        <v>4.8675344504555822</v>
      </c>
      <c r="M14" s="3">
        <f t="shared" si="12"/>
        <v>649.35064935064941</v>
      </c>
      <c r="N14" s="3">
        <f t="shared" si="13"/>
        <v>564.9717514124294</v>
      </c>
      <c r="O14" s="3">
        <f t="shared" si="14"/>
        <v>38961.038961038961</v>
      </c>
      <c r="P14" s="3">
        <f t="shared" si="23"/>
        <v>33898.305084745763</v>
      </c>
      <c r="Q14" s="2">
        <f t="shared" si="2"/>
        <v>84.550865800865807</v>
      </c>
      <c r="R14" s="2">
        <f t="shared" si="3"/>
        <v>73.56403013182674</v>
      </c>
      <c r="S14" s="3">
        <f t="shared" si="4"/>
        <v>130</v>
      </c>
      <c r="T14" s="158">
        <f t="shared" si="0"/>
        <v>144.14399999999998</v>
      </c>
      <c r="U14" s="96">
        <f t="shared" si="15"/>
        <v>139.69395999999998</v>
      </c>
      <c r="V14">
        <f t="shared" si="16"/>
        <v>0.18733267362711997</v>
      </c>
      <c r="W14" s="150">
        <f t="shared" si="24"/>
        <v>2.5252694181833939E-2</v>
      </c>
      <c r="X14" s="150">
        <f t="shared" si="25"/>
        <v>2.4596108516134356E-2</v>
      </c>
      <c r="Y14" s="95">
        <f t="shared" si="17"/>
        <v>2.6746245091312479</v>
      </c>
      <c r="Z14" s="147">
        <f t="shared" ref="Z14:Z19" si="41">SQRT(Y14^3/4/$X$46/$X$47)</f>
        <v>42.903128010696648</v>
      </c>
      <c r="AA14" s="97">
        <f t="shared" si="32"/>
        <v>30.712228367423084</v>
      </c>
      <c r="AB14">
        <f t="shared" si="19"/>
        <v>32.08160836350978</v>
      </c>
      <c r="AC14" s="175">
        <f t="shared" si="20"/>
        <v>72.183618817896999</v>
      </c>
      <c r="AD14" s="175">
        <f t="shared" si="21"/>
        <v>97.620110704767598</v>
      </c>
      <c r="AE14" s="158">
        <f t="shared" si="26"/>
        <v>3.0428683499485185</v>
      </c>
      <c r="AF14" s="151"/>
      <c r="AG14" s="95">
        <f t="shared" si="39"/>
        <v>3.6111111111111112</v>
      </c>
      <c r="AH14" s="95">
        <f t="shared" si="40"/>
        <v>130</v>
      </c>
      <c r="AI14" s="96">
        <f t="shared" si="7"/>
        <v>39814.384655018715</v>
      </c>
      <c r="AJ14" s="96">
        <f t="shared" si="22"/>
        <v>86.402744477037146</v>
      </c>
      <c r="AK14" s="96">
        <f t="shared" si="8"/>
        <v>74.437182253711057</v>
      </c>
      <c r="AL14" s="96">
        <f t="shared" si="9"/>
        <v>86.353786395455103</v>
      </c>
      <c r="AM14" s="97">
        <f t="shared" si="33"/>
        <v>74.437182253711057</v>
      </c>
      <c r="AN14" s="174">
        <f t="shared" si="10"/>
        <v>34300.653582510058</v>
      </c>
      <c r="AO14" s="127">
        <f t="shared" si="27"/>
        <v>2.4350117493973571E-2</v>
      </c>
      <c r="AP14" s="127">
        <f t="shared" si="34"/>
        <v>0.18459347758948288</v>
      </c>
      <c r="AQ14" s="146">
        <f t="shared" si="28"/>
        <v>9.6695174581609167E-7</v>
      </c>
      <c r="AR14" s="95">
        <f t="shared" si="38"/>
        <v>3.8705982658119815E-2</v>
      </c>
      <c r="AS14" s="127"/>
      <c r="AT14" s="153">
        <f t="shared" si="35"/>
        <v>-1.1449092202334925E-6</v>
      </c>
      <c r="AU14" s="151">
        <f t="shared" si="37"/>
        <v>3.2689768623894486E-2</v>
      </c>
      <c r="AW14" s="127">
        <f t="shared" si="29"/>
        <v>1.0526315789473683E-4</v>
      </c>
      <c r="AX14" s="96">
        <f t="shared" si="36"/>
        <v>75.198512472902621</v>
      </c>
    </row>
    <row r="15" spans="2:50" ht="13.95" customHeight="1" x14ac:dyDescent="0.3">
      <c r="C15" s="113">
        <f>D15/180+1</f>
        <v>1.7777777777777777</v>
      </c>
      <c r="D15" s="73">
        <v>140</v>
      </c>
      <c r="E15" s="73">
        <v>1.2090000000000001</v>
      </c>
      <c r="F15" s="73">
        <v>12.75</v>
      </c>
      <c r="G15" s="73">
        <v>12.03</v>
      </c>
      <c r="H15" s="73">
        <v>1460</v>
      </c>
      <c r="I15" s="73">
        <v>1700</v>
      </c>
      <c r="J15" s="2">
        <f t="shared" si="11"/>
        <v>153.38249999999999</v>
      </c>
      <c r="K15" s="1">
        <f t="shared" si="1"/>
        <v>140</v>
      </c>
      <c r="L15" s="1">
        <f>LN(K15)</f>
        <v>4.9416424226093039</v>
      </c>
      <c r="M15" s="3">
        <f t="shared" si="12"/>
        <v>684.93150684931516</v>
      </c>
      <c r="N15" s="3">
        <f t="shared" si="13"/>
        <v>588.23529411764707</v>
      </c>
      <c r="O15" s="3">
        <f t="shared" si="14"/>
        <v>41095.890410958906</v>
      </c>
      <c r="P15" s="3">
        <f t="shared" si="23"/>
        <v>35294.117647058825</v>
      </c>
      <c r="Q15" s="2">
        <f t="shared" si="2"/>
        <v>89.183789954337897</v>
      </c>
      <c r="R15" s="2">
        <f t="shared" si="3"/>
        <v>76.593137254901961</v>
      </c>
      <c r="S15" s="3">
        <f>K15</f>
        <v>140</v>
      </c>
      <c r="T15" s="158">
        <f>J15</f>
        <v>153.38249999999999</v>
      </c>
      <c r="U15" s="96">
        <f t="shared" si="15"/>
        <v>148.93245999999999</v>
      </c>
      <c r="V15">
        <f t="shared" si="16"/>
        <v>0.19972170537412001</v>
      </c>
      <c r="W15" s="150">
        <f t="shared" si="24"/>
        <v>2.5524167651205371E-2</v>
      </c>
      <c r="X15" s="150">
        <f t="shared" si="25"/>
        <v>2.4867581985505788E-2</v>
      </c>
      <c r="Y15" s="95">
        <f t="shared" si="17"/>
        <v>3.138820028500596</v>
      </c>
      <c r="Z15" s="147">
        <f t="shared" si="41"/>
        <v>54.543669194719321</v>
      </c>
      <c r="AA15" s="97">
        <f>Z15/U15*100</f>
        <v>36.623090221379087</v>
      </c>
      <c r="AB15">
        <f t="shared" si="19"/>
        <v>34.754250769053904</v>
      </c>
      <c r="AC15" s="175">
        <f>AB15*1/1.6/1000*3600</f>
        <v>78.197064230371282</v>
      </c>
      <c r="AD15" s="175">
        <f t="shared" si="21"/>
        <v>101.6397623220227</v>
      </c>
      <c r="AE15" s="158">
        <f>AD15/AB15</f>
        <v>2.9245275059281499</v>
      </c>
      <c r="AF15" s="151"/>
      <c r="AG15" s="95">
        <f t="shared" si="39"/>
        <v>3.8888888888888888</v>
      </c>
      <c r="AH15" s="95">
        <f t="shared" si="40"/>
        <v>140</v>
      </c>
      <c r="AI15" s="96">
        <f t="shared" si="7"/>
        <v>40968.162625439392</v>
      </c>
      <c r="AJ15" s="96">
        <f t="shared" si="22"/>
        <v>88.906602919790345</v>
      </c>
      <c r="AK15" s="96">
        <f t="shared" si="8"/>
        <v>76.885419167328067</v>
      </c>
      <c r="AL15" s="96">
        <f t="shared" si="9"/>
        <v>88.849495652158367</v>
      </c>
      <c r="AM15" s="97">
        <f t="shared" si="33"/>
        <v>76.885419167328067</v>
      </c>
      <c r="AN15" s="174">
        <f t="shared" si="10"/>
        <v>35428.801152304775</v>
      </c>
      <c r="AO15" s="127">
        <f t="shared" si="27"/>
        <v>2.5474093347173737E-2</v>
      </c>
      <c r="AP15" s="127">
        <f>AI15*AO15/5252</f>
        <v>0.19871035776516324</v>
      </c>
      <c r="AQ15" s="146">
        <f t="shared" si="28"/>
        <v>9.8138819829005542E-7</v>
      </c>
      <c r="AR15" s="95">
        <f>$X$40/AQ15</f>
        <v>3.8136608500089784E-2</v>
      </c>
      <c r="AS15" s="127"/>
      <c r="AT15" s="153">
        <f t="shared" si="35"/>
        <v>-1.25789855570507E-6</v>
      </c>
      <c r="AU15" s="151">
        <f t="shared" si="37"/>
        <v>2.9753446599529693E-2</v>
      </c>
      <c r="AW15" s="127">
        <f t="shared" si="29"/>
        <v>1.0526315789473683E-4</v>
      </c>
      <c r="AX15" s="96">
        <f t="shared" si="36"/>
        <v>74.092324571601836</v>
      </c>
    </row>
    <row r="16" spans="2:50" ht="13.95" customHeight="1" x14ac:dyDescent="0.3">
      <c r="C16" s="113">
        <f>D16/180+1</f>
        <v>1.8055555555555556</v>
      </c>
      <c r="D16" s="73">
        <v>145</v>
      </c>
      <c r="E16" s="73">
        <v>1.248</v>
      </c>
      <c r="F16" s="73">
        <v>12.87</v>
      </c>
      <c r="G16" s="73">
        <v>12.77</v>
      </c>
      <c r="H16" s="73">
        <v>1410</v>
      </c>
      <c r="I16" s="73">
        <v>1640</v>
      </c>
      <c r="J16" s="2">
        <f t="shared" si="11"/>
        <v>164.34989999999999</v>
      </c>
      <c r="K16" s="1">
        <f t="shared" si="1"/>
        <v>145</v>
      </c>
      <c r="L16" s="1">
        <f>LN(K16)</f>
        <v>4.9767337424205742</v>
      </c>
      <c r="M16" s="3">
        <f t="shared" si="12"/>
        <v>709.21985815602841</v>
      </c>
      <c r="N16" s="3">
        <f t="shared" si="13"/>
        <v>609.7560975609756</v>
      </c>
      <c r="O16" s="3">
        <f t="shared" si="14"/>
        <v>42553.191489361707</v>
      </c>
      <c r="P16" s="3">
        <f t="shared" si="23"/>
        <v>36585.365853658535</v>
      </c>
      <c r="Q16" s="2">
        <f t="shared" si="2"/>
        <v>92.346335697399539</v>
      </c>
      <c r="R16" s="2">
        <f t="shared" si="3"/>
        <v>79.395325203252028</v>
      </c>
      <c r="S16" s="3">
        <f>K16</f>
        <v>145</v>
      </c>
      <c r="T16" s="158">
        <f>J16</f>
        <v>164.34989999999999</v>
      </c>
      <c r="U16" s="96">
        <f t="shared" si="15"/>
        <v>159.89985999999999</v>
      </c>
      <c r="V16">
        <f t="shared" si="16"/>
        <v>0.21442923005691999</v>
      </c>
      <c r="W16" s="150">
        <f t="shared" si="24"/>
        <v>2.6465284432085175E-2</v>
      </c>
      <c r="X16" s="150">
        <f t="shared" si="25"/>
        <v>2.5808698766385592E-2</v>
      </c>
      <c r="Y16" s="95">
        <f t="shared" si="17"/>
        <v>3.4847180469244972</v>
      </c>
      <c r="Z16" s="147">
        <f t="shared" si="41"/>
        <v>63.80374842945902</v>
      </c>
      <c r="AA16" s="97">
        <f>Z16/U16*100</f>
        <v>39.902316630833212</v>
      </c>
      <c r="AB16">
        <f t="shared" si="19"/>
        <v>36.619174102633757</v>
      </c>
      <c r="AC16" s="175">
        <f>AB16*1/1.6/1000*3600</f>
        <v>82.393141730925933</v>
      </c>
      <c r="AD16" s="175">
        <f t="shared" si="21"/>
        <v>105.35829021185282</v>
      </c>
      <c r="AE16" s="158">
        <f>AD16/AB16</f>
        <v>2.8771345283911018</v>
      </c>
      <c r="AF16" s="151"/>
      <c r="AG16" s="95">
        <f t="shared" si="39"/>
        <v>4.0277777777777777</v>
      </c>
      <c r="AH16" s="95">
        <f t="shared" si="40"/>
        <v>145</v>
      </c>
      <c r="AI16" s="96">
        <f t="shared" si="7"/>
        <v>41514.495099187916</v>
      </c>
      <c r="AJ16" s="96">
        <f t="shared" si="22"/>
        <v>90.092220267334881</v>
      </c>
      <c r="AK16" s="96">
        <f t="shared" si="8"/>
        <v>78.044698823925387</v>
      </c>
      <c r="AL16" s="96">
        <f t="shared" si="9"/>
        <v>90.031254228702039</v>
      </c>
      <c r="AM16" s="97">
        <f t="shared" si="33"/>
        <v>78.044698823925387</v>
      </c>
      <c r="AN16" s="174">
        <f t="shared" si="10"/>
        <v>35962.997218064818</v>
      </c>
      <c r="AO16" s="127">
        <f t="shared" si="27"/>
        <v>2.601212492442927E-2</v>
      </c>
      <c r="AP16" s="127">
        <f>AI16*AO16/5252</f>
        <v>0.20561314407743386</v>
      </c>
      <c r="AQ16" s="146">
        <f t="shared" si="28"/>
        <v>9.8822409132533155E-7</v>
      </c>
      <c r="AR16" s="95">
        <f>$X$40/AQ16</f>
        <v>3.7872804188169816E-2</v>
      </c>
      <c r="AS16" s="127"/>
      <c r="AT16" s="153">
        <f t="shared" si="35"/>
        <v>-1.3367405465862734E-6</v>
      </c>
      <c r="AU16" s="151">
        <f t="shared" si="37"/>
        <v>2.7998565316490004E-2</v>
      </c>
      <c r="AW16" s="127">
        <f t="shared" si="29"/>
        <v>1.0526315789473683E-4</v>
      </c>
      <c r="AX16" s="96">
        <f t="shared" si="36"/>
        <v>73.579801946468137</v>
      </c>
    </row>
    <row r="17" spans="1:50" ht="13.95" customHeight="1" x14ac:dyDescent="0.3">
      <c r="C17" s="113">
        <f t="shared" si="30"/>
        <v>1.8611111111111112</v>
      </c>
      <c r="D17" s="73">
        <v>155</v>
      </c>
      <c r="E17" s="73">
        <v>1.298</v>
      </c>
      <c r="F17" s="73">
        <v>12.77</v>
      </c>
      <c r="G17" s="73">
        <v>14.39</v>
      </c>
      <c r="H17" s="73">
        <v>1350</v>
      </c>
      <c r="I17" s="73">
        <v>1580</v>
      </c>
      <c r="J17" s="2">
        <f t="shared" si="11"/>
        <v>183.7603</v>
      </c>
      <c r="K17" s="1">
        <f t="shared" si="1"/>
        <v>155</v>
      </c>
      <c r="L17" s="1">
        <f t="shared" si="31"/>
        <v>5.0434251169192468</v>
      </c>
      <c r="M17" s="3">
        <f t="shared" si="12"/>
        <v>740.74074074074076</v>
      </c>
      <c r="N17" s="3">
        <f t="shared" si="13"/>
        <v>632.91139240506334</v>
      </c>
      <c r="O17" s="3">
        <f t="shared" si="14"/>
        <v>44444.444444444445</v>
      </c>
      <c r="P17" s="3">
        <f t="shared" si="23"/>
        <v>37974.6835443038</v>
      </c>
      <c r="Q17" s="2">
        <f t="shared" si="2"/>
        <v>96.450617283950621</v>
      </c>
      <c r="R17" s="2">
        <f t="shared" si="3"/>
        <v>82.410337552742618</v>
      </c>
      <c r="S17" s="3">
        <f t="shared" si="4"/>
        <v>155</v>
      </c>
      <c r="T17" s="158">
        <f t="shared" si="0"/>
        <v>183.7603</v>
      </c>
      <c r="U17" s="96">
        <f t="shared" si="15"/>
        <v>179.31026</v>
      </c>
      <c r="V17">
        <f t="shared" si="16"/>
        <v>0.24045900348572002</v>
      </c>
      <c r="W17" s="150">
        <f t="shared" si="24"/>
        <v>2.8415040441907537E-2</v>
      </c>
      <c r="X17" s="150">
        <f t="shared" si="25"/>
        <v>2.7758454776207954E-2</v>
      </c>
      <c r="Y17" s="95">
        <f t="shared" si="17"/>
        <v>3.97030322947426</v>
      </c>
      <c r="Z17" s="147">
        <f t="shared" si="41"/>
        <v>77.594375598879097</v>
      </c>
      <c r="AA17" s="97">
        <f t="shared" si="32"/>
        <v>43.273806863521976</v>
      </c>
      <c r="AB17">
        <f t="shared" si="19"/>
        <v>39.087380038302008</v>
      </c>
      <c r="AC17" s="175">
        <f t="shared" si="20"/>
        <v>87.946605086179517</v>
      </c>
      <c r="AD17" s="175">
        <f t="shared" si="21"/>
        <v>109.35923794141685</v>
      </c>
      <c r="AE17" s="158">
        <f t="shared" si="26"/>
        <v>2.7978144821744242</v>
      </c>
      <c r="AF17" s="151"/>
      <c r="AG17" s="95">
        <f t="shared" si="39"/>
        <v>4.3055555555555554</v>
      </c>
      <c r="AH17" s="95">
        <f t="shared" si="40"/>
        <v>155</v>
      </c>
      <c r="AI17" s="96">
        <f t="shared" si="7"/>
        <v>42552.804966229378</v>
      </c>
      <c r="AJ17" s="96">
        <f t="shared" si="22"/>
        <v>92.34549688851861</v>
      </c>
      <c r="AK17" s="96">
        <f t="shared" si="8"/>
        <v>80.247920422390152</v>
      </c>
      <c r="AL17" s="96">
        <f t="shared" si="9"/>
        <v>92.27719722027858</v>
      </c>
      <c r="AM17" s="97">
        <f t="shared" si="33"/>
        <v>80.247920422390152</v>
      </c>
      <c r="AN17" s="174">
        <f t="shared" si="10"/>
        <v>36978.241730637383</v>
      </c>
      <c r="AO17" s="127">
        <f t="shared" si="27"/>
        <v>2.7044952442657005E-2</v>
      </c>
      <c r="AP17" s="127">
        <f t="shared" si="34"/>
        <v>0.21912387406956063</v>
      </c>
      <c r="AQ17" s="146">
        <f t="shared" si="28"/>
        <v>1.0012157686090697E-6</v>
      </c>
      <c r="AR17" s="95">
        <f t="shared" si="38"/>
        <v>3.7381370408090163E-2</v>
      </c>
      <c r="AS17" s="127"/>
      <c r="AT17" s="153">
        <f t="shared" si="35"/>
        <v>-1.4410870719200214E-6</v>
      </c>
      <c r="AU17" s="151">
        <f t="shared" si="37"/>
        <v>2.5971239513606203E-2</v>
      </c>
      <c r="AW17" s="127">
        <f t="shared" si="29"/>
        <v>1.0526315789473683E-4</v>
      </c>
      <c r="AX17" s="96">
        <f t="shared" si="36"/>
        <v>72.625037677405643</v>
      </c>
    </row>
    <row r="18" spans="1:50" ht="13.95" customHeight="1" x14ac:dyDescent="0.3">
      <c r="C18" s="113">
        <f>D18/180+1</f>
        <v>1.9222222222222223</v>
      </c>
      <c r="D18" s="73">
        <v>166</v>
      </c>
      <c r="E18" s="73">
        <v>1.3580000000000001</v>
      </c>
      <c r="F18" s="73">
        <v>12.58</v>
      </c>
      <c r="G18" s="73">
        <v>16.38</v>
      </c>
      <c r="H18" s="73">
        <v>1320</v>
      </c>
      <c r="I18" s="73">
        <v>1520</v>
      </c>
      <c r="J18" s="2">
        <f t="shared" si="11"/>
        <v>206.06039999999999</v>
      </c>
      <c r="K18" s="1">
        <f t="shared" si="1"/>
        <v>166</v>
      </c>
      <c r="L18" s="1">
        <f>LN(K18)</f>
        <v>5.1119877883565437</v>
      </c>
      <c r="M18" s="3">
        <f t="shared" si="12"/>
        <v>757.57575757575762</v>
      </c>
      <c r="N18" s="3">
        <f t="shared" si="13"/>
        <v>657.89473684210532</v>
      </c>
      <c r="O18" s="3">
        <f t="shared" si="14"/>
        <v>45454.545454545456</v>
      </c>
      <c r="P18" s="3">
        <f t="shared" si="23"/>
        <v>39473.68421052632</v>
      </c>
      <c r="Q18" s="2">
        <f t="shared" si="2"/>
        <v>98.642676767676775</v>
      </c>
      <c r="R18" s="2">
        <f t="shared" si="3"/>
        <v>85.663377192982466</v>
      </c>
      <c r="S18" s="3">
        <f>K18</f>
        <v>166</v>
      </c>
      <c r="T18" s="158">
        <f>J18</f>
        <v>206.06039999999999</v>
      </c>
      <c r="U18" s="96">
        <f t="shared" si="15"/>
        <v>201.61035999999999</v>
      </c>
      <c r="V18">
        <f t="shared" si="16"/>
        <v>0.27036392818791999</v>
      </c>
      <c r="W18" s="150">
        <f t="shared" si="24"/>
        <v>3.1238929718545028E-2</v>
      </c>
      <c r="X18" s="150">
        <f t="shared" si="25"/>
        <v>3.0582344052845444E-2</v>
      </c>
      <c r="Y18" s="134">
        <f>$Z$45</f>
        <v>4.4249528005034611</v>
      </c>
      <c r="Z18" s="147">
        <f t="shared" si="41"/>
        <v>91.297248929319878</v>
      </c>
      <c r="AA18" s="97">
        <f>Z18/U18*100</f>
        <v>45.284006699516773</v>
      </c>
      <c r="AB18">
        <f t="shared" si="19"/>
        <v>41.264733453849395</v>
      </c>
      <c r="AC18" s="175">
        <f>AB18*1/1.6/1000*3600</f>
        <v>92.845650271161119</v>
      </c>
      <c r="AD18" s="175">
        <f t="shared" si="21"/>
        <v>113.67604996542015</v>
      </c>
      <c r="AE18" s="165">
        <f>AD18/AB18</f>
        <v>2.7547990850966189</v>
      </c>
      <c r="AF18" s="151"/>
      <c r="AG18" s="95">
        <f t="shared" si="39"/>
        <v>4.6111111111111116</v>
      </c>
      <c r="AH18" s="95">
        <f t="shared" si="40"/>
        <v>166</v>
      </c>
      <c r="AI18" s="96">
        <f t="shared" si="7"/>
        <v>43620.248826836629</v>
      </c>
      <c r="AJ18" s="96">
        <f t="shared" si="22"/>
        <v>94.661998322128099</v>
      </c>
      <c r="AK18" s="96">
        <f t="shared" si="8"/>
        <v>82.512962336650034</v>
      </c>
      <c r="AL18" s="96">
        <f t="shared" si="9"/>
        <v>94.586159249565085</v>
      </c>
      <c r="AM18" s="97">
        <f t="shared" si="33"/>
        <v>82.512962336650034</v>
      </c>
      <c r="AN18" s="174">
        <f t="shared" si="10"/>
        <v>38021.973044728336</v>
      </c>
      <c r="AO18" s="127">
        <f t="shared" si="27"/>
        <v>2.8120822570969206E-2</v>
      </c>
      <c r="AP18" s="127">
        <f>AI18*AO18/5252</f>
        <v>0.23355622196515621</v>
      </c>
      <c r="AQ18" s="146">
        <f t="shared" si="28"/>
        <v>1.014571980078996E-6</v>
      </c>
      <c r="AR18" s="95">
        <f>$X$40/AQ18</f>
        <v>3.6889267828865355E-2</v>
      </c>
      <c r="AS18" s="127"/>
      <c r="AT18" s="153">
        <f t="shared" si="35"/>
        <v>-1.5331374393762624E-6</v>
      </c>
      <c r="AU18" s="151">
        <f t="shared" si="37"/>
        <v>2.4411912815867933E-2</v>
      </c>
      <c r="AW18" s="127">
        <f t="shared" si="29"/>
        <v>1.0526315789473683E-4</v>
      </c>
      <c r="AX18" s="96">
        <f t="shared" si="36"/>
        <v>71.668974056217053</v>
      </c>
    </row>
    <row r="19" spans="1:50" ht="13.95" customHeight="1" x14ac:dyDescent="0.3">
      <c r="A19">
        <f>E19*5/3.3</f>
        <v>2.1015151515151516</v>
      </c>
      <c r="C19" s="113">
        <f t="shared" si="30"/>
        <v>2</v>
      </c>
      <c r="D19" s="73">
        <v>180</v>
      </c>
      <c r="E19" s="73">
        <v>1.387</v>
      </c>
      <c r="F19" s="73">
        <v>12.5</v>
      </c>
      <c r="G19" s="73">
        <v>17.559999999999999</v>
      </c>
      <c r="H19" s="73">
        <v>1280</v>
      </c>
      <c r="I19" s="73">
        <v>1480</v>
      </c>
      <c r="J19" s="2">
        <f t="shared" si="11"/>
        <v>219.49999999999997</v>
      </c>
      <c r="K19" s="1">
        <f t="shared" si="1"/>
        <v>180</v>
      </c>
      <c r="L19" s="1">
        <f t="shared" si="31"/>
        <v>5.1929568508902104</v>
      </c>
      <c r="M19" s="3">
        <f t="shared" si="12"/>
        <v>781.25000000000011</v>
      </c>
      <c r="N19" s="3">
        <f t="shared" si="13"/>
        <v>675.67567567567573</v>
      </c>
      <c r="O19" s="3">
        <f t="shared" si="14"/>
        <v>46875.000000000007</v>
      </c>
      <c r="P19" s="3">
        <f t="shared" si="23"/>
        <v>40540.540540540547</v>
      </c>
      <c r="Q19" s="2">
        <f t="shared" si="2"/>
        <v>101.72526041666667</v>
      </c>
      <c r="R19" s="2">
        <f t="shared" si="3"/>
        <v>87.978603603603617</v>
      </c>
      <c r="S19" s="3">
        <f t="shared" si="4"/>
        <v>180</v>
      </c>
      <c r="T19" s="158">
        <f t="shared" si="0"/>
        <v>219.49999999999997</v>
      </c>
      <c r="U19" s="96">
        <f t="shared" si="15"/>
        <v>215.04995999999997</v>
      </c>
      <c r="V19">
        <f t="shared" si="16"/>
        <v>0.28838672745911997</v>
      </c>
      <c r="W19" s="150">
        <f t="shared" si="24"/>
        <v>3.2311617975793024E-2</v>
      </c>
      <c r="X19" s="150">
        <f t="shared" si="25"/>
        <v>3.1655032310093437E-2</v>
      </c>
      <c r="Y19" s="134">
        <f>$Z$45</f>
        <v>4.4249528005034611</v>
      </c>
      <c r="Z19" s="147">
        <f t="shared" si="41"/>
        <v>91.297248929319878</v>
      </c>
      <c r="AA19" s="97">
        <f t="shared" si="32"/>
        <v>42.453971593075345</v>
      </c>
      <c r="AB19">
        <f t="shared" si="19"/>
        <v>41.264733453849395</v>
      </c>
      <c r="AC19" s="175">
        <f>AB19*1/1.6/1000*3600</f>
        <v>92.845650271161119</v>
      </c>
      <c r="AD19" s="175">
        <f t="shared" si="21"/>
        <v>116.74837564016123</v>
      </c>
      <c r="AE19" s="165">
        <f t="shared" si="26"/>
        <v>2.8292531144235542</v>
      </c>
      <c r="AF19" s="151"/>
      <c r="AG19" s="95">
        <f t="shared" si="39"/>
        <v>5</v>
      </c>
      <c r="AH19" s="95">
        <f t="shared" si="40"/>
        <v>180</v>
      </c>
      <c r="AI19" s="96">
        <f t="shared" si="7"/>
        <v>44880.846275693781</v>
      </c>
      <c r="AJ19" s="96">
        <f t="shared" si="22"/>
        <v>97.397669869127128</v>
      </c>
      <c r="AK19" s="96">
        <f t="shared" si="8"/>
        <v>85.187862782511587</v>
      </c>
      <c r="AL19" s="96">
        <f t="shared" si="9"/>
        <v>97.312927139701031</v>
      </c>
      <c r="AM19" s="97">
        <f t="shared" si="33"/>
        <v>85.187862782511587</v>
      </c>
      <c r="AN19" s="174">
        <f t="shared" si="10"/>
        <v>39254.567170181341</v>
      </c>
      <c r="AO19" s="127">
        <f t="shared" si="27"/>
        <v>2.9409731130840132E-2</v>
      </c>
      <c r="AP19" s="127">
        <f t="shared" si="34"/>
        <v>0.25132018695596375</v>
      </c>
      <c r="AQ19" s="146">
        <f t="shared" si="28"/>
        <v>1.0303449932806531E-6</v>
      </c>
      <c r="AR19" s="95">
        <f t="shared" si="38"/>
        <v>3.6324549300354322E-2</v>
      </c>
      <c r="AS19" s="127"/>
      <c r="AT19" s="153">
        <f t="shared" si="35"/>
        <v>-1.5331374393762624E-6</v>
      </c>
      <c r="AU19" s="151">
        <f t="shared" si="37"/>
        <v>2.4411912815867933E-2</v>
      </c>
      <c r="AW19" s="127">
        <f t="shared" si="29"/>
        <v>1.0526315789473683E-4</v>
      </c>
      <c r="AX19" s="96">
        <f t="shared" si="36"/>
        <v>70.571831175618797</v>
      </c>
    </row>
    <row r="20" spans="1:50" ht="13.95" customHeight="1" thickBot="1" x14ac:dyDescent="0.35">
      <c r="C20" s="116">
        <f t="shared" si="30"/>
        <v>2</v>
      </c>
      <c r="D20" s="117">
        <v>180</v>
      </c>
      <c r="E20" s="117"/>
      <c r="F20" s="117"/>
      <c r="G20" s="117"/>
      <c r="H20" s="117"/>
      <c r="I20" s="117"/>
      <c r="O20" s="3"/>
      <c r="P20" s="3"/>
      <c r="Q20" s="3"/>
      <c r="R20" s="3"/>
      <c r="T20" s="4"/>
      <c r="AC20" s="4"/>
      <c r="AD20" s="97"/>
      <c r="AG20" s="95"/>
      <c r="AH20" s="95"/>
      <c r="AI20" s="96"/>
      <c r="AJ20" s="96"/>
      <c r="AK20" s="96"/>
      <c r="AL20" s="96"/>
      <c r="AO20" s="127"/>
      <c r="AP20" s="127"/>
      <c r="AQ20" s="146"/>
      <c r="AR20" s="95"/>
      <c r="AS20" s="127"/>
      <c r="AU20" s="146"/>
      <c r="AV20" s="95"/>
      <c r="AW20" s="128"/>
      <c r="AX20" s="96"/>
    </row>
    <row r="21" spans="1:50" ht="13.95" customHeight="1" x14ac:dyDescent="0.3"/>
    <row r="22" spans="1:50" ht="13.95" customHeight="1" x14ac:dyDescent="0.3">
      <c r="C22" s="120">
        <f t="shared" si="30"/>
        <v>1.05</v>
      </c>
      <c r="D22" s="73">
        <v>9</v>
      </c>
      <c r="E22" s="119"/>
      <c r="F22" s="73">
        <v>13.8</v>
      </c>
      <c r="G22" s="73">
        <v>0.42399999999999999</v>
      </c>
      <c r="H22" s="73">
        <v>6160</v>
      </c>
      <c r="I22" s="119"/>
      <c r="J22" s="2">
        <f t="shared" ref="J22:J30" si="42">F22*G22</f>
        <v>5.8512000000000004</v>
      </c>
      <c r="K22" s="1">
        <f t="shared" ref="K22:K30" si="43">D22</f>
        <v>9</v>
      </c>
      <c r="L22" s="1">
        <f t="shared" ref="L22:L30" si="44">LN(K22)</f>
        <v>2.1972245773362196</v>
      </c>
      <c r="M22" s="3">
        <f t="shared" ref="M22:M30" si="45">1/H22/0.000001</f>
        <v>162.33766233766235</v>
      </c>
      <c r="N22" s="3"/>
      <c r="O22" s="3">
        <f t="shared" ref="O22:O30" si="46">M22*60/$X$33</f>
        <v>9740.2597402597403</v>
      </c>
      <c r="P22" s="3"/>
      <c r="Q22" s="3">
        <f t="shared" ref="Q22:Q30" si="47">O22/$X$44*100</f>
        <v>21.137716450216452</v>
      </c>
      <c r="R22">
        <v>16</v>
      </c>
      <c r="S22" s="3">
        <f t="shared" ref="S22:S30" si="48">K22</f>
        <v>9</v>
      </c>
      <c r="T22" s="4">
        <f t="shared" ref="T22:T30" si="49">J22</f>
        <v>5.8512000000000004</v>
      </c>
      <c r="U22" s="4"/>
      <c r="V22">
        <f t="shared" ref="V22:V30" si="50">T22*0.001341022</f>
        <v>7.8465879264000005E-3</v>
      </c>
      <c r="W22" s="150">
        <f t="shared" ref="W22:W30" si="51">$V22/$O22*5252</f>
        <v>4.230922058383821E-3</v>
      </c>
      <c r="X22" s="150">
        <f t="shared" ref="X22:X30" si="52">W22-$W$4</f>
        <v>3.5743363926842367E-3</v>
      </c>
      <c r="AN22" s="157" t="s">
        <v>219</v>
      </c>
      <c r="AO22" s="157"/>
      <c r="AP22" s="157"/>
      <c r="AQ22" s="157"/>
      <c r="AR22" s="157"/>
    </row>
    <row r="23" spans="1:50" ht="13.95" customHeight="1" x14ac:dyDescent="0.3">
      <c r="C23" s="120">
        <f t="shared" si="30"/>
        <v>1.0722222222222222</v>
      </c>
      <c r="D23" s="73">
        <v>13</v>
      </c>
      <c r="E23" s="119"/>
      <c r="F23" s="73">
        <v>13.8</v>
      </c>
      <c r="G23" s="73">
        <v>0.56499999999999995</v>
      </c>
      <c r="H23" s="73">
        <v>5080</v>
      </c>
      <c r="I23" s="119"/>
      <c r="J23" s="2">
        <f t="shared" si="42"/>
        <v>7.7969999999999997</v>
      </c>
      <c r="K23" s="1">
        <f t="shared" si="43"/>
        <v>13</v>
      </c>
      <c r="L23" s="1">
        <f t="shared" si="44"/>
        <v>2.5649493574615367</v>
      </c>
      <c r="M23" s="3">
        <f t="shared" si="45"/>
        <v>196.85039370078741</v>
      </c>
      <c r="N23" s="3"/>
      <c r="O23" s="3">
        <f t="shared" si="46"/>
        <v>11811.023622047245</v>
      </c>
      <c r="P23" s="3"/>
      <c r="Q23" s="3">
        <f t="shared" si="47"/>
        <v>25.631561679790028</v>
      </c>
      <c r="R23">
        <v>20</v>
      </c>
      <c r="S23" s="3">
        <f t="shared" si="48"/>
        <v>13</v>
      </c>
      <c r="T23" s="4">
        <f t="shared" si="49"/>
        <v>7.7969999999999997</v>
      </c>
      <c r="U23" s="4"/>
      <c r="V23">
        <f t="shared" si="50"/>
        <v>1.0455948534E-2</v>
      </c>
      <c r="W23" s="150">
        <f t="shared" si="51"/>
        <v>4.6494396639814237E-3</v>
      </c>
      <c r="X23" s="150">
        <f t="shared" si="52"/>
        <v>3.9928539982818393E-3</v>
      </c>
      <c r="AM23" s="5" t="s">
        <v>132</v>
      </c>
      <c r="AN23" s="157" t="s">
        <v>100</v>
      </c>
      <c r="AO23" s="157" t="s">
        <v>139</v>
      </c>
      <c r="AP23" s="157" t="s">
        <v>140</v>
      </c>
      <c r="AQ23" s="157" t="s">
        <v>131</v>
      </c>
      <c r="AR23" s="157" t="s">
        <v>164</v>
      </c>
      <c r="AS23" s="157" t="s">
        <v>173</v>
      </c>
    </row>
    <row r="24" spans="1:50" ht="13.95" customHeight="1" x14ac:dyDescent="0.3">
      <c r="C24" s="120">
        <f t="shared" si="30"/>
        <v>1.1444444444444444</v>
      </c>
      <c r="D24" s="73">
        <v>26</v>
      </c>
      <c r="E24" s="119"/>
      <c r="F24" s="73">
        <v>13.75</v>
      </c>
      <c r="G24" s="73">
        <v>1.32</v>
      </c>
      <c r="H24" s="73">
        <v>3180</v>
      </c>
      <c r="I24" s="119"/>
      <c r="J24" s="2">
        <f t="shared" si="42"/>
        <v>18.150000000000002</v>
      </c>
      <c r="K24" s="1">
        <f t="shared" si="43"/>
        <v>26</v>
      </c>
      <c r="L24" s="1">
        <f t="shared" si="44"/>
        <v>3.2580965380214821</v>
      </c>
      <c r="M24" s="3">
        <f t="shared" si="45"/>
        <v>314.46540880503147</v>
      </c>
      <c r="N24" s="3"/>
      <c r="O24" s="3">
        <f t="shared" si="46"/>
        <v>18867.92452830189</v>
      </c>
      <c r="P24" s="3"/>
      <c r="Q24" s="3">
        <f t="shared" si="47"/>
        <v>40.946016771488473</v>
      </c>
      <c r="R24">
        <v>25</v>
      </c>
      <c r="S24" s="3">
        <f t="shared" si="48"/>
        <v>26</v>
      </c>
      <c r="T24" s="4">
        <f t="shared" si="49"/>
        <v>18.150000000000002</v>
      </c>
      <c r="U24" s="4"/>
      <c r="V24">
        <f t="shared" si="50"/>
        <v>2.4339549300000006E-2</v>
      </c>
      <c r="W24" s="150">
        <f t="shared" si="51"/>
        <v>6.7750595849508004E-3</v>
      </c>
      <c r="X24" s="150">
        <f t="shared" si="52"/>
        <v>6.1184739192512161E-3</v>
      </c>
      <c r="AM24" s="5"/>
      <c r="AN24" s="157"/>
      <c r="AO24" s="157" t="s">
        <v>152</v>
      </c>
      <c r="AP24" s="157" t="s">
        <v>153</v>
      </c>
      <c r="AQ24" s="157"/>
      <c r="AR24" s="157"/>
      <c r="AS24" s="157"/>
    </row>
    <row r="25" spans="1:50" ht="13.95" customHeight="1" thickBot="1" x14ac:dyDescent="0.35">
      <c r="C25" s="120">
        <f t="shared" si="30"/>
        <v>1.2</v>
      </c>
      <c r="D25" s="73">
        <v>36</v>
      </c>
      <c r="E25" s="119"/>
      <c r="F25" s="73">
        <v>13.71</v>
      </c>
      <c r="G25" s="73">
        <v>2.08</v>
      </c>
      <c r="H25" s="73">
        <v>2650</v>
      </c>
      <c r="I25" s="119"/>
      <c r="J25" s="2">
        <f t="shared" si="42"/>
        <v>28.516800000000003</v>
      </c>
      <c r="K25" s="1">
        <f t="shared" si="43"/>
        <v>36</v>
      </c>
      <c r="L25" s="1">
        <f t="shared" si="44"/>
        <v>3.5835189384561099</v>
      </c>
      <c r="M25" s="3">
        <f t="shared" si="45"/>
        <v>377.35849056603774</v>
      </c>
      <c r="N25" s="3"/>
      <c r="O25" s="3">
        <f t="shared" si="46"/>
        <v>22641.509433962266</v>
      </c>
      <c r="P25" s="3"/>
      <c r="Q25" s="3">
        <f t="shared" si="47"/>
        <v>49.135220125786169</v>
      </c>
      <c r="R25">
        <v>36</v>
      </c>
      <c r="S25" s="3">
        <f t="shared" si="48"/>
        <v>36</v>
      </c>
      <c r="T25" s="4">
        <f t="shared" si="49"/>
        <v>28.516800000000003</v>
      </c>
      <c r="U25" s="4"/>
      <c r="V25">
        <f t="shared" si="50"/>
        <v>3.8241656169600007E-2</v>
      </c>
      <c r="W25" s="150">
        <f t="shared" si="51"/>
        <v>8.8706620372876483E-3</v>
      </c>
      <c r="X25" s="150">
        <f t="shared" si="52"/>
        <v>8.2140763715880631E-3</v>
      </c>
      <c r="AD25" s="5" t="s">
        <v>56</v>
      </c>
      <c r="AE25" s="5"/>
      <c r="AF25" s="5"/>
      <c r="AG25" s="5"/>
      <c r="AM25" s="5">
        <f t="shared" ref="AM25:AM33" si="53">AN25*$AE$30</f>
        <v>7372.8</v>
      </c>
      <c r="AN25" s="157">
        <v>16</v>
      </c>
      <c r="AO25" s="157">
        <v>3.3218574470251366E-4</v>
      </c>
      <c r="AP25" s="157">
        <v>7.3801227827272476E-4</v>
      </c>
      <c r="AQ25" s="172">
        <v>0.34399999999999997</v>
      </c>
      <c r="AR25" s="185">
        <f t="shared" ref="AR25:AR33" si="54">$AE$45/AQ25</f>
        <v>1.0879888809533816E-7</v>
      </c>
      <c r="AS25" s="157" t="s">
        <v>201</v>
      </c>
    </row>
    <row r="26" spans="1:50" ht="13.95" customHeight="1" x14ac:dyDescent="0.3">
      <c r="C26" s="120">
        <f t="shared" si="30"/>
        <v>1.3111111111111111</v>
      </c>
      <c r="D26" s="73">
        <v>56</v>
      </c>
      <c r="E26" s="119"/>
      <c r="F26" s="73">
        <v>13.6</v>
      </c>
      <c r="G26" s="73">
        <v>3.8</v>
      </c>
      <c r="H26" s="73">
        <v>2070</v>
      </c>
      <c r="I26" s="119"/>
      <c r="J26" s="2">
        <f t="shared" si="42"/>
        <v>51.68</v>
      </c>
      <c r="K26" s="1">
        <f t="shared" si="43"/>
        <v>56</v>
      </c>
      <c r="L26" s="1">
        <f t="shared" si="44"/>
        <v>4.0253516907351496</v>
      </c>
      <c r="M26" s="3">
        <f t="shared" si="45"/>
        <v>483.09178743961354</v>
      </c>
      <c r="N26" s="3"/>
      <c r="O26" s="3">
        <f t="shared" si="46"/>
        <v>28985.507246376812</v>
      </c>
      <c r="P26" s="3"/>
      <c r="Q26" s="3">
        <f t="shared" si="47"/>
        <v>62.902576489533011</v>
      </c>
      <c r="R26">
        <v>45</v>
      </c>
      <c r="S26" s="3">
        <f t="shared" si="48"/>
        <v>56</v>
      </c>
      <c r="T26" s="4">
        <f t="shared" si="49"/>
        <v>51.68</v>
      </c>
      <c r="U26" s="4"/>
      <c r="V26">
        <f t="shared" si="50"/>
        <v>6.9304016960000006E-2</v>
      </c>
      <c r="W26" s="150">
        <f t="shared" si="51"/>
        <v>1.255747204905024E-2</v>
      </c>
      <c r="X26" s="150">
        <f t="shared" si="52"/>
        <v>1.1900886383350654E-2</v>
      </c>
      <c r="AD26" s="62" t="s">
        <v>15</v>
      </c>
      <c r="AE26" s="63">
        <f>X51</f>
        <v>5</v>
      </c>
      <c r="AF26" s="64"/>
      <c r="AG26" s="29"/>
      <c r="AI26" s="17" t="s">
        <v>134</v>
      </c>
      <c r="AJ26" s="28"/>
      <c r="AK26" s="28"/>
      <c r="AL26" s="29"/>
      <c r="AM26" s="5">
        <f t="shared" si="53"/>
        <v>9216</v>
      </c>
      <c r="AN26" s="157">
        <v>20</v>
      </c>
      <c r="AO26" s="157">
        <v>7.4483427705766901E-4</v>
      </c>
      <c r="AP26" s="157">
        <v>6.978697406499287E-4</v>
      </c>
      <c r="AQ26" s="172">
        <v>0.27100000000000002</v>
      </c>
      <c r="AR26" s="185">
        <f t="shared" si="54"/>
        <v>1.3810633765607499E-7</v>
      </c>
      <c r="AS26" s="157" t="s">
        <v>201</v>
      </c>
    </row>
    <row r="27" spans="1:50" ht="13.95" customHeight="1" x14ac:dyDescent="0.3">
      <c r="C27" s="120">
        <f t="shared" si="30"/>
        <v>1.3555555555555556</v>
      </c>
      <c r="D27" s="73">
        <v>64</v>
      </c>
      <c r="E27" s="119"/>
      <c r="F27" s="73">
        <v>13.55</v>
      </c>
      <c r="G27" s="73">
        <v>4.38</v>
      </c>
      <c r="H27" s="73">
        <v>2000</v>
      </c>
      <c r="I27" s="119"/>
      <c r="J27" s="2">
        <f t="shared" si="42"/>
        <v>59.349000000000004</v>
      </c>
      <c r="K27" s="1">
        <f t="shared" si="43"/>
        <v>64</v>
      </c>
      <c r="L27" s="1">
        <f t="shared" si="44"/>
        <v>4.1588830833596715</v>
      </c>
      <c r="M27" s="3">
        <f t="shared" si="45"/>
        <v>500.00000000000006</v>
      </c>
      <c r="N27" s="3"/>
      <c r="O27" s="3">
        <f t="shared" si="46"/>
        <v>30000.000000000004</v>
      </c>
      <c r="P27" s="3"/>
      <c r="Q27" s="3">
        <f t="shared" si="47"/>
        <v>65.104166666666671</v>
      </c>
      <c r="R27">
        <v>50</v>
      </c>
      <c r="S27" s="3">
        <f t="shared" si="48"/>
        <v>64</v>
      </c>
      <c r="T27" s="4">
        <f t="shared" si="49"/>
        <v>59.349000000000004</v>
      </c>
      <c r="U27" s="4"/>
      <c r="V27">
        <f t="shared" si="50"/>
        <v>7.9588314678000011E-2</v>
      </c>
      <c r="W27" s="150">
        <f t="shared" si="51"/>
        <v>1.39332609562952E-2</v>
      </c>
      <c r="X27" s="150">
        <f t="shared" si="52"/>
        <v>1.3276675290595615E-2</v>
      </c>
      <c r="AD27" s="65" t="s">
        <v>14</v>
      </c>
      <c r="AE27" s="66">
        <f>X50</f>
        <v>0</v>
      </c>
      <c r="AF27" s="45"/>
      <c r="AG27" s="31"/>
      <c r="AI27" s="19" t="s">
        <v>128</v>
      </c>
      <c r="AJ27" s="30">
        <v>25</v>
      </c>
      <c r="AK27" s="30" t="s">
        <v>93</v>
      </c>
      <c r="AL27" s="31"/>
      <c r="AM27" s="5">
        <f t="shared" si="53"/>
        <v>11520</v>
      </c>
      <c r="AN27" s="157">
        <v>25</v>
      </c>
      <c r="AO27" s="157">
        <v>1.8196732395486779E-3</v>
      </c>
      <c r="AP27" s="157">
        <v>8.2156541787077825E-4</v>
      </c>
      <c r="AQ27" s="172">
        <v>0.185</v>
      </c>
      <c r="AR27" s="185">
        <f t="shared" si="54"/>
        <v>2.0230712164754772E-7</v>
      </c>
      <c r="AS27" s="157" t="s">
        <v>201</v>
      </c>
    </row>
    <row r="28" spans="1:50" ht="13.95" customHeight="1" x14ac:dyDescent="0.3">
      <c r="C28" s="120">
        <f t="shared" si="30"/>
        <v>1.4944444444444445</v>
      </c>
      <c r="D28" s="73">
        <v>89</v>
      </c>
      <c r="E28" s="119"/>
      <c r="F28" s="73">
        <v>13.42</v>
      </c>
      <c r="G28" s="73">
        <v>6.3</v>
      </c>
      <c r="H28" s="73">
        <v>1760</v>
      </c>
      <c r="I28" s="119"/>
      <c r="J28" s="2">
        <f t="shared" si="42"/>
        <v>84.545999999999992</v>
      </c>
      <c r="K28" s="1">
        <f t="shared" si="43"/>
        <v>89</v>
      </c>
      <c r="L28" s="1">
        <f t="shared" si="44"/>
        <v>4.4886363697321396</v>
      </c>
      <c r="M28" s="3">
        <f t="shared" si="45"/>
        <v>568.18181818181813</v>
      </c>
      <c r="N28" s="3"/>
      <c r="O28" s="3">
        <f t="shared" si="46"/>
        <v>34090.909090909088</v>
      </c>
      <c r="P28" s="3"/>
      <c r="Q28" s="3">
        <f t="shared" si="47"/>
        <v>73.982007575757564</v>
      </c>
      <c r="R28">
        <v>52</v>
      </c>
      <c r="S28" s="3">
        <f t="shared" si="48"/>
        <v>89</v>
      </c>
      <c r="T28" s="4">
        <f t="shared" si="49"/>
        <v>84.545999999999992</v>
      </c>
      <c r="U28" s="4"/>
      <c r="V28">
        <f t="shared" si="50"/>
        <v>0.11337804601199999</v>
      </c>
      <c r="W28" s="150">
        <f t="shared" si="51"/>
        <v>1.7466870597880702E-2</v>
      </c>
      <c r="X28" s="150">
        <f t="shared" si="52"/>
        <v>1.6810284932181119E-2</v>
      </c>
      <c r="AB28" s="147"/>
      <c r="AD28" s="65" t="s">
        <v>17</v>
      </c>
      <c r="AE28" s="66">
        <f>AA35</f>
        <v>5</v>
      </c>
      <c r="AF28" s="30"/>
      <c r="AG28" s="31"/>
      <c r="AI28" s="19" t="s">
        <v>144</v>
      </c>
      <c r="AJ28" s="30">
        <v>2.1797</v>
      </c>
      <c r="AK28" s="30" t="s">
        <v>94</v>
      </c>
      <c r="AL28" s="31"/>
      <c r="AM28" s="5">
        <f t="shared" si="53"/>
        <v>16588.8</v>
      </c>
      <c r="AN28" s="157">
        <v>36</v>
      </c>
      <c r="AO28" s="157">
        <v>7.5397784789642732E-3</v>
      </c>
      <c r="AP28" s="157">
        <v>2.7131440751281396E-3</v>
      </c>
      <c r="AQ28" s="172">
        <v>0.121</v>
      </c>
      <c r="AR28" s="185">
        <f t="shared" si="54"/>
        <v>3.0931254136195313E-7</v>
      </c>
      <c r="AS28" s="157" t="s">
        <v>201</v>
      </c>
    </row>
    <row r="29" spans="1:50" ht="13.95" customHeight="1" x14ac:dyDescent="0.3">
      <c r="C29" s="120">
        <f t="shared" si="30"/>
        <v>1.7944444444444443</v>
      </c>
      <c r="D29" s="73">
        <v>143</v>
      </c>
      <c r="E29" s="119"/>
      <c r="F29" s="73">
        <v>13.1</v>
      </c>
      <c r="G29" s="73">
        <v>11.7</v>
      </c>
      <c r="H29" s="73">
        <v>1430</v>
      </c>
      <c r="I29" s="119"/>
      <c r="J29" s="2">
        <f t="shared" si="42"/>
        <v>153.26999999999998</v>
      </c>
      <c r="K29" s="1">
        <f t="shared" si="43"/>
        <v>143</v>
      </c>
      <c r="L29" s="1">
        <f t="shared" si="44"/>
        <v>4.962844630259907</v>
      </c>
      <c r="M29" s="3">
        <f t="shared" si="45"/>
        <v>699.30069930069931</v>
      </c>
      <c r="N29" s="3"/>
      <c r="O29" s="3">
        <f t="shared" si="46"/>
        <v>41958.041958041955</v>
      </c>
      <c r="P29" s="3"/>
      <c r="Q29" s="3">
        <f t="shared" si="47"/>
        <v>91.054778554778551</v>
      </c>
      <c r="R29">
        <v>55</v>
      </c>
      <c r="S29" s="3">
        <f t="shared" si="48"/>
        <v>143</v>
      </c>
      <c r="T29" s="4">
        <f t="shared" si="49"/>
        <v>153.26999999999998</v>
      </c>
      <c r="U29" s="4"/>
      <c r="V29">
        <f t="shared" si="50"/>
        <v>0.20553844193999998</v>
      </c>
      <c r="W29" s="150">
        <f t="shared" si="51"/>
        <v>2.5727794880141638E-2</v>
      </c>
      <c r="X29" s="150">
        <f t="shared" si="52"/>
        <v>2.5071209214442055E-2</v>
      </c>
      <c r="AC29" s="97"/>
      <c r="AD29" s="65" t="s">
        <v>16</v>
      </c>
      <c r="AE29" s="66">
        <f>AA34</f>
        <v>0</v>
      </c>
      <c r="AF29" s="30"/>
      <c r="AG29" s="31"/>
      <c r="AI29" s="19" t="s">
        <v>129</v>
      </c>
      <c r="AJ29" s="30">
        <f>($AJ$27/25.4)^2*$AJ$28/1000*2.2/3</f>
        <v>1.5484983053299442E-3</v>
      </c>
      <c r="AK29" s="30" t="s">
        <v>96</v>
      </c>
      <c r="AL29" s="177" t="s">
        <v>146</v>
      </c>
      <c r="AM29" s="5">
        <f t="shared" si="53"/>
        <v>20736</v>
      </c>
      <c r="AN29" s="157">
        <v>45</v>
      </c>
      <c r="AO29" s="157">
        <v>1.7146093021340732E-2</v>
      </c>
      <c r="AP29" s="157">
        <v>7.1180011608729891E-3</v>
      </c>
      <c r="AQ29" s="172">
        <v>9.6000000000000002E-2</v>
      </c>
      <c r="AR29" s="185">
        <f t="shared" si="54"/>
        <v>3.8986268234162836E-7</v>
      </c>
      <c r="AS29" s="157" t="s">
        <v>201</v>
      </c>
    </row>
    <row r="30" spans="1:50" ht="13.95" customHeight="1" x14ac:dyDescent="0.3">
      <c r="C30" s="120">
        <f t="shared" si="30"/>
        <v>1.9166666666666665</v>
      </c>
      <c r="D30" s="73">
        <v>165</v>
      </c>
      <c r="E30" s="119"/>
      <c r="F30" s="73">
        <v>12.72</v>
      </c>
      <c r="G30" s="73">
        <v>16.86</v>
      </c>
      <c r="H30" s="73">
        <v>1280</v>
      </c>
      <c r="I30" s="119"/>
      <c r="J30" s="2">
        <f t="shared" si="42"/>
        <v>214.45920000000001</v>
      </c>
      <c r="K30" s="1">
        <f t="shared" si="43"/>
        <v>165</v>
      </c>
      <c r="L30" s="1">
        <f t="shared" si="44"/>
        <v>5.1059454739005803</v>
      </c>
      <c r="M30" s="3">
        <f t="shared" si="45"/>
        <v>781.25000000000011</v>
      </c>
      <c r="N30" s="3"/>
      <c r="O30" s="3">
        <f t="shared" si="46"/>
        <v>46875.000000000007</v>
      </c>
      <c r="P30" s="3"/>
      <c r="Q30" s="3">
        <f t="shared" si="47"/>
        <v>101.72526041666667</v>
      </c>
      <c r="R30">
        <v>62</v>
      </c>
      <c r="S30" s="3">
        <f t="shared" si="48"/>
        <v>165</v>
      </c>
      <c r="T30" s="4">
        <f t="shared" si="49"/>
        <v>214.45920000000001</v>
      </c>
      <c r="U30" s="4"/>
      <c r="V30">
        <f t="shared" si="50"/>
        <v>0.28759450530240005</v>
      </c>
      <c r="W30" s="150">
        <f t="shared" si="51"/>
        <v>3.2222855292761705E-2</v>
      </c>
      <c r="X30" s="150">
        <f t="shared" si="52"/>
        <v>3.1566269627062118E-2</v>
      </c>
      <c r="AD30" s="65" t="s">
        <v>27</v>
      </c>
      <c r="AE30" s="66">
        <f>X44/100</f>
        <v>460.8</v>
      </c>
      <c r="AF30" s="30"/>
      <c r="AG30" s="31"/>
      <c r="AI30" s="19" t="s">
        <v>141</v>
      </c>
      <c r="AJ30" s="178">
        <f>3/8/2*25.4</f>
        <v>4.7624999999999993</v>
      </c>
      <c r="AK30" s="30" t="s">
        <v>93</v>
      </c>
      <c r="AL30" s="31" t="s">
        <v>142</v>
      </c>
      <c r="AM30" s="5">
        <f t="shared" si="53"/>
        <v>23040</v>
      </c>
      <c r="AN30" s="157">
        <v>50</v>
      </c>
      <c r="AO30" s="157">
        <v>2.4979887676232684E-2</v>
      </c>
      <c r="AP30" s="157">
        <v>1.1143313366134135E-2</v>
      </c>
      <c r="AQ30" s="172">
        <v>7.0999999999999994E-2</v>
      </c>
      <c r="AR30" s="185">
        <f t="shared" si="54"/>
        <v>5.2713827471544122E-7</v>
      </c>
      <c r="AS30" s="157" t="s">
        <v>201</v>
      </c>
    </row>
    <row r="31" spans="1:50" ht="13.95" customHeight="1" x14ac:dyDescent="0.3">
      <c r="C31" s="5"/>
      <c r="D31" s="6"/>
      <c r="E31" s="6"/>
      <c r="F31" s="6"/>
      <c r="G31" s="6"/>
      <c r="H31" s="6"/>
      <c r="I31" s="6"/>
      <c r="J31" s="2"/>
      <c r="M31" s="3"/>
      <c r="N31" s="3"/>
      <c r="O31" s="3"/>
      <c r="P31" s="3"/>
      <c r="Q31" s="3"/>
      <c r="R31" s="3"/>
      <c r="S31" s="3"/>
      <c r="T31" s="4"/>
      <c r="U31" s="4"/>
      <c r="AD31" s="65" t="s">
        <v>18</v>
      </c>
      <c r="AE31" s="66">
        <f>Z51</f>
        <v>180</v>
      </c>
      <c r="AF31" s="30"/>
      <c r="AG31" s="31"/>
      <c r="AI31" s="19" t="s">
        <v>143</v>
      </c>
      <c r="AJ31" s="178">
        <f>3/4*25.4</f>
        <v>19.049999999999997</v>
      </c>
      <c r="AK31" s="30" t="s">
        <v>93</v>
      </c>
      <c r="AL31" s="31" t="s">
        <v>142</v>
      </c>
      <c r="AM31" s="5">
        <f t="shared" si="53"/>
        <v>23961.600000000002</v>
      </c>
      <c r="AN31" s="157">
        <v>52</v>
      </c>
      <c r="AO31" s="157">
        <v>2.8687189497277076E-2</v>
      </c>
      <c r="AP31" s="157">
        <v>1.3128852647530663E-2</v>
      </c>
      <c r="AQ31" s="172">
        <v>6.4000000000000001E-2</v>
      </c>
      <c r="AR31" s="185">
        <f t="shared" si="54"/>
        <v>5.8479402351244256E-7</v>
      </c>
      <c r="AS31" s="157" t="s">
        <v>201</v>
      </c>
    </row>
    <row r="32" spans="1:50" ht="13.95" customHeight="1" thickBot="1" x14ac:dyDescent="0.35">
      <c r="C32" s="5"/>
      <c r="D32" s="6"/>
      <c r="E32" s="6"/>
      <c r="F32" s="6"/>
      <c r="G32" s="6"/>
      <c r="H32" s="6"/>
      <c r="I32" s="6"/>
      <c r="J32" s="2"/>
      <c r="M32" s="3"/>
      <c r="N32" s="3"/>
      <c r="O32" s="3"/>
      <c r="P32" s="3"/>
      <c r="Q32" s="3"/>
      <c r="R32" s="3"/>
      <c r="S32" s="3"/>
      <c r="T32" s="3"/>
      <c r="U32" s="3"/>
      <c r="W32" t="s">
        <v>32</v>
      </c>
      <c r="Z32" t="s">
        <v>33</v>
      </c>
      <c r="AC32" s="30"/>
      <c r="AD32" s="65" t="s">
        <v>13</v>
      </c>
      <c r="AE32" s="66">
        <f>Z50</f>
        <v>0</v>
      </c>
      <c r="AF32" s="30"/>
      <c r="AG32" s="31"/>
      <c r="AI32" s="19" t="s">
        <v>145</v>
      </c>
      <c r="AJ32" s="30">
        <f>PI()*(AJ30/25.4)^2/4*3/4*0.3</f>
        <v>6.2126221909368446E-3</v>
      </c>
      <c r="AK32" s="30" t="s">
        <v>148</v>
      </c>
      <c r="AL32" s="31" t="s">
        <v>142</v>
      </c>
      <c r="AM32" s="5">
        <f t="shared" si="53"/>
        <v>25344</v>
      </c>
      <c r="AN32" s="157">
        <v>55</v>
      </c>
      <c r="AO32" s="157">
        <v>3.4912727705496999E-2</v>
      </c>
      <c r="AP32" s="157">
        <v>1.6549422883591874E-2</v>
      </c>
      <c r="AQ32" s="172">
        <v>5.6000000000000001E-2</v>
      </c>
      <c r="AR32" s="185">
        <f t="shared" si="54"/>
        <v>6.6833602687136296E-7</v>
      </c>
      <c r="AS32" s="157" t="s">
        <v>201</v>
      </c>
    </row>
    <row r="33" spans="2:50" ht="13.95" customHeight="1" x14ac:dyDescent="0.3">
      <c r="B33" s="3" t="s">
        <v>28</v>
      </c>
      <c r="C33" s="11" t="s">
        <v>29</v>
      </c>
      <c r="D33" s="12"/>
      <c r="E33" s="12"/>
      <c r="F33" s="6"/>
      <c r="G33" s="6"/>
      <c r="H33" s="6"/>
      <c r="I33" s="6"/>
      <c r="J33" s="2"/>
      <c r="M33" s="3"/>
      <c r="N33" s="3"/>
      <c r="O33" s="3"/>
      <c r="P33" s="3"/>
      <c r="Q33" s="3"/>
      <c r="R33" s="3"/>
      <c r="S33" s="3"/>
      <c r="T33" s="3"/>
      <c r="U33" s="3"/>
      <c r="W33" s="17" t="s">
        <v>3</v>
      </c>
      <c r="X33" s="18">
        <v>1</v>
      </c>
      <c r="Z33" s="17"/>
      <c r="AA33" s="23" t="s">
        <v>22</v>
      </c>
      <c r="AB33" s="7"/>
      <c r="AC33" s="30"/>
      <c r="AD33" s="65" t="s">
        <v>121</v>
      </c>
      <c r="AE33" s="66">
        <f>X59</f>
        <v>0</v>
      </c>
      <c r="AF33" s="67">
        <f>X58</f>
        <v>28856.545332842587</v>
      </c>
      <c r="AG33" s="68">
        <f>X57</f>
        <v>296.43735274450484</v>
      </c>
      <c r="AI33" s="19" t="s">
        <v>135</v>
      </c>
      <c r="AJ33" s="30">
        <f>($AJ$30/25.4)^2*$AJ$32/2</f>
        <v>1.0920624945006168E-4</v>
      </c>
      <c r="AK33" s="30" t="s">
        <v>96</v>
      </c>
      <c r="AL33" s="31" t="s">
        <v>147</v>
      </c>
      <c r="AM33" s="5">
        <f t="shared" si="53"/>
        <v>28569.600000000002</v>
      </c>
      <c r="AN33" s="157">
        <v>62</v>
      </c>
      <c r="AO33" s="157">
        <v>5.2819357330458824E-2</v>
      </c>
      <c r="AP33" s="157">
        <v>2.6818816528704516E-2</v>
      </c>
      <c r="AQ33" s="134">
        <v>3.5000000000000003E-2</v>
      </c>
      <c r="AR33" s="185">
        <f t="shared" si="54"/>
        <v>1.0693376429941806E-6</v>
      </c>
      <c r="AS33" s="136">
        <f>-AR33/$AE$44</f>
        <v>-1.4495941088429112E-6</v>
      </c>
      <c r="AT33" s="146"/>
    </row>
    <row r="34" spans="2:50" x14ac:dyDescent="0.3">
      <c r="B34" s="3"/>
      <c r="C34" s="13" t="s">
        <v>30</v>
      </c>
      <c r="D34" s="14"/>
      <c r="E34" s="14"/>
      <c r="F34" s="6"/>
      <c r="G34" s="6"/>
      <c r="H34" s="6"/>
      <c r="I34" s="6"/>
      <c r="J34" s="2"/>
      <c r="M34" s="3"/>
      <c r="N34" s="3"/>
      <c r="O34" s="3"/>
      <c r="P34" s="3"/>
      <c r="Q34" s="3"/>
      <c r="R34" s="3"/>
      <c r="S34" s="3"/>
      <c r="T34" s="3"/>
      <c r="U34" s="3"/>
      <c r="W34" s="19" t="s">
        <v>4</v>
      </c>
      <c r="X34" s="20">
        <v>4800</v>
      </c>
      <c r="Y34" t="s">
        <v>77</v>
      </c>
      <c r="Z34" s="24" t="s">
        <v>16</v>
      </c>
      <c r="AA34" s="25">
        <v>0</v>
      </c>
      <c r="AC34" s="30"/>
      <c r="AD34" s="65" t="s">
        <v>21</v>
      </c>
      <c r="AE34" s="66">
        <f>X61</f>
        <v>-35967.664913818211</v>
      </c>
      <c r="AF34" s="67">
        <f>X60</f>
        <v>15568.877907324113</v>
      </c>
      <c r="AG34" s="31"/>
      <c r="AI34" s="19" t="s">
        <v>95</v>
      </c>
      <c r="AJ34" s="30">
        <f>AJ29+AJ33</f>
        <v>1.6577045547800059E-3</v>
      </c>
      <c r="AK34" s="30" t="s">
        <v>96</v>
      </c>
      <c r="AL34" s="31"/>
    </row>
    <row r="35" spans="2:50" ht="13.95" customHeight="1" thickBot="1" x14ac:dyDescent="0.35">
      <c r="B35" s="3"/>
      <c r="C35" s="15" t="s">
        <v>31</v>
      </c>
      <c r="D35" s="16"/>
      <c r="E35" s="16"/>
      <c r="F35" s="6"/>
      <c r="G35" s="6"/>
      <c r="H35" s="6"/>
      <c r="I35" s="6"/>
      <c r="J35" s="2"/>
      <c r="M35" s="3"/>
      <c r="N35" s="3"/>
      <c r="O35" s="3"/>
      <c r="P35" s="2"/>
      <c r="Q35" s="3"/>
      <c r="R35" s="3"/>
      <c r="S35" s="3"/>
      <c r="T35" s="3"/>
      <c r="U35" s="3"/>
      <c r="W35" s="19" t="s">
        <v>5</v>
      </c>
      <c r="X35" s="20">
        <v>12</v>
      </c>
      <c r="Z35" s="26" t="s">
        <v>17</v>
      </c>
      <c r="AA35" s="27">
        <v>5</v>
      </c>
      <c r="AC35" s="30"/>
      <c r="AD35" s="65" t="s">
        <v>122</v>
      </c>
      <c r="AE35" s="66">
        <f>AA60</f>
        <v>-4629.28132953776</v>
      </c>
      <c r="AF35" s="69">
        <f>AA59</f>
        <v>0.977785673428475</v>
      </c>
      <c r="AG35" s="31"/>
      <c r="AI35" s="19" t="s">
        <v>95</v>
      </c>
      <c r="AJ35" s="30">
        <f>AJ34/144</f>
        <v>1.1511837185972264E-5</v>
      </c>
      <c r="AK35" s="30" t="s">
        <v>97</v>
      </c>
      <c r="AL35" s="31"/>
    </row>
    <row r="36" spans="2:50" ht="13.95" customHeight="1" thickBot="1" x14ac:dyDescent="0.35">
      <c r="C36" s="5"/>
      <c r="D36" s="6"/>
      <c r="E36" s="6"/>
      <c r="F36" s="6"/>
      <c r="G36" s="6"/>
      <c r="H36" s="6"/>
      <c r="I36" s="6"/>
      <c r="J36" s="2"/>
      <c r="M36" s="3"/>
      <c r="N36" s="3"/>
      <c r="O36" s="3"/>
      <c r="P36" s="3"/>
      <c r="Q36" s="3"/>
      <c r="R36" s="3"/>
      <c r="S36" s="3"/>
      <c r="T36" s="3"/>
      <c r="U36" s="3"/>
      <c r="W36" s="57" t="s">
        <v>69</v>
      </c>
      <c r="X36" s="20">
        <v>3.9899999999999998E-2</v>
      </c>
      <c r="Y36" t="s">
        <v>76</v>
      </c>
      <c r="AC36" s="30"/>
      <c r="AD36" s="65" t="s">
        <v>123</v>
      </c>
      <c r="AE36" s="66">
        <f>AA58</f>
        <v>4826.0670942612087</v>
      </c>
      <c r="AF36" s="69">
        <f>AA57</f>
        <v>1.0193904204377491</v>
      </c>
      <c r="AG36" s="31"/>
      <c r="AI36" s="21" t="s">
        <v>95</v>
      </c>
      <c r="AJ36" s="32">
        <f>AJ35/2048.5*6.66</f>
        <v>3.7426817504796325E-8</v>
      </c>
      <c r="AK36" s="32" t="s">
        <v>98</v>
      </c>
      <c r="AL36" s="33"/>
    </row>
    <row r="37" spans="2:50" ht="15" customHeight="1" x14ac:dyDescent="0.45">
      <c r="C37" s="5"/>
      <c r="D37" s="6"/>
      <c r="E37" s="6"/>
      <c r="F37" s="6"/>
      <c r="G37" s="6"/>
      <c r="H37" s="6"/>
      <c r="I37" s="6"/>
      <c r="J37" s="2"/>
      <c r="M37" s="3"/>
      <c r="N37" s="3"/>
      <c r="O37" s="3"/>
      <c r="P37" s="3"/>
      <c r="Q37" s="3"/>
      <c r="R37" s="3"/>
      <c r="S37" s="3"/>
      <c r="T37" s="3"/>
      <c r="U37" s="3"/>
      <c r="W37" s="57" t="s">
        <v>70</v>
      </c>
      <c r="X37" s="129">
        <v>4.1999999999999996E-6</v>
      </c>
      <c r="Y37" t="s">
        <v>75</v>
      </c>
      <c r="AC37" s="94" t="s">
        <v>54</v>
      </c>
      <c r="AD37" s="65" t="s">
        <v>92</v>
      </c>
      <c r="AE37" s="124">
        <f>X67</f>
        <v>-4.2312897208109457E-3</v>
      </c>
      <c r="AF37" s="124">
        <f>X66</f>
        <v>4.6878096548586503E-7</v>
      </c>
      <c r="AG37" s="139">
        <f>X65</f>
        <v>6.2561657632881528E-12</v>
      </c>
    </row>
    <row r="38" spans="2:50" x14ac:dyDescent="0.3">
      <c r="C38" s="5"/>
      <c r="D38" s="6"/>
      <c r="E38" s="6"/>
      <c r="F38" s="6"/>
      <c r="G38" s="6"/>
      <c r="H38" s="6"/>
      <c r="I38" s="6"/>
      <c r="J38" s="2"/>
      <c r="M38" s="3"/>
      <c r="N38" s="3"/>
      <c r="O38" s="3"/>
      <c r="P38" s="3"/>
      <c r="Q38" s="3"/>
      <c r="R38" s="3"/>
      <c r="S38" s="3"/>
      <c r="T38" s="3"/>
      <c r="U38" s="3"/>
      <c r="W38" s="57" t="s">
        <v>71</v>
      </c>
      <c r="X38" s="130">
        <f>X34*2*PI()/60</f>
        <v>502.6548245743669</v>
      </c>
      <c r="Y38" t="s">
        <v>73</v>
      </c>
      <c r="AD38" s="65" t="s">
        <v>130</v>
      </c>
      <c r="AE38" s="124">
        <f>AA67</f>
        <v>2.0111653701195102E-3</v>
      </c>
      <c r="AF38" s="124">
        <f>AA66</f>
        <v>-3.0709262345742761E-7</v>
      </c>
      <c r="AG38" s="139">
        <f>AA65</f>
        <v>1.4325144135226059E-11</v>
      </c>
      <c r="AH38" s="5"/>
      <c r="AI38" s="5"/>
      <c r="AJ38" s="5"/>
    </row>
    <row r="39" spans="2:50" x14ac:dyDescent="0.3">
      <c r="C39" s="5"/>
      <c r="D39" s="6"/>
      <c r="E39" s="6"/>
      <c r="F39" s="6"/>
      <c r="G39" s="6"/>
      <c r="H39" s="6"/>
      <c r="I39" s="6"/>
      <c r="J39" s="2"/>
      <c r="M39" s="3"/>
      <c r="N39" s="3"/>
      <c r="O39" s="3"/>
      <c r="P39" s="3"/>
      <c r="Q39" s="3"/>
      <c r="R39" s="3"/>
      <c r="S39" s="3"/>
      <c r="T39" s="3"/>
      <c r="U39" s="3"/>
      <c r="W39" s="57" t="s">
        <v>72</v>
      </c>
      <c r="X39" s="132">
        <f>7/X38</f>
        <v>1.3926057520540842E-2</v>
      </c>
      <c r="Y39" t="s">
        <v>74</v>
      </c>
      <c r="AD39" s="65" t="s">
        <v>179</v>
      </c>
      <c r="AE39" s="69">
        <f>Y19</f>
        <v>4.4249528005034611</v>
      </c>
      <c r="AF39" s="30"/>
      <c r="AG39" s="31"/>
      <c r="AH39" s="5"/>
      <c r="AI39" s="5"/>
      <c r="AJ39" s="151"/>
    </row>
    <row r="40" spans="2:50" ht="15" thickBot="1" x14ac:dyDescent="0.35">
      <c r="D40" s="6"/>
      <c r="E40" s="6"/>
      <c r="F40" s="6"/>
      <c r="G40" s="6"/>
      <c r="H40" s="6"/>
      <c r="I40" s="6"/>
      <c r="J40" s="2"/>
      <c r="M40" s="3"/>
      <c r="N40" s="3"/>
      <c r="O40" s="3"/>
      <c r="P40" s="3"/>
      <c r="Q40" s="3"/>
      <c r="R40" s="3"/>
      <c r="S40" s="3"/>
      <c r="T40" s="3"/>
      <c r="U40" s="3"/>
      <c r="W40" s="131" t="s">
        <v>79</v>
      </c>
      <c r="X40" s="145">
        <f>AJ36</f>
        <v>3.7426817504796325E-8</v>
      </c>
      <c r="Y40" t="s">
        <v>80</v>
      </c>
      <c r="AA40" t="s">
        <v>112</v>
      </c>
      <c r="AD40" s="65" t="s">
        <v>178</v>
      </c>
      <c r="AE40" s="160">
        <f>$X$47</f>
        <v>2.1213604393365078E-3</v>
      </c>
      <c r="AF40" s="30"/>
      <c r="AG40" s="31"/>
      <c r="AH40" s="5"/>
      <c r="AI40" s="5"/>
      <c r="AJ40" s="151"/>
    </row>
    <row r="41" spans="2:50" ht="15" thickBot="1" x14ac:dyDescent="0.35">
      <c r="W41" t="s">
        <v>35</v>
      </c>
      <c r="AD41" s="65" t="s">
        <v>177</v>
      </c>
      <c r="AE41" s="160">
        <f>$X$46</f>
        <v>1.2250000000000001</v>
      </c>
      <c r="AF41" s="30"/>
      <c r="AG41" s="31"/>
      <c r="AH41" s="5"/>
      <c r="AI41" s="5"/>
      <c r="AJ41" s="151"/>
      <c r="AU41" t="s">
        <v>188</v>
      </c>
      <c r="AX41" t="s">
        <v>193</v>
      </c>
    </row>
    <row r="42" spans="2:50" ht="15" thickBot="1" x14ac:dyDescent="0.35">
      <c r="W42" s="34">
        <v>240</v>
      </c>
      <c r="X42" s="35" t="s">
        <v>34</v>
      </c>
      <c r="Y42" s="36"/>
      <c r="Z42" s="35"/>
      <c r="AA42" s="37"/>
      <c r="AB42" s="30"/>
      <c r="AD42" s="65" t="s">
        <v>180</v>
      </c>
      <c r="AE42" s="162">
        <f>$AF$13</f>
        <v>-1.764803727720339</v>
      </c>
      <c r="AF42" s="30"/>
      <c r="AG42" s="31"/>
      <c r="AH42" s="5"/>
      <c r="AI42" s="5"/>
      <c r="AJ42" s="151"/>
      <c r="AU42" t="s">
        <v>186</v>
      </c>
      <c r="AV42" s="151"/>
      <c r="AW42" s="164" t="s">
        <v>189</v>
      </c>
      <c r="AX42" t="s">
        <v>190</v>
      </c>
    </row>
    <row r="43" spans="2:50" ht="15" thickBot="1" x14ac:dyDescent="0.35">
      <c r="D43" s="6"/>
      <c r="E43" s="6"/>
      <c r="F43" s="6"/>
      <c r="G43" s="6"/>
      <c r="H43" s="6"/>
      <c r="I43" s="6"/>
      <c r="J43" s="9"/>
      <c r="K43" s="6"/>
      <c r="L43" s="6"/>
      <c r="M43" s="10"/>
      <c r="N43" s="10"/>
      <c r="O43" s="10"/>
      <c r="P43" s="10"/>
      <c r="Q43" s="10"/>
      <c r="R43" s="10"/>
      <c r="S43" s="10"/>
      <c r="T43" s="10"/>
      <c r="U43" s="10"/>
      <c r="W43" t="s">
        <v>36</v>
      </c>
      <c r="AD43" s="65" t="s">
        <v>182</v>
      </c>
      <c r="AE43" s="92">
        <f>AE13</f>
        <v>3.1687123532286252</v>
      </c>
      <c r="AF43" s="30"/>
      <c r="AG43" s="31"/>
      <c r="AH43" s="5"/>
      <c r="AI43" s="5"/>
      <c r="AJ43" s="151"/>
      <c r="AU43" t="s">
        <v>187</v>
      </c>
      <c r="AX43" t="s">
        <v>191</v>
      </c>
    </row>
    <row r="44" spans="2:50" x14ac:dyDescent="0.3">
      <c r="D44" s="6"/>
      <c r="E44" s="6"/>
      <c r="F44" s="6"/>
      <c r="G44" s="6"/>
      <c r="H44" s="6"/>
      <c r="I44" s="6"/>
      <c r="J44" s="9"/>
      <c r="K44" s="6"/>
      <c r="L44" s="6"/>
      <c r="M44" s="10"/>
      <c r="N44" s="10"/>
      <c r="O44" s="10"/>
      <c r="P44" s="10"/>
      <c r="Q44" s="10"/>
      <c r="R44" s="10"/>
      <c r="S44" s="10"/>
      <c r="T44" s="10"/>
      <c r="U44" s="10"/>
      <c r="W44" s="17" t="s">
        <v>6</v>
      </c>
      <c r="X44" s="50">
        <f>X34*X35/Y44</f>
        <v>46080</v>
      </c>
      <c r="Y44" s="154">
        <v>1.25</v>
      </c>
      <c r="Z44" s="28" t="s">
        <v>9</v>
      </c>
      <c r="AA44" s="155"/>
      <c r="AB44">
        <f>W42</f>
        <v>240</v>
      </c>
      <c r="AC44" t="s">
        <v>156</v>
      </c>
      <c r="AD44" s="65" t="s">
        <v>183</v>
      </c>
      <c r="AE44" s="162">
        <f>1/1.3556</f>
        <v>0.73768073177928595</v>
      </c>
      <c r="AF44" s="30"/>
      <c r="AG44" s="31"/>
      <c r="AH44" s="5"/>
      <c r="AI44" s="5"/>
      <c r="AJ44" s="151"/>
      <c r="AU44" t="s">
        <v>181</v>
      </c>
      <c r="AX44" t="s">
        <v>192</v>
      </c>
    </row>
    <row r="45" spans="2:50" ht="15" thickBot="1" x14ac:dyDescent="0.35">
      <c r="D45" s="6"/>
      <c r="E45" s="6"/>
      <c r="F45" s="6"/>
      <c r="G45" s="6"/>
      <c r="H45" s="6"/>
      <c r="I45" s="6"/>
      <c r="J45" s="9"/>
      <c r="K45" s="6"/>
      <c r="L45" s="6"/>
      <c r="M45" s="10"/>
      <c r="N45" s="10"/>
      <c r="O45" s="10"/>
      <c r="P45" s="10"/>
      <c r="Q45" s="10"/>
      <c r="R45" s="10"/>
      <c r="S45" s="10"/>
      <c r="T45" s="10"/>
      <c r="U45" s="10"/>
      <c r="W45" s="21" t="s">
        <v>154</v>
      </c>
      <c r="X45" s="156">
        <f>450/454</f>
        <v>0.99118942731277537</v>
      </c>
      <c r="Y45" s="32" t="s">
        <v>155</v>
      </c>
      <c r="Z45" s="166">
        <f>X45/0.224</f>
        <v>4.4249528005034611</v>
      </c>
      <c r="AA45" s="33" t="s">
        <v>158</v>
      </c>
      <c r="AD45" s="65" t="s">
        <v>184</v>
      </c>
      <c r="AE45" s="179">
        <f>$X$40</f>
        <v>3.7426817504796325E-8</v>
      </c>
      <c r="AF45" s="30"/>
      <c r="AG45" s="31"/>
      <c r="AH45" s="5"/>
      <c r="AI45" s="5"/>
      <c r="AJ45" s="151"/>
      <c r="AU45" t="s">
        <v>194</v>
      </c>
      <c r="AV45" t="s">
        <v>197</v>
      </c>
    </row>
    <row r="46" spans="2:50" x14ac:dyDescent="0.3">
      <c r="C46" t="s">
        <v>55</v>
      </c>
      <c r="D46" s="6"/>
      <c r="E46" s="6"/>
      <c r="F46" s="6"/>
      <c r="G46" s="6"/>
      <c r="H46" s="6"/>
      <c r="I46" s="6"/>
      <c r="J46" s="9"/>
      <c r="K46" s="6"/>
      <c r="L46" s="6"/>
      <c r="M46" s="10"/>
      <c r="N46" s="10"/>
      <c r="O46" s="10"/>
      <c r="P46" s="10"/>
      <c r="Q46" s="10"/>
      <c r="R46" s="10"/>
      <c r="S46" s="10"/>
      <c r="T46" s="10"/>
      <c r="U46" s="10"/>
      <c r="W46" s="45" t="s">
        <v>160</v>
      </c>
      <c r="X46" s="5">
        <v>1.2250000000000001</v>
      </c>
      <c r="Y46" t="s">
        <v>161</v>
      </c>
      <c r="Z46" t="s">
        <v>169</v>
      </c>
      <c r="AD46" s="65" t="s">
        <v>199</v>
      </c>
      <c r="AE46" s="160">
        <f>AA47/1000</f>
        <v>5.5E-2</v>
      </c>
      <c r="AF46" s="30"/>
      <c r="AG46" s="31"/>
      <c r="AH46" s="5"/>
      <c r="AI46" s="5"/>
      <c r="AJ46" s="151"/>
      <c r="AU46" t="s">
        <v>195</v>
      </c>
      <c r="AW46" s="164" t="s">
        <v>196</v>
      </c>
      <c r="AX46" t="s">
        <v>214</v>
      </c>
    </row>
    <row r="47" spans="2:50" x14ac:dyDescent="0.3">
      <c r="C47" t="s">
        <v>51</v>
      </c>
      <c r="D47" s="6" t="s">
        <v>52</v>
      </c>
      <c r="E47" s="6" t="s">
        <v>53</v>
      </c>
      <c r="F47" s="6"/>
      <c r="G47" s="6"/>
      <c r="H47" s="6"/>
      <c r="I47" s="6"/>
      <c r="J47" s="9"/>
      <c r="K47" s="6"/>
      <c r="L47" s="6"/>
      <c r="M47" s="10"/>
      <c r="N47" s="10"/>
      <c r="O47" s="10"/>
      <c r="P47" s="10"/>
      <c r="Q47" s="10"/>
      <c r="R47" s="10"/>
      <c r="S47" s="10"/>
      <c r="T47" s="10"/>
      <c r="U47" s="10"/>
      <c r="W47" s="45" t="s">
        <v>162</v>
      </c>
      <c r="X47" s="157">
        <f>(55^2-18^2)*PI()/4/1000^2</f>
        <v>2.1213604393365078E-3</v>
      </c>
      <c r="Y47" t="s">
        <v>163</v>
      </c>
      <c r="Z47" t="s">
        <v>168</v>
      </c>
      <c r="AA47" s="157">
        <v>55</v>
      </c>
      <c r="AB47" t="s">
        <v>93</v>
      </c>
      <c r="AD47" s="161" t="s">
        <v>211</v>
      </c>
      <c r="AE47" s="160">
        <v>5</v>
      </c>
      <c r="AF47" s="30"/>
      <c r="AG47" s="31"/>
      <c r="AH47" s="5"/>
      <c r="AI47" s="5"/>
      <c r="AJ47" s="151"/>
      <c r="AU47" t="s">
        <v>198</v>
      </c>
    </row>
    <row r="48" spans="2:50" ht="15" thickBot="1" x14ac:dyDescent="0.35">
      <c r="C48" s="73">
        <v>87</v>
      </c>
      <c r="D48" s="6">
        <f>C48/180*(2.4-0.53)+0.53</f>
        <v>1.4338333333333333</v>
      </c>
      <c r="E48" s="88">
        <f>(D48-1)*180</f>
        <v>78.089999999999989</v>
      </c>
      <c r="F48" s="6"/>
      <c r="G48" s="6"/>
      <c r="H48" s="6"/>
      <c r="I48" s="6"/>
      <c r="J48" s="9"/>
      <c r="K48" s="6"/>
      <c r="L48" s="6"/>
      <c r="M48" s="10"/>
      <c r="N48" s="10"/>
      <c r="O48" s="10"/>
      <c r="P48" s="10"/>
      <c r="Q48" s="10"/>
      <c r="R48" s="10"/>
      <c r="S48" s="10"/>
      <c r="T48" s="10">
        <f>(60*2.5/PI()/AA47*1000/41)^2</f>
        <v>448.32161728852856</v>
      </c>
      <c r="U48" s="10"/>
      <c r="Z48" t="s">
        <v>174</v>
      </c>
      <c r="AA48" s="157">
        <v>45</v>
      </c>
      <c r="AB48" t="s">
        <v>175</v>
      </c>
      <c r="AC48" t="s">
        <v>176</v>
      </c>
      <c r="AD48" s="70" t="s">
        <v>218</v>
      </c>
      <c r="AE48" s="183">
        <f>$Y$19</f>
        <v>4.4249528005034611</v>
      </c>
      <c r="AF48" s="32"/>
      <c r="AG48" s="33"/>
      <c r="AW48" s="164" t="s">
        <v>189</v>
      </c>
      <c r="AX48" t="s">
        <v>200</v>
      </c>
    </row>
    <row r="49" spans="3:55" ht="28.8" x14ac:dyDescent="0.3">
      <c r="C49" s="73">
        <v>90</v>
      </c>
      <c r="D49" s="6">
        <f t="shared" ref="D49:D54" si="55">C49/180*(2.4-0.53)+0.53</f>
        <v>1.4649999999999999</v>
      </c>
      <c r="E49" s="88">
        <f t="shared" ref="E49:E54" si="56">(D49-1)*180</f>
        <v>83.699999999999974</v>
      </c>
      <c r="F49" s="6"/>
      <c r="G49" s="6"/>
      <c r="H49" s="6"/>
      <c r="I49" s="6"/>
      <c r="J49" s="9"/>
      <c r="K49" s="6"/>
      <c r="L49" s="6"/>
      <c r="M49" s="10"/>
      <c r="N49" s="10"/>
      <c r="O49" s="10"/>
      <c r="P49" s="10"/>
      <c r="Q49" s="10"/>
      <c r="R49" s="10"/>
      <c r="S49" s="10"/>
      <c r="T49" s="10"/>
      <c r="U49" s="10"/>
      <c r="W49" s="17"/>
      <c r="X49" s="42" t="s">
        <v>19</v>
      </c>
      <c r="Y49" s="28"/>
      <c r="Z49" s="42" t="s">
        <v>20</v>
      </c>
      <c r="AA49" s="29" t="s">
        <v>109</v>
      </c>
      <c r="AU49" t="s">
        <v>217</v>
      </c>
    </row>
    <row r="50" spans="3:55" x14ac:dyDescent="0.3">
      <c r="C50" s="73">
        <v>100</v>
      </c>
      <c r="D50" s="6">
        <f t="shared" si="55"/>
        <v>1.568888888888889</v>
      </c>
      <c r="E50" s="88">
        <f t="shared" si="56"/>
        <v>102.40000000000002</v>
      </c>
      <c r="F50" s="6"/>
      <c r="G50" s="6"/>
      <c r="H50" s="6"/>
      <c r="I50" s="6"/>
      <c r="J50" s="9"/>
      <c r="K50" s="6"/>
      <c r="L50" s="6"/>
      <c r="M50" s="10"/>
      <c r="N50" s="10"/>
      <c r="O50" s="10"/>
      <c r="P50" s="10"/>
      <c r="Q50" s="10"/>
      <c r="R50" s="10"/>
      <c r="S50" s="10"/>
      <c r="T50" s="10"/>
      <c r="U50" s="10"/>
      <c r="W50" s="57" t="s">
        <v>14</v>
      </c>
      <c r="X50" s="58">
        <v>0</v>
      </c>
      <c r="Y50" s="45" t="s">
        <v>13</v>
      </c>
      <c r="Z50" s="59">
        <v>0</v>
      </c>
      <c r="AA50" s="89">
        <f>AA60/X44*100</f>
        <v>-10.046183440837153</v>
      </c>
      <c r="AB50" t="s">
        <v>106</v>
      </c>
      <c r="AU50" t="s">
        <v>215</v>
      </c>
    </row>
    <row r="51" spans="3:55" x14ac:dyDescent="0.3">
      <c r="C51" s="73">
        <v>110</v>
      </c>
      <c r="D51" s="6">
        <f t="shared" si="55"/>
        <v>1.6727777777777779</v>
      </c>
      <c r="E51" s="88">
        <f t="shared" si="56"/>
        <v>121.10000000000002</v>
      </c>
      <c r="F51" s="6"/>
      <c r="G51" s="6"/>
      <c r="H51" s="6"/>
      <c r="I51" s="6"/>
      <c r="J51" s="2"/>
      <c r="M51" s="3"/>
      <c r="N51" s="3"/>
      <c r="O51" s="3"/>
      <c r="P51" s="3"/>
      <c r="Q51" s="3"/>
      <c r="R51" s="3"/>
      <c r="S51" s="3"/>
      <c r="T51" s="3"/>
      <c r="U51" s="3"/>
      <c r="W51" s="57" t="s">
        <v>15</v>
      </c>
      <c r="X51" s="58">
        <v>5</v>
      </c>
      <c r="Y51" s="45" t="s">
        <v>18</v>
      </c>
      <c r="Z51" s="59">
        <v>180</v>
      </c>
      <c r="AA51" s="60">
        <v>77</v>
      </c>
      <c r="AU51" t="s">
        <v>216</v>
      </c>
    </row>
    <row r="52" spans="3:55" x14ac:dyDescent="0.3">
      <c r="C52" s="73">
        <v>114</v>
      </c>
      <c r="D52" s="6">
        <f t="shared" si="55"/>
        <v>1.7143333333333333</v>
      </c>
      <c r="E52" s="88">
        <f t="shared" si="56"/>
        <v>128.57999999999998</v>
      </c>
      <c r="W52" s="19"/>
      <c r="X52" s="30" t="s">
        <v>40</v>
      </c>
      <c r="Y52" s="30"/>
      <c r="Z52" s="61"/>
      <c r="AA52" s="89">
        <f>(AA51-AA50)/(X51-X50)</f>
        <v>17.409236688167432</v>
      </c>
      <c r="AI52" s="104"/>
      <c r="AQ52" s="3"/>
    </row>
    <row r="53" spans="3:55" x14ac:dyDescent="0.3">
      <c r="C53" s="73">
        <v>127.5</v>
      </c>
      <c r="D53" s="6">
        <f t="shared" si="55"/>
        <v>1.8545833333333333</v>
      </c>
      <c r="E53" s="88">
        <f t="shared" si="56"/>
        <v>153.82499999999999</v>
      </c>
      <c r="W53" s="19"/>
      <c r="X53" s="30"/>
      <c r="Y53" s="30"/>
      <c r="Z53" s="61"/>
      <c r="AA53" s="89">
        <f>AA51-AA52*(X51-X50)</f>
        <v>-10.046183440837154</v>
      </c>
      <c r="AR53" s="3"/>
    </row>
    <row r="54" spans="3:55" ht="15" thickBot="1" x14ac:dyDescent="0.35">
      <c r="C54" s="80">
        <v>136.4</v>
      </c>
      <c r="D54" s="6">
        <f t="shared" si="55"/>
        <v>1.9470444444444444</v>
      </c>
      <c r="E54" s="88">
        <f t="shared" si="56"/>
        <v>170.46799999999999</v>
      </c>
      <c r="W54" s="21"/>
      <c r="X54" s="32"/>
      <c r="Y54" s="32"/>
      <c r="Z54" s="47"/>
      <c r="AA54" s="48" t="s">
        <v>124</v>
      </c>
    </row>
    <row r="56" spans="3:55" ht="15" thickBot="1" x14ac:dyDescent="0.35">
      <c r="W56" t="s">
        <v>38</v>
      </c>
    </row>
    <row r="57" spans="3:55" x14ac:dyDescent="0.3">
      <c r="W57" s="49" t="s">
        <v>121</v>
      </c>
      <c r="X57" s="50">
        <f>INDEX(LINEST($P$5:$P$19,$E$5:$E$19^{1,2},FALSE,FALSE),1)</f>
        <v>296.43735274450484</v>
      </c>
      <c r="Y57" s="28"/>
      <c r="Z57" s="51" t="s">
        <v>123</v>
      </c>
      <c r="AA57" s="52">
        <f>INDEX(LINEST($O$5:$O$19,$P$5:$P$19),1)</f>
        <v>1.0193904204377491</v>
      </c>
    </row>
    <row r="58" spans="3:55" x14ac:dyDescent="0.3">
      <c r="W58" s="43"/>
      <c r="X58" s="54">
        <f>INDEX(LINEST($P$5:$P$19,$E$5:$E$19^{1,2},FALSE,FALSE),2)</f>
        <v>28856.545332842587</v>
      </c>
      <c r="Y58" s="30"/>
      <c r="Z58" s="44"/>
      <c r="AA58" s="46">
        <f>INDEX(LINEST($O$5:$O$19,$P$5:$P$19),2)</f>
        <v>4826.0670942612087</v>
      </c>
    </row>
    <row r="59" spans="3:55" x14ac:dyDescent="0.3">
      <c r="W59" s="43"/>
      <c r="X59" s="54">
        <f>INDEX(LINEST($P$5:$P$19,$E$5:$E$19^{1,2},FALSE,FALSE),3)</f>
        <v>0</v>
      </c>
      <c r="Y59" s="30"/>
      <c r="Z59" s="44" t="s">
        <v>122</v>
      </c>
      <c r="AA59" s="46">
        <f>INDEX(LINEST($P$5:$P$19,$O$5:$O$19),1)</f>
        <v>0.977785673428475</v>
      </c>
    </row>
    <row r="60" spans="3:55" x14ac:dyDescent="0.3">
      <c r="W60" s="43" t="s">
        <v>21</v>
      </c>
      <c r="X60" s="54">
        <f>INDEX(LINEST($O$5:$O$19,$L$5:$L$19),1)</f>
        <v>15568.877907324113</v>
      </c>
      <c r="Y60" s="30"/>
      <c r="Z60" s="44"/>
      <c r="AA60" s="46">
        <f>INDEX(LINEST($P$5:$P$19,$O$5:$O$19),2)</f>
        <v>-4629.28132953776</v>
      </c>
      <c r="AB60" t="s">
        <v>60</v>
      </c>
    </row>
    <row r="61" spans="3:55" x14ac:dyDescent="0.3">
      <c r="W61" s="43"/>
      <c r="X61" s="54">
        <f>INDEX(LINEST($O$5:$O$19,$L$5:$L$19),2)</f>
        <v>-35967.664913818211</v>
      </c>
      <c r="Y61" s="30"/>
      <c r="Z61" s="30"/>
      <c r="AA61" s="31"/>
    </row>
    <row r="62" spans="3:55" x14ac:dyDescent="0.3">
      <c r="W62" s="19"/>
      <c r="X62" s="30"/>
      <c r="Y62" s="30"/>
      <c r="Z62" s="30"/>
      <c r="AA62" s="31"/>
    </row>
    <row r="63" spans="3:55" x14ac:dyDescent="0.3">
      <c r="H63" s="176" t="s">
        <v>212</v>
      </c>
      <c r="W63" s="181" t="s">
        <v>62</v>
      </c>
      <c r="X63" s="44">
        <f>EXP((0-$AE$34)/$AF$34)</f>
        <v>10.076726574109877</v>
      </c>
      <c r="Y63" s="30"/>
      <c r="Z63" s="30"/>
      <c r="AA63" s="31"/>
      <c r="AB63" t="s">
        <v>65</v>
      </c>
      <c r="AD63" s="30"/>
      <c r="AE63" s="30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30"/>
      <c r="AX63" s="30"/>
      <c r="AY63" s="30"/>
      <c r="AZ63" s="30"/>
      <c r="BA63" s="30"/>
      <c r="BB63" s="30"/>
      <c r="BC63" s="30"/>
    </row>
    <row r="64" spans="3:55" x14ac:dyDescent="0.3">
      <c r="W64" s="19"/>
      <c r="X64" s="30"/>
      <c r="Y64" s="30"/>
      <c r="Z64" s="30"/>
      <c r="AA64" s="31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</row>
    <row r="65" spans="3:55" x14ac:dyDescent="0.3">
      <c r="W65" s="43" t="s">
        <v>92</v>
      </c>
      <c r="X65" s="180">
        <f>INDEX(LINEST($X$4:$X$19,$O$4:$O$19^{1,2}),1)</f>
        <v>6.2561657632881528E-12</v>
      </c>
      <c r="Y65" s="30"/>
      <c r="Z65" s="44" t="s">
        <v>130</v>
      </c>
      <c r="AA65" s="122">
        <f>INDEX(LINEST($X$71:$X$88,$O$71:$O$88^{1,2}),1)</f>
        <v>1.4325144135226059E-11</v>
      </c>
      <c r="AD65" s="45"/>
      <c r="AE65" s="290"/>
      <c r="AF65" s="290"/>
      <c r="AG65" s="290"/>
      <c r="AH65" s="290"/>
      <c r="AI65" s="290"/>
      <c r="AJ65" s="290"/>
      <c r="AK65" s="290"/>
      <c r="AL65" s="290"/>
      <c r="AM65" s="290"/>
      <c r="AN65" s="290"/>
      <c r="AO65" s="290"/>
      <c r="AP65" s="290"/>
      <c r="AQ65" s="290"/>
      <c r="AR65" s="290"/>
      <c r="AS65" s="290"/>
      <c r="AT65" s="290"/>
      <c r="AU65" s="290"/>
      <c r="AV65" s="290"/>
      <c r="AW65" s="45"/>
      <c r="AX65" s="30"/>
      <c r="AY65" s="30"/>
      <c r="AZ65" s="30"/>
      <c r="BA65" s="30"/>
      <c r="BB65" s="30"/>
      <c r="BC65" s="30"/>
    </row>
    <row r="66" spans="3:55" x14ac:dyDescent="0.3">
      <c r="W66" s="43"/>
      <c r="X66" s="180">
        <f>INDEX(LINEST($X$4:$X$19,$O$4:$O$19^{1,2}),2)</f>
        <v>4.6878096548586503E-7</v>
      </c>
      <c r="Y66" s="30"/>
      <c r="Z66" s="44"/>
      <c r="AA66" s="122">
        <f>INDEX(LINEST($X$71:$X$88,$O$71:$O$88^{1,2}),2)</f>
        <v>-3.0709262345742761E-7</v>
      </c>
      <c r="AD66" s="45"/>
      <c r="AE66" s="290"/>
      <c r="AF66" s="290"/>
      <c r="AG66" s="290"/>
      <c r="AH66" s="290"/>
      <c r="AI66" s="290"/>
      <c r="AJ66" s="290"/>
      <c r="AK66" s="290"/>
      <c r="AL66" s="290"/>
      <c r="AM66" s="290"/>
      <c r="AN66" s="290"/>
      <c r="AO66" s="290"/>
      <c r="AP66" s="290"/>
      <c r="AQ66" s="290"/>
      <c r="AR66" s="290"/>
      <c r="AS66" s="290"/>
      <c r="AT66" s="290"/>
      <c r="AU66" s="290"/>
      <c r="AV66" s="290"/>
      <c r="AW66" s="45"/>
      <c r="AX66" s="30"/>
      <c r="AY66" s="30"/>
      <c r="AZ66" s="30"/>
      <c r="BA66" s="30"/>
      <c r="BB66" s="30"/>
      <c r="BC66" s="30"/>
    </row>
    <row r="67" spans="3:55" ht="15" thickBot="1" x14ac:dyDescent="0.35">
      <c r="W67" s="55"/>
      <c r="X67" s="182">
        <f>INDEX(LINEST($X$4:$X$19,$O$4:$O$19^{1,2}),3)</f>
        <v>-4.2312897208109457E-3</v>
      </c>
      <c r="Y67" s="32"/>
      <c r="Z67" s="108"/>
      <c r="AA67" s="123">
        <f>INDEX(LINEST($X$71:$X$88,$O$71:$O$88^{1,2}),3)</f>
        <v>2.0111653701195102E-3</v>
      </c>
      <c r="AD67" s="45"/>
      <c r="AE67" s="290"/>
      <c r="AF67" s="290"/>
      <c r="AG67" s="290"/>
      <c r="AH67" s="290"/>
      <c r="AI67" s="290"/>
      <c r="AJ67" s="290"/>
      <c r="AK67" s="290"/>
      <c r="AL67" s="290"/>
      <c r="AM67" s="290"/>
      <c r="AN67" s="290"/>
      <c r="AO67" s="290"/>
      <c r="AP67" s="290"/>
      <c r="AQ67" s="290"/>
      <c r="AR67" s="290"/>
      <c r="AS67" s="290"/>
      <c r="AT67" s="290"/>
      <c r="AU67" s="290"/>
      <c r="AV67" s="290"/>
      <c r="AW67" s="45"/>
      <c r="AX67" s="30"/>
      <c r="AY67" s="30"/>
      <c r="AZ67" s="30"/>
      <c r="BA67" s="30"/>
      <c r="BB67" s="30"/>
      <c r="BC67" s="30"/>
    </row>
    <row r="68" spans="3:55" x14ac:dyDescent="0.3"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30"/>
      <c r="AY68" s="30"/>
      <c r="AZ68" s="30"/>
      <c r="BA68" s="30"/>
      <c r="BB68" s="30"/>
      <c r="BC68" s="30"/>
    </row>
    <row r="69" spans="3:55" x14ac:dyDescent="0.3">
      <c r="AD69" s="45"/>
      <c r="AE69" s="290"/>
      <c r="AF69" s="290"/>
      <c r="AG69" s="290"/>
      <c r="AH69" s="290"/>
      <c r="AI69" s="290"/>
      <c r="AJ69" s="290"/>
      <c r="AK69" s="290"/>
      <c r="AL69" s="290"/>
      <c r="AM69" s="290"/>
      <c r="AN69" s="290"/>
      <c r="AO69" s="290"/>
      <c r="AP69" s="290"/>
      <c r="AQ69" s="290"/>
      <c r="AR69" s="290"/>
      <c r="AS69" s="290"/>
      <c r="AT69" s="290"/>
      <c r="AU69" s="290"/>
      <c r="AV69" s="290"/>
      <c r="AW69" s="45"/>
      <c r="AX69" s="30"/>
      <c r="AY69" s="30"/>
      <c r="AZ69" s="30"/>
      <c r="BA69" s="30"/>
      <c r="BB69" s="30"/>
      <c r="BC69" s="30"/>
    </row>
    <row r="70" spans="3:55" x14ac:dyDescent="0.3">
      <c r="C70" t="s">
        <v>116</v>
      </c>
      <c r="V70" t="s">
        <v>89</v>
      </c>
      <c r="W70" t="s">
        <v>150</v>
      </c>
      <c r="X70" t="s">
        <v>151</v>
      </c>
    </row>
    <row r="71" spans="3:55" x14ac:dyDescent="0.3">
      <c r="C71" s="113">
        <f t="shared" ref="C71:C76" si="57">D71/180+1</f>
        <v>1.0611111111111111</v>
      </c>
      <c r="D71" s="142">
        <v>11</v>
      </c>
      <c r="E71" s="142"/>
      <c r="F71" s="142">
        <v>13.68</v>
      </c>
      <c r="G71" s="142">
        <v>0.6</v>
      </c>
      <c r="H71" s="142">
        <v>6860</v>
      </c>
      <c r="I71" s="143"/>
      <c r="J71" s="2">
        <f t="shared" ref="J71:J88" si="58">F71*G71</f>
        <v>8.2080000000000002</v>
      </c>
      <c r="K71" s="1">
        <f t="shared" ref="K71:K88" si="59">D71</f>
        <v>11</v>
      </c>
      <c r="L71" s="1">
        <f>LN(K71)</f>
        <v>2.3978952727983707</v>
      </c>
      <c r="M71" s="3">
        <f t="shared" ref="M71:M88" si="60">1/H71/0.000001</f>
        <v>145.77259475218659</v>
      </c>
      <c r="N71" s="3"/>
      <c r="O71" s="3">
        <f t="shared" ref="O71:O86" si="61">M71*60/$X$33</f>
        <v>8746.3556851311951</v>
      </c>
      <c r="P71" s="3">
        <f t="shared" ref="P71:P86" si="62">N71*60/$X$33</f>
        <v>0</v>
      </c>
      <c r="Q71" s="3">
        <f t="shared" ref="Q71:Q86" si="63">O71/$X$44*100</f>
        <v>18.980806608357629</v>
      </c>
      <c r="R71" s="3">
        <f t="shared" ref="R71:R86" si="64">P71/$X$44*100</f>
        <v>0</v>
      </c>
      <c r="S71" s="3">
        <f>K71</f>
        <v>11</v>
      </c>
      <c r="T71" s="4">
        <f>J71</f>
        <v>8.2080000000000002</v>
      </c>
      <c r="U71" s="4"/>
      <c r="V71">
        <f>(T71-$T$3)*0.001341022</f>
        <v>5.0395070351200002E-3</v>
      </c>
      <c r="W71" s="137">
        <f>$V71/$O71*5252</f>
        <v>3.0261164651061443E-3</v>
      </c>
      <c r="X71" s="150">
        <f>W71-$W$71</f>
        <v>0</v>
      </c>
      <c r="Y71">
        <f t="shared" ref="Y71:Y88" si="65">-X71/2/O71</f>
        <v>0</v>
      </c>
    </row>
    <row r="72" spans="3:55" x14ac:dyDescent="0.3">
      <c r="C72" s="113">
        <f t="shared" si="57"/>
        <v>1.0833333333333333</v>
      </c>
      <c r="D72" s="142">
        <v>15</v>
      </c>
      <c r="E72" s="142"/>
      <c r="F72" s="142">
        <v>13.66</v>
      </c>
      <c r="G72" s="142">
        <v>0.65100000000000002</v>
      </c>
      <c r="H72" s="142">
        <v>6180</v>
      </c>
      <c r="I72" s="143"/>
      <c r="J72" s="2">
        <f t="shared" si="58"/>
        <v>8.8926600000000011</v>
      </c>
      <c r="K72" s="1">
        <f t="shared" si="59"/>
        <v>15</v>
      </c>
      <c r="L72" s="1">
        <f>LN(K72)</f>
        <v>2.7080502011022101</v>
      </c>
      <c r="M72" s="3">
        <f t="shared" si="60"/>
        <v>161.81229773462783</v>
      </c>
      <c r="N72" s="3"/>
      <c r="O72" s="3">
        <f t="shared" si="61"/>
        <v>9708.7378640776697</v>
      </c>
      <c r="P72" s="3">
        <f t="shared" si="62"/>
        <v>0</v>
      </c>
      <c r="Q72" s="3">
        <f t="shared" si="63"/>
        <v>21.069309600862997</v>
      </c>
      <c r="R72" s="3">
        <f t="shared" si="64"/>
        <v>0</v>
      </c>
      <c r="S72" s="3">
        <f>K72</f>
        <v>15</v>
      </c>
      <c r="T72" s="4">
        <f>J72</f>
        <v>8.8926600000000011</v>
      </c>
      <c r="U72" s="4"/>
      <c r="V72">
        <f t="shared" ref="V72:V88" si="66">(T72-$T$3)*0.001341022</f>
        <v>5.9576511576400013E-3</v>
      </c>
      <c r="W72" s="127">
        <f>$V72/$O72*5252</f>
        <v>3.2228271396323046E-3</v>
      </c>
      <c r="X72" s="150">
        <f t="shared" ref="X72:X88" si="67">W72-$W$71</f>
        <v>1.967106745261603E-4</v>
      </c>
      <c r="Y72">
        <f t="shared" si="65"/>
        <v>-1.0130599738097255E-8</v>
      </c>
    </row>
    <row r="73" spans="3:55" x14ac:dyDescent="0.3">
      <c r="C73" s="113">
        <f t="shared" si="57"/>
        <v>1.0666666666666667</v>
      </c>
      <c r="D73" s="142">
        <v>12</v>
      </c>
      <c r="E73" s="142"/>
      <c r="F73" s="142">
        <v>13.63</v>
      </c>
      <c r="G73" s="142">
        <v>0.68</v>
      </c>
      <c r="H73" s="142">
        <v>5840</v>
      </c>
      <c r="I73" s="143"/>
      <c r="J73" s="2">
        <f t="shared" si="58"/>
        <v>9.2684000000000015</v>
      </c>
      <c r="K73" s="1">
        <f t="shared" si="59"/>
        <v>12</v>
      </c>
      <c r="L73" s="1">
        <f>LN(K73)</f>
        <v>2.4849066497880004</v>
      </c>
      <c r="M73" s="3">
        <f t="shared" si="60"/>
        <v>171.23287671232879</v>
      </c>
      <c r="N73" s="3"/>
      <c r="O73" s="3">
        <f t="shared" si="61"/>
        <v>10273.972602739726</v>
      </c>
      <c r="P73" s="3">
        <f t="shared" si="62"/>
        <v>0</v>
      </c>
      <c r="Q73" s="3">
        <f t="shared" si="63"/>
        <v>22.295947488584474</v>
      </c>
      <c r="R73" s="3">
        <f t="shared" si="64"/>
        <v>0</v>
      </c>
      <c r="S73" s="3">
        <f>K73</f>
        <v>12</v>
      </c>
      <c r="T73" s="4">
        <f>J73</f>
        <v>9.2684000000000015</v>
      </c>
      <c r="U73" s="4"/>
      <c r="V73">
        <f t="shared" si="66"/>
        <v>6.4615267639200015E-3</v>
      </c>
      <c r="W73" s="127">
        <f t="shared" ref="W73:W88" si="68">$V73/$O73*5252</f>
        <v>3.3030980202398302E-3</v>
      </c>
      <c r="X73" s="150">
        <f t="shared" si="67"/>
        <v>2.7698155513368591E-4</v>
      </c>
      <c r="Y73">
        <f t="shared" si="65"/>
        <v>-1.3479769016506046E-8</v>
      </c>
    </row>
    <row r="74" spans="3:55" x14ac:dyDescent="0.3">
      <c r="C74" s="113">
        <f t="shared" si="57"/>
        <v>1.0722222222222222</v>
      </c>
      <c r="D74" s="142">
        <v>13</v>
      </c>
      <c r="E74" s="142"/>
      <c r="F74" s="142">
        <v>13.6</v>
      </c>
      <c r="G74" s="142">
        <v>0.74</v>
      </c>
      <c r="H74" s="142">
        <v>5280</v>
      </c>
      <c r="I74" s="143"/>
      <c r="J74" s="2">
        <f t="shared" si="58"/>
        <v>10.064</v>
      </c>
      <c r="K74" s="1">
        <f t="shared" si="59"/>
        <v>13</v>
      </c>
      <c r="L74" s="1">
        <f>LN(K74)</f>
        <v>2.5649493574615367</v>
      </c>
      <c r="M74" s="3">
        <f t="shared" si="60"/>
        <v>189.39393939393941</v>
      </c>
      <c r="N74" s="3"/>
      <c r="O74" s="3">
        <f t="shared" si="61"/>
        <v>11363.636363636364</v>
      </c>
      <c r="P74" s="3">
        <f t="shared" si="62"/>
        <v>0</v>
      </c>
      <c r="Q74" s="3">
        <f t="shared" si="63"/>
        <v>24.660669191919194</v>
      </c>
      <c r="R74" s="3">
        <f t="shared" si="64"/>
        <v>0</v>
      </c>
      <c r="S74" s="3">
        <f>K74</f>
        <v>13</v>
      </c>
      <c r="T74" s="4">
        <f>J74</f>
        <v>10.064</v>
      </c>
      <c r="U74" s="4"/>
      <c r="V74">
        <f t="shared" si="66"/>
        <v>7.52844386712E-3</v>
      </c>
      <c r="W74" s="127">
        <f t="shared" si="68"/>
        <v>3.479466072730053E-3</v>
      </c>
      <c r="X74" s="150">
        <f t="shared" si="67"/>
        <v>4.5334960762390868E-4</v>
      </c>
      <c r="Y74">
        <f t="shared" si="65"/>
        <v>-1.9947382735451983E-8</v>
      </c>
    </row>
    <row r="75" spans="3:55" x14ac:dyDescent="0.3">
      <c r="C75" s="113">
        <f t="shared" si="57"/>
        <v>1.0777777777777777</v>
      </c>
      <c r="D75" s="142">
        <v>14</v>
      </c>
      <c r="E75" s="142"/>
      <c r="F75" s="142">
        <v>13.57</v>
      </c>
      <c r="G75" s="142">
        <v>0.78700000000000003</v>
      </c>
      <c r="H75" s="142">
        <v>4900</v>
      </c>
      <c r="I75" s="143"/>
      <c r="J75" s="2">
        <f t="shared" si="58"/>
        <v>10.679590000000001</v>
      </c>
      <c r="K75" s="1">
        <f t="shared" si="59"/>
        <v>14</v>
      </c>
      <c r="L75" s="1">
        <f>LN(K75)</f>
        <v>2.6390573296152584</v>
      </c>
      <c r="M75" s="3">
        <f t="shared" si="60"/>
        <v>204.08163265306123</v>
      </c>
      <c r="N75" s="3"/>
      <c r="O75" s="3">
        <f t="shared" si="61"/>
        <v>12244.897959183674</v>
      </c>
      <c r="P75" s="3">
        <f t="shared" si="62"/>
        <v>0</v>
      </c>
      <c r="Q75" s="3">
        <f t="shared" si="63"/>
        <v>26.573129251700685</v>
      </c>
      <c r="R75" s="3">
        <f t="shared" si="64"/>
        <v>0</v>
      </c>
      <c r="S75" s="3">
        <f>K75</f>
        <v>14</v>
      </c>
      <c r="T75" s="4">
        <f>J75</f>
        <v>10.679590000000001</v>
      </c>
      <c r="U75" s="4"/>
      <c r="V75">
        <f t="shared" si="66"/>
        <v>8.3539636001000016E-3</v>
      </c>
      <c r="W75" s="127">
        <f t="shared" si="68"/>
        <v>3.5831263742642254E-3</v>
      </c>
      <c r="X75" s="150">
        <f t="shared" si="67"/>
        <v>5.5700990915808109E-4</v>
      </c>
      <c r="Y75">
        <f t="shared" si="65"/>
        <v>-2.2744571290621641E-8</v>
      </c>
    </row>
    <row r="76" spans="3:55" x14ac:dyDescent="0.3">
      <c r="C76" s="113">
        <f t="shared" si="57"/>
        <v>1.1111111111111112</v>
      </c>
      <c r="D76" s="142">
        <v>20</v>
      </c>
      <c r="E76" s="142"/>
      <c r="F76" s="142">
        <v>13.77</v>
      </c>
      <c r="G76" s="142">
        <v>0.92900000000000005</v>
      </c>
      <c r="H76" s="142">
        <v>3500</v>
      </c>
      <c r="I76" s="143"/>
      <c r="J76" s="2">
        <f t="shared" si="58"/>
        <v>12.79233</v>
      </c>
      <c r="K76" s="1">
        <f t="shared" si="59"/>
        <v>20</v>
      </c>
      <c r="L76" s="1">
        <f t="shared" ref="L76:L88" si="69">LN(K76)</f>
        <v>2.9957322735539909</v>
      </c>
      <c r="M76" s="3">
        <f t="shared" si="60"/>
        <v>285.71428571428572</v>
      </c>
      <c r="N76" s="3"/>
      <c r="O76" s="3">
        <f t="shared" si="61"/>
        <v>17142.857142857145</v>
      </c>
      <c r="P76" s="3">
        <f t="shared" si="62"/>
        <v>0</v>
      </c>
      <c r="Q76" s="3">
        <f t="shared" si="63"/>
        <v>37.202380952380956</v>
      </c>
      <c r="R76" s="3">
        <f t="shared" si="64"/>
        <v>0</v>
      </c>
      <c r="S76" s="3">
        <f t="shared" ref="S76:S88" si="70">K76</f>
        <v>20</v>
      </c>
      <c r="T76" s="4">
        <f t="shared" ref="T76:T88" si="71">J76</f>
        <v>12.79233</v>
      </c>
      <c r="U76" s="4"/>
      <c r="V76">
        <f t="shared" si="66"/>
        <v>1.1187194420379999E-2</v>
      </c>
      <c r="W76" s="127">
        <f t="shared" si="68"/>
        <v>3.4273834639237518E-3</v>
      </c>
      <c r="X76" s="150">
        <f t="shared" si="67"/>
        <v>4.0126699881760756E-4</v>
      </c>
      <c r="Y76">
        <f t="shared" si="65"/>
        <v>-1.1703620798846885E-8</v>
      </c>
    </row>
    <row r="77" spans="3:55" x14ac:dyDescent="0.3">
      <c r="C77" s="113">
        <f t="shared" ref="C77:C88" si="72">D77/180+1</f>
        <v>1.1388888888888888</v>
      </c>
      <c r="D77" s="142">
        <v>25</v>
      </c>
      <c r="E77" s="142"/>
      <c r="F77" s="142">
        <v>13.74</v>
      </c>
      <c r="G77" s="142">
        <v>1.26</v>
      </c>
      <c r="H77" s="142">
        <v>3010</v>
      </c>
      <c r="I77" s="142"/>
      <c r="J77" s="2">
        <f t="shared" si="58"/>
        <v>17.3124</v>
      </c>
      <c r="K77" s="1">
        <f t="shared" si="59"/>
        <v>25</v>
      </c>
      <c r="L77" s="1">
        <f t="shared" si="69"/>
        <v>3.2188758248682006</v>
      </c>
      <c r="M77" s="3">
        <f t="shared" si="60"/>
        <v>332.22591362126246</v>
      </c>
      <c r="N77" s="3"/>
      <c r="O77" s="3">
        <f t="shared" si="61"/>
        <v>19933.554817275748</v>
      </c>
      <c r="P77" s="3">
        <f t="shared" si="62"/>
        <v>0</v>
      </c>
      <c r="Q77" s="3">
        <f t="shared" si="63"/>
        <v>43.258582502768547</v>
      </c>
      <c r="R77" s="3">
        <f t="shared" si="64"/>
        <v>0</v>
      </c>
      <c r="S77" s="3">
        <f t="shared" si="70"/>
        <v>25</v>
      </c>
      <c r="T77" s="4">
        <f t="shared" si="71"/>
        <v>17.3124</v>
      </c>
      <c r="U77" s="4"/>
      <c r="V77">
        <f t="shared" si="66"/>
        <v>1.7248707731919999E-2</v>
      </c>
      <c r="W77" s="127">
        <f t="shared" si="68"/>
        <v>4.5446090192368654E-3</v>
      </c>
      <c r="X77" s="150">
        <f t="shared" si="67"/>
        <v>1.5184925541307211E-3</v>
      </c>
      <c r="Y77">
        <f t="shared" si="65"/>
        <v>-3.8088854899445583E-8</v>
      </c>
    </row>
    <row r="78" spans="3:55" x14ac:dyDescent="0.3">
      <c r="C78" s="113">
        <f t="shared" si="72"/>
        <v>1.1666666666666667</v>
      </c>
      <c r="D78" s="142">
        <v>30</v>
      </c>
      <c r="E78" s="142"/>
      <c r="F78" s="142">
        <v>13.72</v>
      </c>
      <c r="G78" s="142">
        <v>1.734</v>
      </c>
      <c r="H78" s="142">
        <v>2650</v>
      </c>
      <c r="I78" s="142"/>
      <c r="J78" s="2">
        <f t="shared" si="58"/>
        <v>23.790480000000002</v>
      </c>
      <c r="K78" s="1">
        <f t="shared" si="59"/>
        <v>30</v>
      </c>
      <c r="L78" s="1">
        <f t="shared" si="69"/>
        <v>3.4011973816621555</v>
      </c>
      <c r="M78" s="3">
        <f t="shared" si="60"/>
        <v>377.35849056603774</v>
      </c>
      <c r="N78" s="3"/>
      <c r="O78" s="3">
        <f t="shared" si="61"/>
        <v>22641.509433962266</v>
      </c>
      <c r="P78" s="3">
        <f t="shared" si="62"/>
        <v>0</v>
      </c>
      <c r="Q78" s="3">
        <f t="shared" si="63"/>
        <v>49.135220125786169</v>
      </c>
      <c r="R78" s="3">
        <f t="shared" si="64"/>
        <v>0</v>
      </c>
      <c r="S78" s="3">
        <f t="shared" si="70"/>
        <v>30</v>
      </c>
      <c r="T78" s="4">
        <f t="shared" si="71"/>
        <v>23.790480000000002</v>
      </c>
      <c r="U78" s="4"/>
      <c r="V78">
        <f t="shared" si="66"/>
        <v>2.5935955529680001E-2</v>
      </c>
      <c r="W78" s="127">
        <f t="shared" si="68"/>
        <v>6.0161906978496715E-3</v>
      </c>
      <c r="X78" s="150">
        <f t="shared" si="67"/>
        <v>2.9900742327435273E-3</v>
      </c>
      <c r="Y78">
        <f t="shared" si="65"/>
        <v>-6.6030805973086218E-8</v>
      </c>
    </row>
    <row r="79" spans="3:55" x14ac:dyDescent="0.3">
      <c r="C79" s="113">
        <f t="shared" si="72"/>
        <v>1.1944444444444444</v>
      </c>
      <c r="D79" s="142">
        <v>35</v>
      </c>
      <c r="E79" s="142"/>
      <c r="F79" s="142">
        <v>13.69</v>
      </c>
      <c r="G79" s="142">
        <v>2.113</v>
      </c>
      <c r="H79" s="142">
        <v>2500</v>
      </c>
      <c r="I79" s="142"/>
      <c r="J79" s="2">
        <f t="shared" si="58"/>
        <v>28.926969999999997</v>
      </c>
      <c r="K79" s="1">
        <f t="shared" si="59"/>
        <v>35</v>
      </c>
      <c r="L79" s="1">
        <f t="shared" si="69"/>
        <v>3.5553480614894135</v>
      </c>
      <c r="M79" s="3">
        <f t="shared" si="60"/>
        <v>400.00000000000006</v>
      </c>
      <c r="N79" s="3"/>
      <c r="O79" s="3">
        <f t="shared" si="61"/>
        <v>24000.000000000004</v>
      </c>
      <c r="P79" s="3">
        <f t="shared" si="62"/>
        <v>0</v>
      </c>
      <c r="Q79" s="3">
        <f t="shared" si="63"/>
        <v>52.083333333333336</v>
      </c>
      <c r="R79" s="3">
        <f t="shared" si="64"/>
        <v>0</v>
      </c>
      <c r="S79" s="3">
        <f t="shared" si="70"/>
        <v>35</v>
      </c>
      <c r="T79" s="4">
        <f t="shared" si="71"/>
        <v>28.926969999999997</v>
      </c>
      <c r="U79" s="4"/>
      <c r="V79">
        <f t="shared" si="66"/>
        <v>3.2824101622459995E-2</v>
      </c>
      <c r="W79" s="127">
        <f t="shared" si="68"/>
        <v>7.1830075717149939E-3</v>
      </c>
      <c r="X79" s="150">
        <f t="shared" si="67"/>
        <v>4.1568911066088496E-3</v>
      </c>
      <c r="Y79">
        <f t="shared" si="65"/>
        <v>-8.6601898054351018E-8</v>
      </c>
    </row>
    <row r="80" spans="3:55" x14ac:dyDescent="0.3">
      <c r="C80" s="113">
        <f t="shared" si="72"/>
        <v>1.2222222222222223</v>
      </c>
      <c r="D80" s="142">
        <v>40</v>
      </c>
      <c r="E80" s="142"/>
      <c r="F80" s="142">
        <v>13.66</v>
      </c>
      <c r="G80" s="142">
        <v>2.37</v>
      </c>
      <c r="H80" s="142">
        <v>2270</v>
      </c>
      <c r="I80" s="142"/>
      <c r="J80" s="2">
        <f t="shared" si="58"/>
        <v>32.374200000000002</v>
      </c>
      <c r="K80" s="1">
        <f t="shared" si="59"/>
        <v>40</v>
      </c>
      <c r="L80" s="1">
        <f t="shared" si="69"/>
        <v>3.6888794541139363</v>
      </c>
      <c r="M80" s="3">
        <f t="shared" si="60"/>
        <v>440.52863436123351</v>
      </c>
      <c r="N80" s="3"/>
      <c r="O80" s="3">
        <f t="shared" si="61"/>
        <v>26431.718061674012</v>
      </c>
      <c r="P80" s="3">
        <f t="shared" si="62"/>
        <v>0</v>
      </c>
      <c r="Q80" s="3">
        <f t="shared" si="63"/>
        <v>57.360499265785613</v>
      </c>
      <c r="R80" s="3">
        <f t="shared" si="64"/>
        <v>0</v>
      </c>
      <c r="S80" s="3">
        <f t="shared" si="70"/>
        <v>40</v>
      </c>
      <c r="T80" s="4">
        <f t="shared" si="71"/>
        <v>32.374200000000002</v>
      </c>
      <c r="U80" s="4"/>
      <c r="V80">
        <f t="shared" si="66"/>
        <v>3.7446912891520003E-2</v>
      </c>
      <c r="W80" s="127">
        <f t="shared" si="68"/>
        <v>7.4407265561536179E-3</v>
      </c>
      <c r="X80" s="150">
        <f t="shared" si="67"/>
        <v>4.4146100910474736E-3</v>
      </c>
      <c r="Y80">
        <f t="shared" si="65"/>
        <v>-8.3509707555648035E-8</v>
      </c>
    </row>
    <row r="81" spans="3:25" x14ac:dyDescent="0.3">
      <c r="C81" s="113">
        <f t="shared" si="72"/>
        <v>1.2777777777777777</v>
      </c>
      <c r="D81" s="142">
        <v>50</v>
      </c>
      <c r="E81" s="142"/>
      <c r="F81" s="142">
        <v>13.6</v>
      </c>
      <c r="G81" s="142">
        <v>3.1</v>
      </c>
      <c r="H81" s="142">
        <v>2020</v>
      </c>
      <c r="I81" s="142"/>
      <c r="J81" s="2">
        <f t="shared" si="58"/>
        <v>42.16</v>
      </c>
      <c r="K81" s="1">
        <f t="shared" si="59"/>
        <v>50</v>
      </c>
      <c r="L81" s="1">
        <f t="shared" si="69"/>
        <v>3.912023005428146</v>
      </c>
      <c r="M81" s="3">
        <f t="shared" si="60"/>
        <v>495.04950495049508</v>
      </c>
      <c r="N81" s="3"/>
      <c r="O81" s="3">
        <f t="shared" si="61"/>
        <v>29702.970297029704</v>
      </c>
      <c r="P81" s="3">
        <f t="shared" si="62"/>
        <v>0</v>
      </c>
      <c r="Q81" s="3">
        <f t="shared" si="63"/>
        <v>64.459570957095707</v>
      </c>
      <c r="R81" s="3">
        <f t="shared" si="64"/>
        <v>0</v>
      </c>
      <c r="S81" s="3">
        <f t="shared" si="70"/>
        <v>50</v>
      </c>
      <c r="T81" s="4">
        <f t="shared" si="71"/>
        <v>42.16</v>
      </c>
      <c r="U81" s="4"/>
      <c r="V81">
        <f t="shared" si="66"/>
        <v>5.0569885979119995E-2</v>
      </c>
      <c r="W81" s="127">
        <f t="shared" si="68"/>
        <v>8.9416323857987191E-3</v>
      </c>
      <c r="X81" s="150">
        <f t="shared" si="67"/>
        <v>5.9155159206925748E-3</v>
      </c>
      <c r="Y81">
        <f t="shared" si="65"/>
        <v>-9.957785133165834E-8</v>
      </c>
    </row>
    <row r="82" spans="3:25" x14ac:dyDescent="0.3">
      <c r="C82" s="113">
        <f t="shared" si="72"/>
        <v>1.3333333333333333</v>
      </c>
      <c r="D82" s="142">
        <v>60</v>
      </c>
      <c r="E82" s="142"/>
      <c r="F82" s="142">
        <v>13.52</v>
      </c>
      <c r="G82" s="142">
        <v>3.9</v>
      </c>
      <c r="H82" s="142">
        <v>1870</v>
      </c>
      <c r="I82" s="142"/>
      <c r="J82" s="2">
        <f t="shared" si="58"/>
        <v>52.727999999999994</v>
      </c>
      <c r="K82" s="1">
        <f t="shared" si="59"/>
        <v>60</v>
      </c>
      <c r="L82" s="1">
        <f t="shared" si="69"/>
        <v>4.0943445622221004</v>
      </c>
      <c r="M82" s="3">
        <f t="shared" si="60"/>
        <v>534.75935828877004</v>
      </c>
      <c r="N82" s="3"/>
      <c r="O82" s="3">
        <f t="shared" si="61"/>
        <v>32085.561497326202</v>
      </c>
      <c r="P82" s="3">
        <f t="shared" si="62"/>
        <v>0</v>
      </c>
      <c r="Q82" s="3">
        <f t="shared" si="63"/>
        <v>69.630124777183596</v>
      </c>
      <c r="R82" s="3">
        <f t="shared" si="64"/>
        <v>0</v>
      </c>
      <c r="S82" s="3">
        <f t="shared" si="70"/>
        <v>60</v>
      </c>
      <c r="T82" s="4">
        <f t="shared" si="71"/>
        <v>52.727999999999994</v>
      </c>
      <c r="U82" s="4"/>
      <c r="V82">
        <f t="shared" si="66"/>
        <v>6.4741806475119998E-2</v>
      </c>
      <c r="W82" s="127">
        <f t="shared" si="68"/>
        <v>1.0597413657095125E-2</v>
      </c>
      <c r="X82" s="150">
        <f t="shared" si="67"/>
        <v>7.5712971919889805E-3</v>
      </c>
      <c r="Y82">
        <f t="shared" si="65"/>
        <v>-1.1798604790849495E-7</v>
      </c>
    </row>
    <row r="83" spans="3:25" x14ac:dyDescent="0.3">
      <c r="C83" s="113">
        <f t="shared" si="72"/>
        <v>1.4166666666666667</v>
      </c>
      <c r="D83" s="142">
        <v>75</v>
      </c>
      <c r="E83" s="142"/>
      <c r="F83" s="142">
        <v>13.2</v>
      </c>
      <c r="G83" s="142">
        <v>4.92</v>
      </c>
      <c r="H83" s="142">
        <v>1650</v>
      </c>
      <c r="I83" s="142"/>
      <c r="J83" s="2">
        <f t="shared" si="58"/>
        <v>64.944000000000003</v>
      </c>
      <c r="K83" s="1">
        <f t="shared" si="59"/>
        <v>75</v>
      </c>
      <c r="L83" s="1">
        <f t="shared" si="69"/>
        <v>4.3174881135363101</v>
      </c>
      <c r="M83" s="3">
        <f t="shared" si="60"/>
        <v>606.06060606060612</v>
      </c>
      <c r="N83" s="3"/>
      <c r="O83" s="3">
        <f t="shared" si="61"/>
        <v>36363.636363636368</v>
      </c>
      <c r="P83" s="3">
        <f t="shared" si="62"/>
        <v>0</v>
      </c>
      <c r="Q83" s="3">
        <f t="shared" si="63"/>
        <v>78.914141414141426</v>
      </c>
      <c r="R83" s="3">
        <f t="shared" si="64"/>
        <v>0</v>
      </c>
      <c r="S83" s="3">
        <f t="shared" si="70"/>
        <v>75</v>
      </c>
      <c r="T83" s="4">
        <f t="shared" si="71"/>
        <v>64.944000000000003</v>
      </c>
      <c r="U83" s="4"/>
      <c r="V83">
        <f t="shared" si="66"/>
        <v>8.1123731227120008E-2</v>
      </c>
      <c r="W83" s="127">
        <f t="shared" si="68"/>
        <v>1.1716700501132942E-2</v>
      </c>
      <c r="X83" s="150">
        <f t="shared" si="67"/>
        <v>8.6905840360267973E-3</v>
      </c>
      <c r="Y83">
        <f t="shared" si="65"/>
        <v>-1.1949553049536844E-7</v>
      </c>
    </row>
    <row r="84" spans="3:25" x14ac:dyDescent="0.3">
      <c r="C84" s="113">
        <f t="shared" si="72"/>
        <v>1.5</v>
      </c>
      <c r="D84" s="142">
        <v>90</v>
      </c>
      <c r="E84" s="142"/>
      <c r="F84" s="142">
        <v>13.31</v>
      </c>
      <c r="G84" s="142">
        <v>6.12</v>
      </c>
      <c r="H84" s="142">
        <v>1510</v>
      </c>
      <c r="I84" s="142"/>
      <c r="J84" s="2">
        <f t="shared" si="58"/>
        <v>81.4572</v>
      </c>
      <c r="K84" s="1">
        <f t="shared" si="59"/>
        <v>90</v>
      </c>
      <c r="L84" s="1">
        <f t="shared" si="69"/>
        <v>4.499809670330265</v>
      </c>
      <c r="M84" s="3">
        <f t="shared" si="60"/>
        <v>662.25165562913912</v>
      </c>
      <c r="N84" s="3"/>
      <c r="O84" s="3">
        <f t="shared" si="61"/>
        <v>39735.099337748346</v>
      </c>
      <c r="P84" s="3">
        <f t="shared" si="62"/>
        <v>0</v>
      </c>
      <c r="Q84" s="3">
        <f t="shared" si="63"/>
        <v>86.230684326710815</v>
      </c>
      <c r="R84" s="3">
        <f t="shared" si="64"/>
        <v>0</v>
      </c>
      <c r="S84" s="3">
        <f t="shared" si="70"/>
        <v>90</v>
      </c>
      <c r="T84" s="4">
        <f t="shared" si="71"/>
        <v>81.4572</v>
      </c>
      <c r="U84" s="4"/>
      <c r="V84">
        <f t="shared" si="66"/>
        <v>0.10326829571752001</v>
      </c>
      <c r="W84" s="127">
        <f t="shared" si="68"/>
        <v>1.3649521409228446E-2</v>
      </c>
      <c r="X84" s="150">
        <f t="shared" si="67"/>
        <v>1.0623404944122301E-2</v>
      </c>
      <c r="Y84">
        <f t="shared" si="65"/>
        <v>-1.3367784554687227E-7</v>
      </c>
    </row>
    <row r="85" spans="3:25" x14ac:dyDescent="0.3">
      <c r="C85" s="113">
        <f t="shared" si="72"/>
        <v>1.6055555555555556</v>
      </c>
      <c r="D85" s="142">
        <v>109</v>
      </c>
      <c r="E85" s="142"/>
      <c r="F85" s="142">
        <v>12.93</v>
      </c>
      <c r="G85" s="142">
        <v>7.27</v>
      </c>
      <c r="H85" s="142">
        <v>1470</v>
      </c>
      <c r="I85" s="142"/>
      <c r="J85" s="2">
        <f t="shared" si="58"/>
        <v>94.001099999999994</v>
      </c>
      <c r="K85" s="1">
        <f t="shared" si="59"/>
        <v>109</v>
      </c>
      <c r="L85" s="1">
        <f t="shared" si="69"/>
        <v>4.6913478822291435</v>
      </c>
      <c r="M85" s="3">
        <f t="shared" si="60"/>
        <v>680.27210884353735</v>
      </c>
      <c r="N85" s="3"/>
      <c r="O85" s="3">
        <f t="shared" si="61"/>
        <v>40816.326530612241</v>
      </c>
      <c r="P85" s="3">
        <f t="shared" si="62"/>
        <v>0</v>
      </c>
      <c r="Q85" s="3">
        <f t="shared" si="63"/>
        <v>88.577097505668917</v>
      </c>
      <c r="R85" s="3">
        <f t="shared" si="64"/>
        <v>0</v>
      </c>
      <c r="S85" s="3">
        <f t="shared" si="70"/>
        <v>109</v>
      </c>
      <c r="T85" s="4">
        <f t="shared" si="71"/>
        <v>94.001099999999994</v>
      </c>
      <c r="U85" s="4"/>
      <c r="V85">
        <f t="shared" si="66"/>
        <v>0.12008994158332</v>
      </c>
      <c r="W85" s="127">
        <f t="shared" si="68"/>
        <v>1.5452453143292119E-2</v>
      </c>
      <c r="X85" s="150">
        <f t="shared" si="67"/>
        <v>1.2426336678185976E-2</v>
      </c>
      <c r="Y85">
        <f t="shared" si="65"/>
        <v>-1.5222262430777822E-7</v>
      </c>
    </row>
    <row r="86" spans="3:25" ht="15" thickBot="1" x14ac:dyDescent="0.35">
      <c r="C86" s="116">
        <f t="shared" si="72"/>
        <v>1.7222222222222223</v>
      </c>
      <c r="D86" s="142">
        <v>130</v>
      </c>
      <c r="E86" s="142"/>
      <c r="F86" s="142">
        <v>13.08</v>
      </c>
      <c r="G86" s="142">
        <v>8.9600000000000009</v>
      </c>
      <c r="H86" s="142">
        <v>1380</v>
      </c>
      <c r="I86" s="142"/>
      <c r="J86" s="2">
        <f t="shared" si="58"/>
        <v>117.19680000000001</v>
      </c>
      <c r="K86" s="1">
        <f t="shared" si="59"/>
        <v>130</v>
      </c>
      <c r="L86" s="1">
        <f t="shared" si="69"/>
        <v>4.8675344504555822</v>
      </c>
      <c r="M86" s="3">
        <f t="shared" si="60"/>
        <v>724.63768115942037</v>
      </c>
      <c r="N86" s="3"/>
      <c r="O86" s="3">
        <f t="shared" si="61"/>
        <v>43478.260869565223</v>
      </c>
      <c r="P86" s="3">
        <f t="shared" si="62"/>
        <v>0</v>
      </c>
      <c r="Q86" s="3">
        <f t="shared" si="63"/>
        <v>94.353864734299535</v>
      </c>
      <c r="R86" s="3">
        <f t="shared" si="64"/>
        <v>0</v>
      </c>
      <c r="S86" s="3">
        <f t="shared" si="70"/>
        <v>130</v>
      </c>
      <c r="T86" s="4">
        <f t="shared" si="71"/>
        <v>117.19680000000001</v>
      </c>
      <c r="U86" s="4"/>
      <c r="V86">
        <f t="shared" si="66"/>
        <v>0.15119588558872002</v>
      </c>
      <c r="W86" s="127">
        <f t="shared" si="68"/>
        <v>1.8263858195575022E-2</v>
      </c>
      <c r="X86" s="150">
        <f t="shared" si="67"/>
        <v>1.5237741730468879E-2</v>
      </c>
      <c r="Y86">
        <f t="shared" si="65"/>
        <v>-1.7523402990039207E-7</v>
      </c>
    </row>
    <row r="87" spans="3:25" x14ac:dyDescent="0.3">
      <c r="C87" s="144">
        <f t="shared" si="72"/>
        <v>1.8277777777777777</v>
      </c>
      <c r="D87" s="142">
        <v>149</v>
      </c>
      <c r="E87" s="142"/>
      <c r="F87" s="142">
        <v>12.95</v>
      </c>
      <c r="G87" s="142">
        <v>10.8</v>
      </c>
      <c r="H87" s="142">
        <v>1310</v>
      </c>
      <c r="I87" s="142"/>
      <c r="J87" s="1">
        <f t="shared" si="58"/>
        <v>139.86000000000001</v>
      </c>
      <c r="K87" s="1">
        <f t="shared" si="59"/>
        <v>149</v>
      </c>
      <c r="L87" s="1">
        <f t="shared" si="69"/>
        <v>5.0039463059454592</v>
      </c>
      <c r="M87" s="1">
        <f t="shared" si="60"/>
        <v>763.35877862595419</v>
      </c>
      <c r="O87" s="1">
        <f>M87*60/$X$33</f>
        <v>45801.526717557252</v>
      </c>
      <c r="Q87" s="1">
        <f>O87/$X$44*100</f>
        <v>99.395674300254456</v>
      </c>
      <c r="S87" s="1">
        <f t="shared" si="70"/>
        <v>149</v>
      </c>
      <c r="T87" s="4">
        <f t="shared" si="71"/>
        <v>139.86000000000001</v>
      </c>
      <c r="U87" s="4"/>
      <c r="V87">
        <f t="shared" si="66"/>
        <v>0.18158773537912004</v>
      </c>
      <c r="W87" s="127">
        <f t="shared" si="68"/>
        <v>2.0822423498943188E-2</v>
      </c>
      <c r="X87" s="150">
        <f t="shared" si="67"/>
        <v>1.7796307033837045E-2</v>
      </c>
      <c r="Y87">
        <f t="shared" si="65"/>
        <v>-1.942763517860544E-7</v>
      </c>
    </row>
    <row r="88" spans="3:25" x14ac:dyDescent="0.3">
      <c r="C88" s="144">
        <f t="shared" si="72"/>
        <v>1.911111111111111</v>
      </c>
      <c r="D88" s="142">
        <v>164</v>
      </c>
      <c r="E88" s="142"/>
      <c r="F88" s="142">
        <v>12.75</v>
      </c>
      <c r="G88" s="142">
        <v>13.9</v>
      </c>
      <c r="H88" s="142">
        <v>1252</v>
      </c>
      <c r="I88" s="142"/>
      <c r="J88" s="1">
        <f t="shared" si="58"/>
        <v>177.22499999999999</v>
      </c>
      <c r="K88" s="1">
        <f t="shared" si="59"/>
        <v>164</v>
      </c>
      <c r="L88" s="1">
        <f t="shared" si="69"/>
        <v>5.0998664278241987</v>
      </c>
      <c r="M88" s="1">
        <f t="shared" si="60"/>
        <v>798.72204472843453</v>
      </c>
      <c r="O88" s="1">
        <f>M88*60/$X$33</f>
        <v>47923.322683706072</v>
      </c>
      <c r="Q88" s="1">
        <f>O88/$X$44*100</f>
        <v>104.00026624068157</v>
      </c>
      <c r="S88" s="1">
        <f t="shared" si="70"/>
        <v>164</v>
      </c>
      <c r="T88" s="4">
        <f t="shared" si="71"/>
        <v>177.22499999999999</v>
      </c>
      <c r="U88" s="4"/>
      <c r="V88">
        <f t="shared" si="66"/>
        <v>0.23169502240912002</v>
      </c>
      <c r="W88" s="127">
        <f t="shared" si="68"/>
        <v>2.539185911052097E-2</v>
      </c>
      <c r="X88" s="150">
        <f t="shared" si="67"/>
        <v>2.2365742645414827E-2</v>
      </c>
      <c r="Y88">
        <f t="shared" si="65"/>
        <v>-2.3334924826716135E-7</v>
      </c>
    </row>
    <row r="91" spans="3:25" x14ac:dyDescent="0.3">
      <c r="C91" t="s">
        <v>117</v>
      </c>
      <c r="V91" t="s">
        <v>90</v>
      </c>
      <c r="X91" t="s">
        <v>91</v>
      </c>
    </row>
    <row r="92" spans="3:25" x14ac:dyDescent="0.3">
      <c r="C92" s="113">
        <f>D92/180+1</f>
        <v>1.0611111111111111</v>
      </c>
      <c r="D92" s="142">
        <v>11</v>
      </c>
      <c r="E92" s="142"/>
      <c r="F92" s="142">
        <v>13.81</v>
      </c>
      <c r="G92" s="142">
        <v>0.57599999999999996</v>
      </c>
      <c r="H92" s="142">
        <v>4880</v>
      </c>
      <c r="I92" s="143"/>
      <c r="J92" s="2">
        <f t="shared" ref="J92:J106" si="73">F92*G92</f>
        <v>7.9545599999999999</v>
      </c>
      <c r="K92" s="1">
        <f t="shared" ref="K92:K106" si="74">D92</f>
        <v>11</v>
      </c>
      <c r="L92" s="1">
        <f t="shared" ref="L92:L106" si="75">LN(K92)</f>
        <v>2.3978952727983707</v>
      </c>
      <c r="M92" s="3">
        <f t="shared" ref="M92:M106" si="76">1/H92/0.000001</f>
        <v>204.91803278688525</v>
      </c>
      <c r="N92" s="3"/>
      <c r="O92" s="3">
        <f t="shared" ref="O92:O104" si="77">M92*60/$X$33</f>
        <v>12295.081967213115</v>
      </c>
      <c r="P92" s="3">
        <f t="shared" ref="P92:P104" si="78">N92*60/$X$33</f>
        <v>0</v>
      </c>
      <c r="Q92" s="3">
        <f t="shared" ref="Q92:Q104" si="79">O92/$X$44*100</f>
        <v>26.682035519125684</v>
      </c>
      <c r="R92" s="3">
        <f t="shared" ref="R92:R104" si="80">P92/$X$44*100</f>
        <v>0</v>
      </c>
      <c r="S92" s="3">
        <f t="shared" ref="S92:S106" si="81">K92</f>
        <v>11</v>
      </c>
      <c r="T92" s="4">
        <f t="shared" ref="T92:T106" si="82">J92</f>
        <v>7.9545599999999999</v>
      </c>
      <c r="U92" s="4"/>
      <c r="V92">
        <f>T92*0.001341022</f>
        <v>1.0667239960320001E-2</v>
      </c>
      <c r="W92" s="137">
        <f>$V92/$O92*5252</f>
        <v>4.5566466674235194E-3</v>
      </c>
      <c r="X92" s="127">
        <f>W92-$W$92</f>
        <v>0</v>
      </c>
      <c r="Y92">
        <f t="shared" ref="Y92:Y106" si="83">-X92/2/O92</f>
        <v>0</v>
      </c>
    </row>
    <row r="93" spans="3:25" x14ac:dyDescent="0.3">
      <c r="C93" s="113">
        <f>D93/180+1</f>
        <v>1.0833333333333333</v>
      </c>
      <c r="D93" s="142">
        <v>15</v>
      </c>
      <c r="E93" s="142"/>
      <c r="F93" s="142">
        <v>13.8</v>
      </c>
      <c r="G93" s="142">
        <v>0.77800000000000002</v>
      </c>
      <c r="H93" s="142">
        <v>3900</v>
      </c>
      <c r="I93" s="143"/>
      <c r="J93" s="2">
        <f t="shared" si="73"/>
        <v>10.736400000000001</v>
      </c>
      <c r="K93" s="1">
        <f t="shared" si="74"/>
        <v>15</v>
      </c>
      <c r="L93" s="1">
        <f t="shared" si="75"/>
        <v>2.7080502011022101</v>
      </c>
      <c r="M93" s="3">
        <f t="shared" si="76"/>
        <v>256.41025641025641</v>
      </c>
      <c r="N93" s="3"/>
      <c r="O93" s="3">
        <f t="shared" si="77"/>
        <v>15384.615384615385</v>
      </c>
      <c r="P93" s="3">
        <f t="shared" si="78"/>
        <v>0</v>
      </c>
      <c r="Q93" s="3">
        <f t="shared" si="79"/>
        <v>33.386752136752136</v>
      </c>
      <c r="R93" s="3">
        <f t="shared" si="80"/>
        <v>0</v>
      </c>
      <c r="S93" s="3">
        <f t="shared" si="81"/>
        <v>15</v>
      </c>
      <c r="T93" s="4">
        <f t="shared" si="82"/>
        <v>10.736400000000001</v>
      </c>
      <c r="U93" s="4"/>
      <c r="V93">
        <f t="shared" ref="V93:V106" si="84">T93*0.001341022</f>
        <v>1.4397748600800004E-2</v>
      </c>
      <c r="W93" s="127">
        <f t="shared" ref="W93:W106" si="85">$V93/$O93*5252</f>
        <v>4.9151034173411049E-3</v>
      </c>
      <c r="X93" s="127">
        <f t="shared" ref="X93:X106" si="86">W93-$W$92</f>
        <v>3.5845674991758555E-4</v>
      </c>
      <c r="Y93">
        <f t="shared" si="83"/>
        <v>-1.1649844372321531E-8</v>
      </c>
    </row>
    <row r="94" spans="3:25" x14ac:dyDescent="0.3">
      <c r="C94" s="113">
        <f>D94/180+1</f>
        <v>1.1111111111111112</v>
      </c>
      <c r="D94" s="142">
        <v>20</v>
      </c>
      <c r="E94" s="142"/>
      <c r="F94" s="142">
        <v>13.78</v>
      </c>
      <c r="G94" s="142">
        <v>1.04</v>
      </c>
      <c r="H94" s="142">
        <v>3260</v>
      </c>
      <c r="I94" s="143"/>
      <c r="J94" s="2">
        <f t="shared" si="73"/>
        <v>14.331199999999999</v>
      </c>
      <c r="K94" s="1">
        <f t="shared" si="74"/>
        <v>20</v>
      </c>
      <c r="L94" s="1">
        <f t="shared" si="75"/>
        <v>2.9957322735539909</v>
      </c>
      <c r="M94" s="3">
        <f t="shared" si="76"/>
        <v>306.74846625766872</v>
      </c>
      <c r="N94" s="3"/>
      <c r="O94" s="3">
        <f t="shared" si="77"/>
        <v>18404.907975460123</v>
      </c>
      <c r="P94" s="3">
        <f t="shared" si="78"/>
        <v>0</v>
      </c>
      <c r="Q94" s="3">
        <f t="shared" si="79"/>
        <v>39.941206543967276</v>
      </c>
      <c r="R94" s="3">
        <f t="shared" si="80"/>
        <v>0</v>
      </c>
      <c r="S94" s="3">
        <f t="shared" si="81"/>
        <v>20</v>
      </c>
      <c r="T94" s="4">
        <f t="shared" si="82"/>
        <v>14.331199999999999</v>
      </c>
      <c r="U94" s="4"/>
      <c r="V94">
        <f t="shared" si="84"/>
        <v>1.92184544864E-2</v>
      </c>
      <c r="W94" s="127">
        <f t="shared" si="85"/>
        <v>5.4841525476331228E-3</v>
      </c>
      <c r="X94" s="127">
        <f t="shared" si="86"/>
        <v>9.2750588020960346E-4</v>
      </c>
      <c r="Y94">
        <f t="shared" si="83"/>
        <v>-2.519724307902756E-8</v>
      </c>
    </row>
    <row r="95" spans="3:25" x14ac:dyDescent="0.3">
      <c r="C95" s="113">
        <f t="shared" ref="C95:C106" si="87">D95/180+1</f>
        <v>1.1388888888888888</v>
      </c>
      <c r="D95" s="142">
        <v>25</v>
      </c>
      <c r="E95" s="142"/>
      <c r="F95" s="142">
        <v>13.76</v>
      </c>
      <c r="G95" s="142">
        <v>1.363</v>
      </c>
      <c r="H95" s="142">
        <v>2870</v>
      </c>
      <c r="I95" s="142"/>
      <c r="J95" s="2">
        <f t="shared" si="73"/>
        <v>18.75488</v>
      </c>
      <c r="K95" s="1">
        <f t="shared" si="74"/>
        <v>25</v>
      </c>
      <c r="L95" s="1">
        <f t="shared" si="75"/>
        <v>3.2188758248682006</v>
      </c>
      <c r="M95" s="3">
        <f t="shared" si="76"/>
        <v>348.43205574912895</v>
      </c>
      <c r="N95" s="3"/>
      <c r="O95" s="3">
        <f t="shared" si="77"/>
        <v>20905.923344947736</v>
      </c>
      <c r="P95" s="3">
        <f t="shared" si="78"/>
        <v>0</v>
      </c>
      <c r="Q95" s="3">
        <f t="shared" si="79"/>
        <v>45.368757259001164</v>
      </c>
      <c r="R95" s="3">
        <f t="shared" si="80"/>
        <v>0</v>
      </c>
      <c r="S95" s="3">
        <f t="shared" si="81"/>
        <v>25</v>
      </c>
      <c r="T95" s="4">
        <f t="shared" si="82"/>
        <v>18.75488</v>
      </c>
      <c r="U95" s="4"/>
      <c r="V95">
        <f t="shared" si="84"/>
        <v>2.5150706687360001E-2</v>
      </c>
      <c r="W95" s="127">
        <f t="shared" si="85"/>
        <v>6.3183773011363711E-3</v>
      </c>
      <c r="X95" s="127">
        <f t="shared" si="86"/>
        <v>1.7617306337128517E-3</v>
      </c>
      <c r="Y95">
        <f t="shared" si="83"/>
        <v>-4.21347243229657E-8</v>
      </c>
    </row>
    <row r="96" spans="3:25" x14ac:dyDescent="0.3">
      <c r="C96" s="113">
        <f t="shared" si="87"/>
        <v>1.1666666666666667</v>
      </c>
      <c r="D96" s="142">
        <v>30</v>
      </c>
      <c r="E96" s="142"/>
      <c r="F96" s="142">
        <v>13.74</v>
      </c>
      <c r="G96" s="142">
        <v>1.67</v>
      </c>
      <c r="H96" s="142">
        <v>2640</v>
      </c>
      <c r="I96" s="142"/>
      <c r="J96" s="2">
        <f t="shared" si="73"/>
        <v>22.945799999999998</v>
      </c>
      <c r="K96" s="1">
        <f t="shared" si="74"/>
        <v>30</v>
      </c>
      <c r="L96" s="1">
        <f t="shared" si="75"/>
        <v>3.4011973816621555</v>
      </c>
      <c r="M96" s="3">
        <f t="shared" si="76"/>
        <v>378.78787878787881</v>
      </c>
      <c r="N96" s="3"/>
      <c r="O96" s="3">
        <f t="shared" si="77"/>
        <v>22727.272727272728</v>
      </c>
      <c r="P96" s="3">
        <f t="shared" si="78"/>
        <v>0</v>
      </c>
      <c r="Q96" s="3">
        <f t="shared" si="79"/>
        <v>49.321338383838388</v>
      </c>
      <c r="R96" s="3">
        <f t="shared" si="80"/>
        <v>0</v>
      </c>
      <c r="S96" s="3">
        <f t="shared" si="81"/>
        <v>30</v>
      </c>
      <c r="T96" s="4">
        <f t="shared" si="82"/>
        <v>22.945799999999998</v>
      </c>
      <c r="U96" s="4"/>
      <c r="V96">
        <f t="shared" si="84"/>
        <v>3.0770822607600001E-2</v>
      </c>
      <c r="W96" s="127">
        <f t="shared" si="85"/>
        <v>7.1107678547450686E-3</v>
      </c>
      <c r="X96" s="127">
        <f t="shared" si="86"/>
        <v>2.5541211873215492E-3</v>
      </c>
      <c r="Y96">
        <f t="shared" si="83"/>
        <v>-5.6190666121074085E-8</v>
      </c>
    </row>
    <row r="97" spans="3:25" x14ac:dyDescent="0.3">
      <c r="C97" s="113">
        <f t="shared" si="87"/>
        <v>1.1944444444444444</v>
      </c>
      <c r="D97" s="142">
        <v>35</v>
      </c>
      <c r="E97" s="142"/>
      <c r="F97" s="142">
        <v>13.72</v>
      </c>
      <c r="G97" s="142">
        <v>2.0550000000000002</v>
      </c>
      <c r="H97" s="142">
        <v>2400</v>
      </c>
      <c r="I97" s="142"/>
      <c r="J97" s="2">
        <f t="shared" si="73"/>
        <v>28.194600000000005</v>
      </c>
      <c r="K97" s="1">
        <f t="shared" si="74"/>
        <v>35</v>
      </c>
      <c r="L97" s="1">
        <f t="shared" si="75"/>
        <v>3.5553480614894135</v>
      </c>
      <c r="M97" s="3">
        <f t="shared" si="76"/>
        <v>416.66666666666669</v>
      </c>
      <c r="N97" s="3"/>
      <c r="O97" s="3">
        <f t="shared" si="77"/>
        <v>25000</v>
      </c>
      <c r="P97" s="3">
        <f t="shared" si="78"/>
        <v>0</v>
      </c>
      <c r="Q97" s="3">
        <f t="shared" si="79"/>
        <v>54.253472222222221</v>
      </c>
      <c r="R97" s="3">
        <f t="shared" si="80"/>
        <v>0</v>
      </c>
      <c r="S97" s="3">
        <f t="shared" si="81"/>
        <v>35</v>
      </c>
      <c r="T97" s="4">
        <f t="shared" si="82"/>
        <v>28.194600000000005</v>
      </c>
      <c r="U97" s="4"/>
      <c r="V97">
        <f t="shared" si="84"/>
        <v>3.7809578881200012E-2</v>
      </c>
      <c r="W97" s="127">
        <f t="shared" si="85"/>
        <v>7.9430363313624987E-3</v>
      </c>
      <c r="X97" s="127">
        <f t="shared" si="86"/>
        <v>3.3863896639389794E-3</v>
      </c>
      <c r="Y97">
        <f t="shared" si="83"/>
        <v>-6.7727793278779586E-8</v>
      </c>
    </row>
    <row r="98" spans="3:25" x14ac:dyDescent="0.3">
      <c r="C98" s="113">
        <f t="shared" si="87"/>
        <v>1.2222222222222223</v>
      </c>
      <c r="D98" s="142">
        <v>40</v>
      </c>
      <c r="E98" s="142"/>
      <c r="F98" s="142">
        <v>13.7</v>
      </c>
      <c r="G98" s="142">
        <v>2.2999999999999998</v>
      </c>
      <c r="H98" s="142">
        <v>2250</v>
      </c>
      <c r="I98" s="142"/>
      <c r="J98" s="2">
        <f t="shared" si="73"/>
        <v>31.509999999999994</v>
      </c>
      <c r="K98" s="1">
        <f t="shared" si="74"/>
        <v>40</v>
      </c>
      <c r="L98" s="1">
        <f t="shared" si="75"/>
        <v>3.6888794541139363</v>
      </c>
      <c r="M98" s="3">
        <f t="shared" si="76"/>
        <v>444.44444444444451</v>
      </c>
      <c r="N98" s="3"/>
      <c r="O98" s="3">
        <f t="shared" si="77"/>
        <v>26666.666666666672</v>
      </c>
      <c r="P98" s="3">
        <f t="shared" si="78"/>
        <v>0</v>
      </c>
      <c r="Q98" s="3">
        <f t="shared" si="79"/>
        <v>57.870370370370381</v>
      </c>
      <c r="R98" s="3">
        <f t="shared" si="80"/>
        <v>0</v>
      </c>
      <c r="S98" s="3">
        <f t="shared" si="81"/>
        <v>40</v>
      </c>
      <c r="T98" s="4">
        <f t="shared" si="82"/>
        <v>31.509999999999994</v>
      </c>
      <c r="U98" s="4"/>
      <c r="V98">
        <f t="shared" si="84"/>
        <v>4.2255603219999993E-2</v>
      </c>
      <c r="W98" s="127">
        <f t="shared" si="85"/>
        <v>8.3222410541789974E-3</v>
      </c>
      <c r="X98" s="127">
        <f t="shared" si="86"/>
        <v>3.765594386755478E-3</v>
      </c>
      <c r="Y98">
        <f t="shared" si="83"/>
        <v>-7.0604894751665205E-8</v>
      </c>
    </row>
    <row r="99" spans="3:25" x14ac:dyDescent="0.3">
      <c r="C99" s="113">
        <f t="shared" si="87"/>
        <v>1.2777777777777777</v>
      </c>
      <c r="D99" s="142">
        <v>50</v>
      </c>
      <c r="E99" s="142"/>
      <c r="F99" s="142">
        <v>13.65</v>
      </c>
      <c r="G99" s="142">
        <v>3.02</v>
      </c>
      <c r="H99" s="142">
        <v>2010</v>
      </c>
      <c r="I99" s="142"/>
      <c r="J99" s="2">
        <f t="shared" si="73"/>
        <v>41.222999999999999</v>
      </c>
      <c r="K99" s="1">
        <f t="shared" si="74"/>
        <v>50</v>
      </c>
      <c r="L99" s="1">
        <f t="shared" si="75"/>
        <v>3.912023005428146</v>
      </c>
      <c r="M99" s="3">
        <f t="shared" si="76"/>
        <v>497.51243781094524</v>
      </c>
      <c r="N99" s="3"/>
      <c r="O99" s="3">
        <f t="shared" si="77"/>
        <v>29850.746268656716</v>
      </c>
      <c r="P99" s="3">
        <f t="shared" si="78"/>
        <v>0</v>
      </c>
      <c r="Q99" s="3">
        <f t="shared" si="79"/>
        <v>64.780265339966832</v>
      </c>
      <c r="R99" s="3">
        <f t="shared" si="80"/>
        <v>0</v>
      </c>
      <c r="S99" s="3">
        <f t="shared" si="81"/>
        <v>50</v>
      </c>
      <c r="T99" s="4">
        <f t="shared" si="82"/>
        <v>41.222999999999999</v>
      </c>
      <c r="U99" s="4"/>
      <c r="V99">
        <f t="shared" si="84"/>
        <v>5.5280949906E-2</v>
      </c>
      <c r="W99" s="127">
        <f t="shared" si="85"/>
        <v>9.7262408883614527E-3</v>
      </c>
      <c r="X99" s="127">
        <f t="shared" si="86"/>
        <v>5.1695942209379333E-3</v>
      </c>
      <c r="Y99">
        <f t="shared" si="83"/>
        <v>-8.6590703200710378E-8</v>
      </c>
    </row>
    <row r="100" spans="3:25" x14ac:dyDescent="0.3">
      <c r="C100" s="113">
        <f t="shared" si="87"/>
        <v>1.3333333333333333</v>
      </c>
      <c r="D100" s="142">
        <v>60</v>
      </c>
      <c r="E100" s="142"/>
      <c r="F100" s="142">
        <v>13.6</v>
      </c>
      <c r="G100" s="142">
        <v>3.81</v>
      </c>
      <c r="H100" s="142">
        <v>1880</v>
      </c>
      <c r="I100" s="142"/>
      <c r="J100" s="2">
        <f t="shared" si="73"/>
        <v>51.816000000000003</v>
      </c>
      <c r="K100" s="1">
        <f t="shared" si="74"/>
        <v>60</v>
      </c>
      <c r="L100" s="1">
        <f t="shared" si="75"/>
        <v>4.0943445622221004</v>
      </c>
      <c r="M100" s="3">
        <f t="shared" si="76"/>
        <v>531.91489361702133</v>
      </c>
      <c r="N100" s="3"/>
      <c r="O100" s="3">
        <f t="shared" si="77"/>
        <v>31914.89361702128</v>
      </c>
      <c r="P100" s="3">
        <f t="shared" si="78"/>
        <v>0</v>
      </c>
      <c r="Q100" s="3">
        <f t="shared" si="79"/>
        <v>69.259751773049643</v>
      </c>
      <c r="R100" s="3">
        <f t="shared" si="80"/>
        <v>0</v>
      </c>
      <c r="S100" s="3">
        <f t="shared" si="81"/>
        <v>60</v>
      </c>
      <c r="T100" s="4">
        <f t="shared" si="82"/>
        <v>51.816000000000003</v>
      </c>
      <c r="U100" s="4"/>
      <c r="V100">
        <f t="shared" si="84"/>
        <v>6.9486395952000013E-2</v>
      </c>
      <c r="W100" s="127">
        <f t="shared" si="85"/>
        <v>1.1434866614916992E-2</v>
      </c>
      <c r="X100" s="127">
        <f t="shared" si="86"/>
        <v>6.8782199474934731E-3</v>
      </c>
      <c r="Y100">
        <f t="shared" si="83"/>
        <v>-1.0775877917739773E-7</v>
      </c>
    </row>
    <row r="101" spans="3:25" x14ac:dyDescent="0.3">
      <c r="C101" s="113">
        <f t="shared" si="87"/>
        <v>1.4166666666666667</v>
      </c>
      <c r="D101" s="142">
        <v>75</v>
      </c>
      <c r="E101" s="142"/>
      <c r="F101" s="142">
        <v>13.54</v>
      </c>
      <c r="G101" s="142">
        <v>4.91</v>
      </c>
      <c r="H101" s="142">
        <v>1630</v>
      </c>
      <c r="I101" s="142"/>
      <c r="J101" s="2">
        <f t="shared" si="73"/>
        <v>66.481399999999994</v>
      </c>
      <c r="K101" s="1">
        <f t="shared" si="74"/>
        <v>75</v>
      </c>
      <c r="L101" s="1">
        <f t="shared" si="75"/>
        <v>4.3174881135363101</v>
      </c>
      <c r="M101" s="3">
        <f t="shared" si="76"/>
        <v>613.49693251533745</v>
      </c>
      <c r="N101" s="3"/>
      <c r="O101" s="3">
        <f t="shared" si="77"/>
        <v>36809.815950920245</v>
      </c>
      <c r="P101" s="3">
        <f t="shared" si="78"/>
        <v>0</v>
      </c>
      <c r="Q101" s="3">
        <f t="shared" si="79"/>
        <v>79.882413087934552</v>
      </c>
      <c r="R101" s="3">
        <f t="shared" si="80"/>
        <v>0</v>
      </c>
      <c r="S101" s="3">
        <f t="shared" si="81"/>
        <v>75</v>
      </c>
      <c r="T101" s="4">
        <f t="shared" si="82"/>
        <v>66.481399999999994</v>
      </c>
      <c r="U101" s="4"/>
      <c r="V101">
        <f t="shared" si="84"/>
        <v>8.9153019990799998E-2</v>
      </c>
      <c r="W101" s="127">
        <f t="shared" si="85"/>
        <v>1.2720293456940682E-2</v>
      </c>
      <c r="X101" s="127">
        <f t="shared" si="86"/>
        <v>8.1636467895171635E-3</v>
      </c>
      <c r="Y101">
        <f t="shared" si="83"/>
        <v>-1.1088953555760814E-7</v>
      </c>
    </row>
    <row r="102" spans="3:25" x14ac:dyDescent="0.3">
      <c r="C102" s="113">
        <f t="shared" si="87"/>
        <v>1.5</v>
      </c>
      <c r="D102" s="142">
        <v>90</v>
      </c>
      <c r="E102" s="142"/>
      <c r="F102" s="142">
        <v>13.47</v>
      </c>
      <c r="G102" s="142">
        <v>6</v>
      </c>
      <c r="H102" s="142">
        <v>1520</v>
      </c>
      <c r="I102" s="142"/>
      <c r="J102" s="2">
        <f t="shared" si="73"/>
        <v>80.820000000000007</v>
      </c>
      <c r="K102" s="1">
        <f t="shared" si="74"/>
        <v>90</v>
      </c>
      <c r="L102" s="1">
        <f t="shared" si="75"/>
        <v>4.499809670330265</v>
      </c>
      <c r="M102" s="3">
        <f t="shared" si="76"/>
        <v>657.89473684210532</v>
      </c>
      <c r="N102" s="3"/>
      <c r="O102" s="3">
        <f t="shared" si="77"/>
        <v>39473.68421052632</v>
      </c>
      <c r="P102" s="3">
        <f t="shared" si="78"/>
        <v>0</v>
      </c>
      <c r="Q102" s="3">
        <f t="shared" si="79"/>
        <v>85.663377192982466</v>
      </c>
      <c r="R102" s="3">
        <f t="shared" si="80"/>
        <v>0</v>
      </c>
      <c r="S102" s="3">
        <f t="shared" si="81"/>
        <v>90</v>
      </c>
      <c r="T102" s="4">
        <f t="shared" si="82"/>
        <v>80.820000000000007</v>
      </c>
      <c r="U102" s="4"/>
      <c r="V102">
        <f t="shared" si="84"/>
        <v>0.10838139804000002</v>
      </c>
      <c r="W102" s="127">
        <f t="shared" si="85"/>
        <v>1.4420217263487361E-2</v>
      </c>
      <c r="X102" s="127">
        <f t="shared" si="86"/>
        <v>9.8635705960638427E-3</v>
      </c>
      <c r="Y102">
        <f t="shared" si="83"/>
        <v>-1.2493856088347532E-7</v>
      </c>
    </row>
    <row r="103" spans="3:25" x14ac:dyDescent="0.3">
      <c r="C103" s="113">
        <f t="shared" si="87"/>
        <v>1.6055555555555556</v>
      </c>
      <c r="D103" s="142">
        <v>109</v>
      </c>
      <c r="E103" s="142"/>
      <c r="F103" s="142">
        <v>13.38</v>
      </c>
      <c r="G103" s="142">
        <v>7.4</v>
      </c>
      <c r="H103" s="142">
        <v>1390</v>
      </c>
      <c r="I103" s="142"/>
      <c r="J103" s="2">
        <f t="shared" si="73"/>
        <v>99.012000000000015</v>
      </c>
      <c r="K103" s="1">
        <f t="shared" si="74"/>
        <v>109</v>
      </c>
      <c r="L103" s="1">
        <f t="shared" si="75"/>
        <v>4.6913478822291435</v>
      </c>
      <c r="M103" s="3">
        <f t="shared" si="76"/>
        <v>719.42446043165478</v>
      </c>
      <c r="N103" s="3"/>
      <c r="O103" s="3">
        <f t="shared" si="77"/>
        <v>43165.467625899284</v>
      </c>
      <c r="P103" s="3">
        <f t="shared" si="78"/>
        <v>0</v>
      </c>
      <c r="Q103" s="3">
        <f t="shared" si="79"/>
        <v>93.675059952038382</v>
      </c>
      <c r="R103" s="3">
        <f t="shared" si="80"/>
        <v>0</v>
      </c>
      <c r="S103" s="3">
        <f t="shared" si="81"/>
        <v>109</v>
      </c>
      <c r="T103" s="4">
        <f t="shared" si="82"/>
        <v>99.012000000000015</v>
      </c>
      <c r="U103" s="4"/>
      <c r="V103">
        <f t="shared" si="84"/>
        <v>0.13277727026400002</v>
      </c>
      <c r="W103" s="127">
        <f t="shared" si="85"/>
        <v>1.6155187509381233E-2</v>
      </c>
      <c r="X103" s="127">
        <f t="shared" si="86"/>
        <v>1.1598540841957713E-2</v>
      </c>
      <c r="Y103">
        <f t="shared" si="83"/>
        <v>-1.3434976475267684E-7</v>
      </c>
    </row>
    <row r="104" spans="3:25" ht="15" thickBot="1" x14ac:dyDescent="0.35">
      <c r="C104" s="116">
        <f t="shared" si="87"/>
        <v>1.7222222222222223</v>
      </c>
      <c r="D104" s="142">
        <v>130</v>
      </c>
      <c r="E104" s="142"/>
      <c r="F104" s="142">
        <v>13.29</v>
      </c>
      <c r="G104" s="142">
        <v>8.9</v>
      </c>
      <c r="H104" s="142">
        <v>1350</v>
      </c>
      <c r="I104" s="142"/>
      <c r="J104" s="2">
        <f t="shared" si="73"/>
        <v>118.28099999999999</v>
      </c>
      <c r="K104" s="1">
        <f t="shared" si="74"/>
        <v>130</v>
      </c>
      <c r="L104" s="1">
        <f t="shared" si="75"/>
        <v>4.8675344504555822</v>
      </c>
      <c r="M104" s="3">
        <f t="shared" si="76"/>
        <v>740.74074074074076</v>
      </c>
      <c r="N104" s="3"/>
      <c r="O104" s="3">
        <f t="shared" si="77"/>
        <v>44444.444444444445</v>
      </c>
      <c r="P104" s="3">
        <f t="shared" si="78"/>
        <v>0</v>
      </c>
      <c r="Q104" s="3">
        <f t="shared" si="79"/>
        <v>96.450617283950621</v>
      </c>
      <c r="R104" s="3">
        <f t="shared" si="80"/>
        <v>0</v>
      </c>
      <c r="S104" s="3">
        <f t="shared" si="81"/>
        <v>130</v>
      </c>
      <c r="T104" s="4">
        <f t="shared" si="82"/>
        <v>118.28099999999999</v>
      </c>
      <c r="U104" s="4"/>
      <c r="V104">
        <f t="shared" si="84"/>
        <v>0.15861742318200001</v>
      </c>
      <c r="W104" s="127">
        <f t="shared" si="85"/>
        <v>1.8743820897416941E-2</v>
      </c>
      <c r="X104" s="127">
        <f t="shared" si="86"/>
        <v>1.418717422999342E-2</v>
      </c>
      <c r="Y104">
        <f t="shared" si="83"/>
        <v>-1.5960571008742599E-7</v>
      </c>
    </row>
    <row r="105" spans="3:25" x14ac:dyDescent="0.3">
      <c r="C105" s="144">
        <f t="shared" si="87"/>
        <v>1.8444444444444446</v>
      </c>
      <c r="D105" s="142">
        <v>152</v>
      </c>
      <c r="E105" s="142"/>
      <c r="F105" s="142">
        <v>13.1</v>
      </c>
      <c r="G105" s="142">
        <v>11.64</v>
      </c>
      <c r="H105" s="142">
        <v>1280</v>
      </c>
      <c r="I105" s="142"/>
      <c r="J105" s="1">
        <f t="shared" si="73"/>
        <v>152.48400000000001</v>
      </c>
      <c r="K105" s="1">
        <f t="shared" si="74"/>
        <v>152</v>
      </c>
      <c r="L105" s="1">
        <f t="shared" si="75"/>
        <v>5.0238805208462765</v>
      </c>
      <c r="M105" s="1">
        <f t="shared" si="76"/>
        <v>781.25000000000011</v>
      </c>
      <c r="O105" s="1">
        <f>M105*60/$X$33</f>
        <v>46875.000000000007</v>
      </c>
      <c r="Q105" s="1">
        <f>O105/$X$44*100</f>
        <v>101.72526041666667</v>
      </c>
      <c r="S105" s="1">
        <f t="shared" si="81"/>
        <v>152</v>
      </c>
      <c r="T105" s="4">
        <f t="shared" si="82"/>
        <v>152.48400000000001</v>
      </c>
      <c r="U105" s="4"/>
      <c r="V105">
        <f t="shared" si="84"/>
        <v>0.20448439864800003</v>
      </c>
      <c r="W105" s="127">
        <f t="shared" si="85"/>
        <v>2.2910977316251649E-2</v>
      </c>
      <c r="X105" s="127">
        <f t="shared" si="86"/>
        <v>1.8354330648828129E-2</v>
      </c>
      <c r="Y105">
        <f t="shared" si="83"/>
        <v>-1.9577952692083334E-7</v>
      </c>
    </row>
    <row r="106" spans="3:25" x14ac:dyDescent="0.3">
      <c r="C106" s="144">
        <f t="shared" si="87"/>
        <v>1.911111111111111</v>
      </c>
      <c r="D106" s="142">
        <v>164</v>
      </c>
      <c r="E106" s="142"/>
      <c r="F106" s="142">
        <v>12.93</v>
      </c>
      <c r="G106" s="142">
        <v>14.16</v>
      </c>
      <c r="H106" s="142">
        <v>1236</v>
      </c>
      <c r="I106" s="142"/>
      <c r="J106" s="1">
        <f t="shared" si="73"/>
        <v>183.08879999999999</v>
      </c>
      <c r="K106" s="1">
        <f t="shared" si="74"/>
        <v>164</v>
      </c>
      <c r="L106" s="1">
        <f t="shared" si="75"/>
        <v>5.0998664278241987</v>
      </c>
      <c r="M106" s="1">
        <f t="shared" si="76"/>
        <v>809.06148867313925</v>
      </c>
      <c r="O106" s="1">
        <f>M106*60/$X$33</f>
        <v>48543.689320388352</v>
      </c>
      <c r="Q106" s="1">
        <f>O106/$X$44*100</f>
        <v>105.346548004315</v>
      </c>
      <c r="S106" s="1">
        <f t="shared" si="81"/>
        <v>164</v>
      </c>
      <c r="T106" s="4">
        <f t="shared" si="82"/>
        <v>183.08879999999999</v>
      </c>
      <c r="U106" s="4"/>
      <c r="V106">
        <f t="shared" si="84"/>
        <v>0.24552610875360001</v>
      </c>
      <c r="W106" s="127">
        <f t="shared" si="85"/>
        <v>2.6563764337382487E-2</v>
      </c>
      <c r="X106" s="127">
        <f t="shared" si="86"/>
        <v>2.2007117669958966E-2</v>
      </c>
      <c r="Y106">
        <f t="shared" si="83"/>
        <v>-2.2667331200057733E-7</v>
      </c>
    </row>
    <row r="107" spans="3:25" x14ac:dyDescent="0.3">
      <c r="W107" s="127"/>
    </row>
    <row r="108" spans="3:25" x14ac:dyDescent="0.3">
      <c r="W108" s="12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Gain Approx</vt:lpstr>
      <vt:lpstr>Ard0_Turn0_ESC0_G0b_T0a</vt:lpstr>
      <vt:lpstr>Ard1_Turn1x_ESC1_G1b_T1a</vt:lpstr>
      <vt:lpstr>Ard2_Turn2_ESC2_G2b_T2a</vt:lpstr>
      <vt:lpstr>Ard3_Turn3_ESC3_G3b_T3a</vt:lpstr>
      <vt:lpstr>Ard4_Turn4_ESC4_G4b_T4a</vt:lpstr>
      <vt:lpstr>Ard_Turn_ESC_Gb_Ta</vt:lpstr>
      <vt:lpstr>Ardx_Turnx_ESCx_Gxb_Txa</vt:lpstr>
      <vt:lpstr>CalPhotonTurnigy</vt:lpstr>
      <vt:lpstr>TauPhotonTurnigy</vt:lpstr>
      <vt:lpstr>CalArduinoTurnigy</vt:lpstr>
      <vt:lpstr>CalArduinoHiTec</vt:lpstr>
      <vt:lpstr>CalPhotonHiTec</vt:lpstr>
      <vt:lpstr>Time Const Comp</vt:lpstr>
      <vt:lpstr>Ard_Turn_ESC_Gb_Ta!Meas_TauT__s</vt:lpstr>
      <vt:lpstr>Ard0_Turn0_ESC0_G0b_T0a!Meas_TauT__s</vt:lpstr>
      <vt:lpstr>Ard1_Turn1x_ESC1_G1b_T1a!Meas_TauT__s</vt:lpstr>
      <vt:lpstr>Ard2_Turn2_ESC2_G2b_T2a!Meas_TauT__s</vt:lpstr>
      <vt:lpstr>Ard3_Turn3_ESC3_G3b_T3a!Meas_TauT__s</vt:lpstr>
      <vt:lpstr>Ard4_Turn4_ESC4_G4b_T4a!Meas_TauT__s</vt:lpstr>
      <vt:lpstr>Ardx_Turnx_ESCx_Gxb_Txa!Meas_TauT__s</vt:lpstr>
      <vt:lpstr>Ard_Turn_ESC_Gb_Ta!MeasNt</vt:lpstr>
      <vt:lpstr>Ard0_Turn0_ESC0_G0b_T0a!MeasNt</vt:lpstr>
      <vt:lpstr>Ard1_Turn1x_ESC1_G1b_T1a!MeasNt</vt:lpstr>
      <vt:lpstr>Ard2_Turn2_ESC2_G2b_T2a!MeasNt</vt:lpstr>
      <vt:lpstr>Ard3_Turn3_ESC3_G3b_T3a!MeasNt</vt:lpstr>
      <vt:lpstr>Ard4_Turn4_ESC4_G4b_T4a!MeasNt</vt:lpstr>
      <vt:lpstr>Ardx_Turnx_ESCx_Gxb_Txa!MeasNt</vt:lpstr>
      <vt:lpstr>Ard_Turn_ESC_Gb_Ta!MeasTauT</vt:lpstr>
      <vt:lpstr>Ard0_Turn0_ESC0_G0b_T0a!MeasTauT</vt:lpstr>
      <vt:lpstr>Ard1_Turn1x_ESC1_G1b_T1a!MeasTauT</vt:lpstr>
      <vt:lpstr>Ard2_Turn2_ESC2_G2b_T2a!MeasTauT</vt:lpstr>
      <vt:lpstr>Ard3_Turn3_ESC3_G3b_T3a!MeasTauT</vt:lpstr>
      <vt:lpstr>Ard4_Turn4_ESC4_G4b_T4a!MeasTauT</vt:lpstr>
      <vt:lpstr>Ardx_Turnx_ESCx_Gxb_Txa!MeasTauT</vt:lpstr>
      <vt:lpstr>Ard_Turn_ESC_Gb_Ta!Nt</vt:lpstr>
      <vt:lpstr>Ard0_Turn0_ESC0_G0b_T0a!Nt</vt:lpstr>
      <vt:lpstr>Ard1_Turn1x_ESC1_G1b_T1a!Nt</vt:lpstr>
      <vt:lpstr>Ard2_Turn2_ESC2_G2b_T2a!Nt</vt:lpstr>
      <vt:lpstr>Ard3_Turn3_ESC3_G3b_T3a!Nt</vt:lpstr>
      <vt:lpstr>Ard4_Turn4_ESC4_G4b_T4a!Nt</vt:lpstr>
      <vt:lpstr>Ardx_Turnx_ESCx_Gxb_Txa!Nt</vt:lpstr>
    </vt:vector>
  </TitlesOfParts>
  <Company>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Gutz</dc:creator>
  <cp:lastModifiedBy>Dave Gutz</cp:lastModifiedBy>
  <dcterms:created xsi:type="dcterms:W3CDTF">2016-09-13T12:10:02Z</dcterms:created>
  <dcterms:modified xsi:type="dcterms:W3CDTF">2017-01-16T19:43:37Z</dcterms:modified>
</cp:coreProperties>
</file>