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 firstSheet="1" activeTab="2"/>
  </bookViews>
  <sheets>
    <sheet name="Ard1_Turn1_ESC1_G1b_T1a" sheetId="7" r:id="rId1"/>
    <sheet name="Ard2_Turn2_ESC2_G2b_T2a" sheetId="8" r:id="rId2"/>
    <sheet name="Ard3_Turn3_ESC3_G3b_T3a" sheetId="9" r:id="rId3"/>
    <sheet name="CalPhotonTurnigy" sheetId="4" r:id="rId4"/>
    <sheet name="TauPhotonTurnigy" sheetId="5" r:id="rId5"/>
    <sheet name="CalArduinoTurnigy" sheetId="3" r:id="rId6"/>
    <sheet name="CalArduinoHiTec" sheetId="1" r:id="rId7"/>
    <sheet name="CalPhotonHiTec" sheetId="2" r:id="rId8"/>
  </sheets>
  <definedNames>
    <definedName name="Meas_TauT__s" localSheetId="1">Ard2_Turn2_ESC2_G2b_T2a!$J$39:$J$44</definedName>
    <definedName name="Meas_TauT__s" localSheetId="2">Ard3_Turn3_ESC3_G3b_T3a!$J$39:$J$44</definedName>
    <definedName name="Meas_TauT__s">Ard1_Turn1_ESC1_G1b_T1a!$J$39:$J$44</definedName>
    <definedName name="MeasNt" localSheetId="1">Ard2_Turn2_ESC2_G2b_T2a!$I$39:$I$44</definedName>
    <definedName name="MeasNt" localSheetId="2">Ard3_Turn3_ESC3_G3b_T3a!$I$39:$I$44</definedName>
    <definedName name="MeasNt">Ard1_Turn1_ESC1_G1b_T1a!$I$39:$I$44</definedName>
    <definedName name="MeasTauT" localSheetId="1">Ard2_Turn2_ESC2_G2b_T2a!$J$39:$J$44</definedName>
    <definedName name="MeasTauT" localSheetId="2">Ard3_Turn3_ESC3_G3b_T3a!$J$39:$J$44</definedName>
    <definedName name="MeasTauT">Ard1_Turn1_ESC1_G1b_T1a!$J$39:$J$44</definedName>
    <definedName name="Nt" localSheetId="1">Ard2_Turn2_ESC2_G2b_T2a!$I$39:$I$44</definedName>
    <definedName name="Nt" localSheetId="2">Ard3_Turn3_ESC3_G3b_T3a!$I$39:$I$44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AG9" i="8" l="1"/>
  <c r="Q46" i="8"/>
  <c r="V57" i="9"/>
  <c r="U57" i="9"/>
  <c r="T57" i="9"/>
  <c r="S57" i="9"/>
  <c r="R57" i="9"/>
  <c r="Q57" i="9"/>
  <c r="J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14" i="9"/>
  <c r="AI14" i="9" s="1"/>
  <c r="AC14" i="9"/>
  <c r="AD14" i="9" s="1"/>
  <c r="AA14" i="9"/>
  <c r="Z14" i="9"/>
  <c r="Q38" i="9" s="1"/>
  <c r="O14" i="9"/>
  <c r="Q14" i="9" s="1"/>
  <c r="N14" i="9"/>
  <c r="P14" i="9" s="1"/>
  <c r="R14" i="9" s="1"/>
  <c r="L14" i="9"/>
  <c r="T14" i="9" s="1"/>
  <c r="K14" i="9"/>
  <c r="U14" i="9" s="1"/>
  <c r="C14" i="9"/>
  <c r="AH13" i="9"/>
  <c r="AI13" i="9" s="1"/>
  <c r="P13" i="9"/>
  <c r="R13" i="9" s="1"/>
  <c r="O13" i="9"/>
  <c r="Q13" i="9" s="1"/>
  <c r="N13" i="9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Z12" i="9" s="1"/>
  <c r="AA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M10" i="9"/>
  <c r="L10" i="9"/>
  <c r="T10" i="9" s="1"/>
  <c r="K10" i="9"/>
  <c r="U10" i="9" s="1"/>
  <c r="C10" i="9"/>
  <c r="AI9" i="9"/>
  <c r="AH9" i="9"/>
  <c r="O9" i="9"/>
  <c r="Q9" i="9" s="1"/>
  <c r="S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S7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Z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AH3" i="9"/>
  <c r="AI3" i="9" s="1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R2" i="9" s="1"/>
  <c r="K2" i="9"/>
  <c r="U2" i="9" s="1"/>
  <c r="W4" i="9" s="1"/>
  <c r="U1" i="9"/>
  <c r="M14" i="9" l="1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F12" i="9" l="1"/>
  <c r="Q42" i="9"/>
  <c r="R42" i="9"/>
  <c r="AJ13" i="9" s="1"/>
  <c r="AO13" i="9" s="1"/>
  <c r="AN13" i="9" s="1"/>
  <c r="Y14" i="9"/>
  <c r="J48" i="9" s="1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F4" i="9"/>
  <c r="AC5" i="9"/>
  <c r="AA5" i="9"/>
  <c r="AB5" i="9" s="1"/>
  <c r="J36" i="9"/>
  <c r="Q36" i="9"/>
  <c r="Y5" i="9"/>
  <c r="L48" i="9" l="1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K42" i="9"/>
  <c r="L42" i="9" s="1"/>
  <c r="AD8" i="9"/>
  <c r="AF8" i="9"/>
  <c r="AF13" i="9"/>
  <c r="AG11" i="9" l="1"/>
  <c r="Q45" i="9" s="1"/>
  <c r="AT13" i="9" s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6" i="9" l="1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7" i="8" l="1"/>
  <c r="U57" i="8"/>
  <c r="T57" i="8"/>
  <c r="S57" i="8"/>
  <c r="R57" i="8"/>
  <c r="Q57" i="8"/>
  <c r="V56" i="8"/>
  <c r="U56" i="8"/>
  <c r="T56" i="8"/>
  <c r="S56" i="8"/>
  <c r="R56" i="8"/>
  <c r="Q56" i="8"/>
  <c r="V53" i="8"/>
  <c r="U53" i="8"/>
  <c r="T53" i="8"/>
  <c r="S53" i="8"/>
  <c r="R53" i="8"/>
  <c r="Q53" i="8"/>
  <c r="V52" i="8"/>
  <c r="U52" i="8"/>
  <c r="T52" i="8"/>
  <c r="S52" i="8"/>
  <c r="R52" i="8"/>
  <c r="Q52" i="8"/>
  <c r="E50" i="8"/>
  <c r="I45" i="8"/>
  <c r="J57" i="8" s="1"/>
  <c r="I40" i="8"/>
  <c r="J52" i="8" s="1"/>
  <c r="Q37" i="8"/>
  <c r="Q35" i="8"/>
  <c r="Q34" i="8"/>
  <c r="C34" i="8"/>
  <c r="Q33" i="8"/>
  <c r="C33" i="8"/>
  <c r="Q32" i="8"/>
  <c r="AH9" i="8" s="1"/>
  <c r="AI9" i="8" s="1"/>
  <c r="C32" i="8"/>
  <c r="Q31" i="8"/>
  <c r="J31" i="8"/>
  <c r="J30" i="8"/>
  <c r="J29" i="8"/>
  <c r="Q28" i="8"/>
  <c r="Q27" i="8"/>
  <c r="Q26" i="8"/>
  <c r="Q25" i="8"/>
  <c r="Q24" i="8"/>
  <c r="AH14" i="8"/>
  <c r="AI14" i="8" s="1"/>
  <c r="AA14" i="8"/>
  <c r="Z14" i="8"/>
  <c r="Q38" i="8" s="1"/>
  <c r="O14" i="8"/>
  <c r="Q14" i="8" s="1"/>
  <c r="N14" i="8"/>
  <c r="P14" i="8" s="1"/>
  <c r="R14" i="8" s="1"/>
  <c r="L14" i="8"/>
  <c r="T14" i="8" s="1"/>
  <c r="K14" i="8"/>
  <c r="U14" i="8" s="1"/>
  <c r="C14" i="8"/>
  <c r="O13" i="8"/>
  <c r="Q13" i="8" s="1"/>
  <c r="AE13" i="8" s="1"/>
  <c r="N13" i="8"/>
  <c r="P13" i="8" s="1"/>
  <c r="R13" i="8" s="1"/>
  <c r="L13" i="8"/>
  <c r="K13" i="8"/>
  <c r="U13" i="8" s="1"/>
  <c r="C13" i="8"/>
  <c r="AH12" i="8"/>
  <c r="AI12" i="8" s="1"/>
  <c r="O12" i="8"/>
  <c r="Q12" i="8" s="1"/>
  <c r="N12" i="8"/>
  <c r="P12" i="8" s="1"/>
  <c r="R12" i="8" s="1"/>
  <c r="L12" i="8"/>
  <c r="M12" i="8" s="1"/>
  <c r="K12" i="8"/>
  <c r="U12" i="8" s="1"/>
  <c r="C12" i="8"/>
  <c r="AH11" i="8"/>
  <c r="AI11" i="8" s="1"/>
  <c r="O11" i="8"/>
  <c r="Q11" i="8" s="1"/>
  <c r="S11" i="8" s="1"/>
  <c r="N11" i="8"/>
  <c r="P11" i="8" s="1"/>
  <c r="R11" i="8" s="1"/>
  <c r="M11" i="8"/>
  <c r="L11" i="8"/>
  <c r="T11" i="8" s="1"/>
  <c r="K11" i="8"/>
  <c r="U11" i="8" s="1"/>
  <c r="C11" i="8"/>
  <c r="O10" i="8"/>
  <c r="Q10" i="8" s="1"/>
  <c r="AE10" i="8" s="1"/>
  <c r="N10" i="8"/>
  <c r="P10" i="8" s="1"/>
  <c r="R10" i="8" s="1"/>
  <c r="L10" i="8"/>
  <c r="M10" i="8" s="1"/>
  <c r="K10" i="8"/>
  <c r="U10" i="8" s="1"/>
  <c r="C10" i="8"/>
  <c r="O9" i="8"/>
  <c r="Q9" i="8" s="1"/>
  <c r="N9" i="8"/>
  <c r="P9" i="8" s="1"/>
  <c r="R9" i="8" s="1"/>
  <c r="L9" i="8"/>
  <c r="K9" i="8"/>
  <c r="U9" i="8" s="1"/>
  <c r="C9" i="8"/>
  <c r="AI8" i="8"/>
  <c r="AH8" i="8"/>
  <c r="O8" i="8"/>
  <c r="Q8" i="8" s="1"/>
  <c r="N8" i="8"/>
  <c r="P8" i="8" s="1"/>
  <c r="R8" i="8" s="1"/>
  <c r="L8" i="8"/>
  <c r="T8" i="8" s="1"/>
  <c r="K8" i="8"/>
  <c r="U8" i="8" s="1"/>
  <c r="C8" i="8"/>
  <c r="R7" i="8"/>
  <c r="O7" i="8"/>
  <c r="Q7" i="8" s="1"/>
  <c r="S7" i="8" s="1"/>
  <c r="N7" i="8"/>
  <c r="P7" i="8" s="1"/>
  <c r="Z7" i="8" s="1"/>
  <c r="L7" i="8"/>
  <c r="T7" i="8" s="1"/>
  <c r="K7" i="8"/>
  <c r="U7" i="8" s="1"/>
  <c r="C7" i="8"/>
  <c r="O6" i="8"/>
  <c r="Q6" i="8" s="1"/>
  <c r="AE6" i="8" s="1"/>
  <c r="N6" i="8"/>
  <c r="P6" i="8" s="1"/>
  <c r="R6" i="8" s="1"/>
  <c r="L6" i="8"/>
  <c r="M6" i="8" s="1"/>
  <c r="K6" i="8"/>
  <c r="U6" i="8" s="1"/>
  <c r="C6" i="8"/>
  <c r="AH5" i="8"/>
  <c r="AI5" i="8" s="1"/>
  <c r="P5" i="8"/>
  <c r="R5" i="8" s="1"/>
  <c r="O5" i="8"/>
  <c r="Q5" i="8" s="1"/>
  <c r="N5" i="8"/>
  <c r="L5" i="8"/>
  <c r="M5" i="8" s="1"/>
  <c r="K5" i="8"/>
  <c r="U5" i="8" s="1"/>
  <c r="C5" i="8"/>
  <c r="AH4" i="8"/>
  <c r="AI4" i="8" s="1"/>
  <c r="S4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S2" i="8"/>
  <c r="O2" i="8"/>
  <c r="N2" i="8"/>
  <c r="P2" i="8" s="1"/>
  <c r="R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J52" i="7"/>
  <c r="I40" i="7"/>
  <c r="J53" i="7" s="1"/>
  <c r="U51" i="7" s="1"/>
  <c r="J54" i="7"/>
  <c r="T51" i="7" s="1"/>
  <c r="J54" i="8" l="1"/>
  <c r="T51" i="8" s="1"/>
  <c r="J55" i="8"/>
  <c r="S51" i="8" s="1"/>
  <c r="J56" i="8"/>
  <c r="R51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4" i="8"/>
  <c r="X14" i="8" s="1"/>
  <c r="V8" i="8"/>
  <c r="V12" i="8"/>
  <c r="V13" i="8"/>
  <c r="W10" i="8"/>
  <c r="X10" i="8" s="1"/>
  <c r="S10" i="8"/>
  <c r="T12" i="8"/>
  <c r="T3" i="8"/>
  <c r="T10" i="8"/>
  <c r="W13" i="8"/>
  <c r="X13" i="8" s="1"/>
  <c r="M14" i="8"/>
  <c r="R42" i="8" s="1"/>
  <c r="M4" i="8"/>
  <c r="T6" i="8"/>
  <c r="W11" i="8"/>
  <c r="X11" i="8" s="1"/>
  <c r="V11" i="8"/>
  <c r="Q43" i="8"/>
  <c r="R43" i="8"/>
  <c r="R4" i="8"/>
  <c r="T5" i="8"/>
  <c r="R44" i="8"/>
  <c r="S41" i="8"/>
  <c r="Q44" i="8"/>
  <c r="R41" i="8"/>
  <c r="Q41" i="8"/>
  <c r="AE4" i="8"/>
  <c r="S9" i="8"/>
  <c r="AE9" i="8"/>
  <c r="Z12" i="8"/>
  <c r="Z9" i="8"/>
  <c r="Z13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4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M13" i="8"/>
  <c r="T13" i="8"/>
  <c r="S14" i="8"/>
  <c r="AE14" i="8"/>
  <c r="AF14" i="8" s="1"/>
  <c r="AE11" i="8"/>
  <c r="AE7" i="8"/>
  <c r="W12" i="8"/>
  <c r="X12" i="8" s="1"/>
  <c r="V14" i="8"/>
  <c r="M8" i="8"/>
  <c r="AE8" i="8"/>
  <c r="S8" i="8"/>
  <c r="AH7" i="8"/>
  <c r="AI7" i="8" s="1"/>
  <c r="S13" i="8"/>
  <c r="AC14" i="8"/>
  <c r="AD14" i="8" s="1"/>
  <c r="J33" i="8"/>
  <c r="J34" i="8" s="1"/>
  <c r="J35" i="8" s="1"/>
  <c r="J32" i="8"/>
  <c r="W8" i="8"/>
  <c r="X8" i="8" s="1"/>
  <c r="AH13" i="8"/>
  <c r="AI13" i="8" s="1"/>
  <c r="AH10" i="8"/>
  <c r="AI10" i="8" s="1"/>
  <c r="AH6" i="8"/>
  <c r="AI6" i="8" s="1"/>
  <c r="J53" i="8"/>
  <c r="U51" i="8" s="1"/>
  <c r="Q46" i="7"/>
  <c r="K42" i="7"/>
  <c r="L42" i="7" s="1"/>
  <c r="AG11" i="7" s="1"/>
  <c r="Q45" i="7" s="1"/>
  <c r="Q42" i="8" l="1"/>
  <c r="AK7" i="8" s="1"/>
  <c r="AL7" i="8" s="1"/>
  <c r="AM7" i="8" s="1"/>
  <c r="AA11" i="8"/>
  <c r="AB11" i="8" s="1"/>
  <c r="Y12" i="8"/>
  <c r="Y4" i="8"/>
  <c r="Y6" i="8"/>
  <c r="Y8" i="8"/>
  <c r="Y13" i="8"/>
  <c r="Y9" i="8"/>
  <c r="Y7" i="8"/>
  <c r="AA2" i="8"/>
  <c r="AC2" i="8"/>
  <c r="AC13" i="8"/>
  <c r="AA13" i="8"/>
  <c r="AB13" i="8" s="1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4" i="8"/>
  <c r="Q36" i="8"/>
  <c r="J36" i="8"/>
  <c r="AF8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L48" i="8" s="1"/>
  <c r="Q31" i="7"/>
  <c r="Q34" i="7"/>
  <c r="E50" i="7"/>
  <c r="AJ6" i="8" l="1"/>
  <c r="AO6" i="8" s="1"/>
  <c r="AN6" i="8" s="1"/>
  <c r="AK3" i="8"/>
  <c r="AL3" i="8" s="1"/>
  <c r="AM3" i="8" s="1"/>
  <c r="AK13" i="8"/>
  <c r="AL13" i="8" s="1"/>
  <c r="AM1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4" i="8"/>
  <c r="AO14" i="8" s="1"/>
  <c r="AN14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4" i="8"/>
  <c r="AL14" i="8" s="1"/>
  <c r="AM14" i="8" s="1"/>
  <c r="AJ4" i="8"/>
  <c r="AO4" i="8" s="1"/>
  <c r="AN4" i="8" s="1"/>
  <c r="AJ3" i="8"/>
  <c r="AO3" i="8" s="1"/>
  <c r="AK10" i="8"/>
  <c r="AL10" i="8" s="1"/>
  <c r="AM10" i="8" s="1"/>
  <c r="AJ13" i="8"/>
  <c r="AO13" i="8" s="1"/>
  <c r="AN13" i="8" s="1"/>
  <c r="AK12" i="8"/>
  <c r="AL12" i="8" s="1"/>
  <c r="AM12" i="8" s="1"/>
  <c r="AF3" i="8"/>
  <c r="AF4" i="8"/>
  <c r="AF12" i="8"/>
  <c r="AF2" i="8"/>
  <c r="AD2" i="8"/>
  <c r="AF9" i="8"/>
  <c r="AD10" i="8"/>
  <c r="AF10" i="8"/>
  <c r="J48" i="8"/>
  <c r="K48" i="8"/>
  <c r="AD6" i="8"/>
  <c r="AF6" i="8"/>
  <c r="K42" i="8"/>
  <c r="L42" i="8" s="1"/>
  <c r="Q45" i="8" s="1"/>
  <c r="AF5" i="8"/>
  <c r="AD13" i="8"/>
  <c r="AF13" i="8"/>
  <c r="S2" i="7"/>
  <c r="L2" i="8" l="1"/>
  <c r="T2" i="8" s="1"/>
  <c r="AH2" i="8"/>
  <c r="AI2" i="8" s="1"/>
  <c r="AK2" i="8" s="1"/>
  <c r="AL2" i="8" s="1"/>
  <c r="AM2" i="8" s="1"/>
  <c r="AT13" i="8"/>
  <c r="AU13" i="8" s="1"/>
  <c r="AT10" i="8"/>
  <c r="AU10" i="8" s="1"/>
  <c r="AT6" i="8"/>
  <c r="AU6" i="8" s="1"/>
  <c r="AT9" i="8"/>
  <c r="AU9" i="8" s="1"/>
  <c r="AT7" i="8"/>
  <c r="AU7" i="8" s="1"/>
  <c r="AT14" i="8"/>
  <c r="AU14" i="8" s="1"/>
  <c r="AT12" i="8"/>
  <c r="AU12" i="8" s="1"/>
  <c r="AT11" i="8"/>
  <c r="AU11" i="8" s="1"/>
  <c r="AT8" i="8"/>
  <c r="AU8" i="8" s="1"/>
  <c r="AR11" i="8"/>
  <c r="AS11" i="8" s="1"/>
  <c r="AR8" i="8"/>
  <c r="AS8" i="8" s="1"/>
  <c r="AR5" i="8"/>
  <c r="AS5" i="8" s="1"/>
  <c r="AR3" i="8"/>
  <c r="AR7" i="8"/>
  <c r="AS7" i="8" s="1"/>
  <c r="AR13" i="8"/>
  <c r="AS13" i="8" s="1"/>
  <c r="AR12" i="8"/>
  <c r="AS12" i="8" s="1"/>
  <c r="AR10" i="8"/>
  <c r="AS10" i="8" s="1"/>
  <c r="AR9" i="8"/>
  <c r="AS9" i="8" s="1"/>
  <c r="AR6" i="8"/>
  <c r="AS6" i="8" s="1"/>
  <c r="AR14" i="8"/>
  <c r="AS14" i="8" s="1"/>
  <c r="AR4" i="8"/>
  <c r="AS4" i="8" s="1"/>
  <c r="AP13" i="8"/>
  <c r="AQ13" i="8" s="1"/>
  <c r="AP10" i="8"/>
  <c r="AQ10" i="8" s="1"/>
  <c r="AP6" i="8"/>
  <c r="AQ6" i="8" s="1"/>
  <c r="AP14" i="8"/>
  <c r="AQ14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J2" i="8" l="1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36" i="7" l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<sst xmlns="http://schemas.openxmlformats.org/spreadsheetml/2006/main" count="1141" uniqueCount="295">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</sst>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168" fontId="0" fillId="8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8" borderId="0" xfId="0" applyNumberFormat="1" applyFill="1" applyBorder="1" applyAlignment="1">
      <alignment horizontal="right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6" fontId="0" fillId="5" borderId="4" xfId="0" applyNumberFormat="1" applyFill="1" applyBorder="1"/>
    <xf numFmtId="2" fontId="0" fillId="5" borderId="4" xfId="0" applyNumberFormat="1" applyFill="1" applyBorder="1"/>
    <xf numFmtId="2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/>
    <xf numFmtId="2" fontId="0" fillId="5" borderId="6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2672"/>
        <c:axId val="198615808"/>
      </c:scatterChart>
      <c:valAx>
        <c:axId val="1985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615808"/>
        <c:crosses val="autoZero"/>
        <c:crossBetween val="midCat"/>
      </c:valAx>
      <c:valAx>
        <c:axId val="198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5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Ard2_Turn2_ESC2_G2b_T2a!$L$4:$L$14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36</c:v>
                </c:pt>
                <c:pt idx="5">
                  <c:v>51</c:v>
                </c:pt>
                <c:pt idx="6">
                  <c:v>66</c:v>
                </c:pt>
                <c:pt idx="7">
                  <c:v>75</c:v>
                </c:pt>
                <c:pt idx="8">
                  <c:v>86</c:v>
                </c:pt>
                <c:pt idx="9">
                  <c:v>107</c:v>
                </c:pt>
                <c:pt idx="10">
                  <c:v>121</c:v>
                </c:pt>
              </c:numCache>
            </c:numRef>
          </c:xVal>
          <c:yVal>
            <c:numRef>
              <c:f>Ard2_Turn2_ESC2_G2b_T2a!$R$4:$R$14</c:f>
              <c:numCache>
                <c:formatCode>0</c:formatCode>
                <c:ptCount val="11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91.054778554778551</c:v>
                </c:pt>
                <c:pt idx="10">
                  <c:v>96.023844641101292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1488"/>
        <c:axId val="19988185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Ard2_Turn2_ESC2_G2b_T2a!$U$3:$U$14</c:f>
              <c:numCache>
                <c:formatCode>0.00</c:formatCode>
                <c:ptCount val="12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144.52500000000001</c:v>
                </c:pt>
                <c:pt idx="11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9312"/>
        <c:axId val="199883776"/>
      </c:scatterChart>
      <c:valAx>
        <c:axId val="1998714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881856"/>
        <c:crossesAt val="-40"/>
        <c:crossBetween val="midCat"/>
        <c:majorUnit val="20"/>
      </c:valAx>
      <c:valAx>
        <c:axId val="1998818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871488"/>
        <c:crosses val="autoZero"/>
        <c:crossBetween val="midCat"/>
      </c:valAx>
      <c:valAx>
        <c:axId val="1998837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029312"/>
        <c:crosses val="max"/>
        <c:crossBetween val="midCat"/>
        <c:majorUnit val="40"/>
      </c:valAx>
      <c:valAx>
        <c:axId val="2000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Ard2_Turn2_ESC2_G2b_T2a!$R$3:$R$14</c:f>
              <c:numCache>
                <c:formatCode>0</c:formatCode>
                <c:ptCount val="12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91.054778554778551</c:v>
                </c:pt>
                <c:pt idx="11">
                  <c:v>96.023844641101292</c:v>
                </c:pt>
              </c:numCache>
            </c:numRef>
          </c:xVal>
          <c:yVal>
            <c:numRef>
              <c:f>Ard2_Turn2_ESC2_G2b_T2a!$W$3:$W$14</c:f>
              <c:numCache>
                <c:formatCode>0.0000</c:formatCode>
                <c:ptCount val="12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0.19297545281916001</c:v>
                </c:pt>
                <c:pt idx="11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0560"/>
        <c:axId val="200052736"/>
      </c:scatterChart>
      <c:valAx>
        <c:axId val="2000505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0052736"/>
        <c:crosses val="autoZero"/>
        <c:crossBetween val="midCat"/>
      </c:valAx>
      <c:valAx>
        <c:axId val="20005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005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41958.041958041955</c:v>
                </c:pt>
                <c:pt idx="11">
                  <c:v>44247.787610619474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Ard2_Turn2_ESC2_G2b_T2a!$AJ$3:$AJ$14</c:f>
              <c:numCache>
                <c:formatCode>0.00</c:formatCode>
                <c:ptCount val="12"/>
                <c:pt idx="0">
                  <c:v>7025.2094628157865</c:v>
                </c:pt>
                <c:pt idx="1">
                  <c:v>9509.648766924809</c:v>
                </c:pt>
                <c:pt idx="2">
                  <c:v>13499.288370868882</c:v>
                </c:pt>
                <c:pt idx="3">
                  <c:v>15916.280549899515</c:v>
                </c:pt>
                <c:pt idx="4">
                  <c:v>18627.778700923896</c:v>
                </c:pt>
                <c:pt idx="5">
                  <c:v>24657.882382973185</c:v>
                </c:pt>
                <c:pt idx="6">
                  <c:v>29837.922385401442</c:v>
                </c:pt>
                <c:pt idx="7">
                  <c:v>33672.373809831603</c:v>
                </c:pt>
                <c:pt idx="8">
                  <c:v>35573.520095456988</c:v>
                </c:pt>
                <c:pt idx="9">
                  <c:v>37608.89883735621</c:v>
                </c:pt>
                <c:pt idx="10">
                  <c:v>40858.170603692277</c:v>
                </c:pt>
                <c:pt idx="11">
                  <c:v>42686.865236690028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1136"/>
        <c:axId val="200093056"/>
      </c:scatterChart>
      <c:valAx>
        <c:axId val="200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093056"/>
        <c:crosses val="autoZero"/>
        <c:crossBetween val="midCat"/>
      </c:valAx>
      <c:valAx>
        <c:axId val="20009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41958.041958041955</c:v>
                </c:pt>
                <c:pt idx="11">
                  <c:v>44247.787610619474</c:v>
                </c:pt>
              </c:numCache>
            </c:numRef>
          </c:xVal>
          <c:yVal>
            <c:numRef>
              <c:f>Ard2_Turn2_ESC2_G2b_T2a!$Y$3:$Y$14</c:f>
              <c:numCache>
                <c:formatCode>0.00000</c:formatCode>
                <c:ptCount val="12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2.1007612052886086E-2</c:v>
                </c:pt>
                <c:pt idx="11">
                  <c:v>2.2439587421271015E-2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7328"/>
        <c:axId val="200149248"/>
      </c:scatterChart>
      <c:valAx>
        <c:axId val="2001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0149248"/>
        <c:crosses val="autoZero"/>
        <c:crossBetween val="midCat"/>
      </c:valAx>
      <c:valAx>
        <c:axId val="20014924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014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2.4900000000000002</c:v>
                </c:pt>
                <c:pt idx="12">
                  <c:v>2.67</c:v>
                </c:pt>
              </c:numCache>
            </c:numRef>
          </c:xVal>
          <c:yVal>
            <c:numRef>
              <c:f>Ard2_Turn2_ESC2_G2b_T2a!$Q$2:$Q$14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34285.71428571429</c:v>
                </c:pt>
                <c:pt idx="12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2304"/>
        <c:axId val="200176768"/>
      </c:scatterChart>
      <c:valAx>
        <c:axId val="2001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76768"/>
        <c:crosses val="autoZero"/>
        <c:crossBetween val="midCat"/>
      </c:valAx>
      <c:valAx>
        <c:axId val="2001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6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Ard2_Turn2_ESC2_G2b_T2a!$J$41:$J$44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19.52760751067169</c:v>
                </c:pt>
                <c:pt idx="1">
                  <c:v>25.152212085646987</c:v>
                </c:pt>
                <c:pt idx="2">
                  <c:v>37.660776306801367</c:v>
                </c:pt>
                <c:pt idx="3">
                  <c:v>48.406008305283756</c:v>
                </c:pt>
                <c:pt idx="4">
                  <c:v>56.360014475718536</c:v>
                </c:pt>
                <c:pt idx="5">
                  <c:v>60.303663152663439</c:v>
                </c:pt>
                <c:pt idx="6">
                  <c:v>64.525757340398286</c:v>
                </c:pt>
                <c:pt idx="7">
                  <c:v>71.265894277378109</c:v>
                </c:pt>
                <c:pt idx="8">
                  <c:v>75.059252644635734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4.287211667669287E-2</c:v>
                </c:pt>
                <c:pt idx="8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0304"/>
        <c:axId val="200347648"/>
      </c:scatterChart>
      <c:valAx>
        <c:axId val="2002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347648"/>
        <c:crosses val="autoZero"/>
        <c:crossBetween val="midCat"/>
      </c:valAx>
      <c:valAx>
        <c:axId val="2003476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210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Ard2_Turn2_ESC2_G2b_T2a!$J$41:$J$44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19.52760751067169</c:v>
                </c:pt>
                <c:pt idx="1">
                  <c:v>25.152212085646987</c:v>
                </c:pt>
                <c:pt idx="2">
                  <c:v>37.660776306801367</c:v>
                </c:pt>
                <c:pt idx="3">
                  <c:v>48.406008305283756</c:v>
                </c:pt>
                <c:pt idx="4">
                  <c:v>56.360014475718536</c:v>
                </c:pt>
                <c:pt idx="5">
                  <c:v>60.303663152663439</c:v>
                </c:pt>
                <c:pt idx="6">
                  <c:v>64.525757340398286</c:v>
                </c:pt>
                <c:pt idx="7">
                  <c:v>71.265894277378109</c:v>
                </c:pt>
                <c:pt idx="8">
                  <c:v>75.059252644635734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4.287211667669287E-2</c:v>
                </c:pt>
                <c:pt idx="8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Ard2_Turn2_ESC2_G2b_T2a!$AN$4:$AN$14</c:f>
              <c:numCache>
                <c:formatCode>0.0</c:formatCode>
                <c:ptCount val="11"/>
                <c:pt idx="0">
                  <c:v>6.23799105893705</c:v>
                </c:pt>
                <c:pt idx="1">
                  <c:v>14.513912309471102</c:v>
                </c:pt>
                <c:pt idx="2">
                  <c:v>19.52760751067169</c:v>
                </c:pt>
                <c:pt idx="3">
                  <c:v>25.152212085646987</c:v>
                </c:pt>
                <c:pt idx="4">
                  <c:v>37.660776306801367</c:v>
                </c:pt>
                <c:pt idx="5">
                  <c:v>48.406008305283756</c:v>
                </c:pt>
                <c:pt idx="6">
                  <c:v>56.360014475718536</c:v>
                </c:pt>
                <c:pt idx="7">
                  <c:v>60.303663152663439</c:v>
                </c:pt>
                <c:pt idx="8">
                  <c:v>64.525757340398286</c:v>
                </c:pt>
                <c:pt idx="9">
                  <c:v>71.265894277378109</c:v>
                </c:pt>
                <c:pt idx="10">
                  <c:v>75.059252644635734</c:v>
                </c:pt>
              </c:numCache>
            </c:numRef>
          </c:xVal>
          <c:yVal>
            <c:numRef>
              <c:f>Ard2_Turn2_ESC2_G2b_T2a!$AS$4:$AS$14</c:f>
              <c:numCache>
                <c:formatCode>0.000</c:formatCode>
                <c:ptCount val="11"/>
                <c:pt idx="0">
                  <c:v>0.12913379913791689</c:v>
                </c:pt>
                <c:pt idx="1">
                  <c:v>9.9796134477744033E-2</c:v>
                </c:pt>
                <c:pt idx="2">
                  <c:v>8.7722495916940008E-2</c:v>
                </c:pt>
                <c:pt idx="3">
                  <c:v>7.723923314616081E-2</c:v>
                </c:pt>
                <c:pt idx="4">
                  <c:v>6.1021686221702016E-2</c:v>
                </c:pt>
                <c:pt idx="5">
                  <c:v>5.1697242671562629E-2</c:v>
                </c:pt>
                <c:pt idx="6">
                  <c:v>4.6443880467330376E-2</c:v>
                </c:pt>
                <c:pt idx="7">
                  <c:v>4.4216147360839772E-2</c:v>
                </c:pt>
                <c:pt idx="8">
                  <c:v>4.2056430736421319E-2</c:v>
                </c:pt>
                <c:pt idx="9">
                  <c:v>3.9014282974998128E-2</c:v>
                </c:pt>
                <c:pt idx="10">
                  <c:v>3.7488134201915317E-2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3760"/>
        <c:axId val="200375680"/>
      </c:scatterChart>
      <c:valAx>
        <c:axId val="2003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375680"/>
        <c:crosses val="autoZero"/>
        <c:crossBetween val="midCat"/>
      </c:valAx>
      <c:valAx>
        <c:axId val="2003756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3737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7328"/>
        <c:axId val="441193600"/>
      </c:scatterChart>
      <c:valAx>
        <c:axId val="4411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1193600"/>
        <c:crosses val="autoZero"/>
        <c:crossBetween val="midCat"/>
      </c:valAx>
      <c:valAx>
        <c:axId val="441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11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37</c:v>
                </c:pt>
                <c:pt idx="5">
                  <c:v>51</c:v>
                </c:pt>
                <c:pt idx="6">
                  <c:v>67</c:v>
                </c:pt>
                <c:pt idx="7">
                  <c:v>72</c:v>
                </c:pt>
                <c:pt idx="8">
                  <c:v>85</c:v>
                </c:pt>
                <c:pt idx="9">
                  <c:v>106</c:v>
                </c:pt>
                <c:pt idx="10">
                  <c:v>123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34176"/>
        <c:axId val="44123609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169.197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52480"/>
        <c:axId val="441250560"/>
      </c:scatterChart>
      <c:valAx>
        <c:axId val="4412341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1236096"/>
        <c:crossesAt val="-40"/>
        <c:crossBetween val="midCat"/>
        <c:majorUnit val="20"/>
      </c:valAx>
      <c:valAx>
        <c:axId val="4412360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1234176"/>
        <c:crosses val="autoZero"/>
        <c:crossBetween val="midCat"/>
      </c:valAx>
      <c:valAx>
        <c:axId val="441250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1252480"/>
        <c:crosses val="max"/>
        <c:crossBetween val="midCat"/>
        <c:majorUnit val="40"/>
      </c:valAx>
      <c:valAx>
        <c:axId val="4412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2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0.22457561707244003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69632"/>
        <c:axId val="441304576"/>
      </c:scatterChart>
      <c:valAx>
        <c:axId val="441269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1304576"/>
        <c:crosses val="autoZero"/>
        <c:crossBetween val="midCat"/>
      </c:valAx>
      <c:valAx>
        <c:axId val="44130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4126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0448"/>
        <c:axId val="19900236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6944"/>
        <c:axId val="199025024"/>
      </c:scatterChart>
      <c:valAx>
        <c:axId val="1990004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002368"/>
        <c:crossesAt val="-40"/>
        <c:crossBetween val="midCat"/>
        <c:majorUnit val="20"/>
      </c:valAx>
      <c:valAx>
        <c:axId val="199002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000448"/>
        <c:crosses val="autoZero"/>
        <c:crossBetween val="midCat"/>
      </c:valAx>
      <c:valAx>
        <c:axId val="1990250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026944"/>
        <c:crosses val="max"/>
        <c:crossBetween val="midCat"/>
        <c:majorUnit val="40"/>
      </c:valAx>
      <c:valAx>
        <c:axId val="1990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5490.6266598112961</c:v>
                </c:pt>
                <c:pt idx="1">
                  <c:v>9732.9952240408602</c:v>
                </c:pt>
                <c:pt idx="2">
                  <c:v>14724.57659301941</c:v>
                </c:pt>
                <c:pt idx="3">
                  <c:v>17013.926839222258</c:v>
                </c:pt>
                <c:pt idx="4">
                  <c:v>20669.912413585356</c:v>
                </c:pt>
                <c:pt idx="5">
                  <c:v>25892.608417787182</c:v>
                </c:pt>
                <c:pt idx="6">
                  <c:v>30167.668467812655</c:v>
                </c:pt>
                <c:pt idx="7">
                  <c:v>33802.740735248961</c:v>
                </c:pt>
                <c:pt idx="8">
                  <c:v>34761.555415154267</c:v>
                </c:pt>
                <c:pt idx="9">
                  <c:v>36972.771866840376</c:v>
                </c:pt>
                <c:pt idx="10">
                  <c:v>39914.057492230306</c:v>
                </c:pt>
                <c:pt idx="11">
                  <c:v>41895.608213060579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73152"/>
        <c:axId val="442238464"/>
      </c:scatterChart>
      <c:valAx>
        <c:axId val="4422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2238464"/>
        <c:crosses val="autoZero"/>
        <c:crossBetween val="midCat"/>
      </c:valAx>
      <c:valAx>
        <c:axId val="44223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22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2.3719240081805502E-2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88384"/>
        <c:axId val="442298752"/>
      </c:scatterChart>
      <c:valAx>
        <c:axId val="4422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2298752"/>
        <c:crosses val="autoZero"/>
        <c:crossBetween val="midCat"/>
      </c:valAx>
      <c:valAx>
        <c:axId val="4422987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2288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2.79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58944"/>
        <c:axId val="458660864"/>
      </c:scatterChart>
      <c:valAx>
        <c:axId val="4586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660864"/>
        <c:crosses val="autoZero"/>
        <c:crossBetween val="midCat"/>
      </c:valAx>
      <c:valAx>
        <c:axId val="4586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6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Ard3_Turn3_ESC3_G3b_T3a!$J$41:$J$44</c:f>
              <c:numCache>
                <c:formatCode>0.000</c:formatCode>
                <c:ptCount val="4"/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20.485763455176713</c:v>
                </c:pt>
                <c:pt idx="1">
                  <c:v>28.191195781966027</c:v>
                </c:pt>
                <c:pt idx="2">
                  <c:v>39.198660063545098</c:v>
                </c:pt>
                <c:pt idx="3">
                  <c:v>48.208866815843471</c:v>
                </c:pt>
                <c:pt idx="4">
                  <c:v>55.87022181574622</c:v>
                </c:pt>
                <c:pt idx="5">
                  <c:v>57.891039863210622</c:v>
                </c:pt>
                <c:pt idx="6">
                  <c:v>62.551446306777834</c:v>
                </c:pt>
                <c:pt idx="7">
                  <c:v>68.750561943099385</c:v>
                </c:pt>
                <c:pt idx="8">
                  <c:v>72.926920047061046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17920"/>
        <c:axId val="411219840"/>
      </c:scatterChart>
      <c:valAx>
        <c:axId val="4112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219840"/>
        <c:crosses val="autoZero"/>
        <c:crossBetween val="midCat"/>
      </c:valAx>
      <c:valAx>
        <c:axId val="4112198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1217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Ard3_Turn3_ESC3_G3b_T3a!$J$41:$J$44</c:f>
              <c:numCache>
                <c:formatCode>0.000</c:formatCode>
                <c:ptCount val="4"/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20.485763455176713</c:v>
                </c:pt>
                <c:pt idx="1">
                  <c:v>28.191195781966027</c:v>
                </c:pt>
                <c:pt idx="2">
                  <c:v>39.198660063545098</c:v>
                </c:pt>
                <c:pt idx="3">
                  <c:v>48.208866815843471</c:v>
                </c:pt>
                <c:pt idx="4">
                  <c:v>55.87022181574622</c:v>
                </c:pt>
                <c:pt idx="5">
                  <c:v>57.891039863210622</c:v>
                </c:pt>
                <c:pt idx="6">
                  <c:v>62.551446306777834</c:v>
                </c:pt>
                <c:pt idx="7">
                  <c:v>68.750561943099385</c:v>
                </c:pt>
                <c:pt idx="8">
                  <c:v>72.926920047061046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5.1403183773375751</c:v>
                </c:pt>
                <c:pt idx="1">
                  <c:v>15.660680577898781</c:v>
                </c:pt>
                <c:pt idx="2">
                  <c:v>20.485763455176713</c:v>
                </c:pt>
                <c:pt idx="3">
                  <c:v>28.191195781966027</c:v>
                </c:pt>
                <c:pt idx="4">
                  <c:v>39.198660063545098</c:v>
                </c:pt>
                <c:pt idx="5">
                  <c:v>48.208866815843471</c:v>
                </c:pt>
                <c:pt idx="6">
                  <c:v>55.87022181574622</c:v>
                </c:pt>
                <c:pt idx="7">
                  <c:v>57.891039863210622</c:v>
                </c:pt>
                <c:pt idx="8">
                  <c:v>62.551446306777834</c:v>
                </c:pt>
                <c:pt idx="9">
                  <c:v>68.750561943099385</c:v>
                </c:pt>
                <c:pt idx="10">
                  <c:v>72.926920047061046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0.13733856660955784</c:v>
                </c:pt>
                <c:pt idx="1">
                  <c:v>9.6336378110734394E-2</c:v>
                </c:pt>
                <c:pt idx="2">
                  <c:v>8.47340162969418E-2</c:v>
                </c:pt>
                <c:pt idx="3">
                  <c:v>7.1065875756500141E-2</c:v>
                </c:pt>
                <c:pt idx="4">
                  <c:v>5.7756871127111475E-2</c:v>
                </c:pt>
                <c:pt idx="5">
                  <c:v>5.0079815985667443E-2</c:v>
                </c:pt>
                <c:pt idx="6">
                  <c:v>4.4994465092813393E-2</c:v>
                </c:pt>
                <c:pt idx="7">
                  <c:v>4.3820758046380269E-2</c:v>
                </c:pt>
                <c:pt idx="8">
                  <c:v>4.1334156062231023E-2</c:v>
                </c:pt>
                <c:pt idx="9">
                  <c:v>3.8433214109720726E-2</c:v>
                </c:pt>
                <c:pt idx="10">
                  <c:v>3.6698048517703877E-2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33280"/>
        <c:axId val="411235456"/>
      </c:scatterChart>
      <c:valAx>
        <c:axId val="4112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235456"/>
        <c:crosses val="autoZero"/>
        <c:crossBetween val="midCat"/>
      </c:valAx>
      <c:valAx>
        <c:axId val="411235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12332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7056"/>
        <c:axId val="200718976"/>
      </c:scatterChart>
      <c:valAx>
        <c:axId val="2007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976"/>
        <c:crosses val="autoZero"/>
        <c:crossBetween val="midCat"/>
      </c:valAx>
      <c:valAx>
        <c:axId val="2007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0032"/>
        <c:axId val="200794496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2688"/>
        <c:axId val="200796416"/>
      </c:scatterChart>
      <c:valAx>
        <c:axId val="2007800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4496"/>
        <c:crossesAt val="-40"/>
        <c:crossBetween val="midCat"/>
        <c:majorUnit val="20"/>
      </c:valAx>
      <c:valAx>
        <c:axId val="200794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0032"/>
        <c:crosses val="autoZero"/>
        <c:crossBetween val="midCat"/>
      </c:valAx>
      <c:valAx>
        <c:axId val="2007964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688"/>
        <c:crosses val="max"/>
        <c:crossBetween val="midCat"/>
        <c:majorUnit val="40"/>
      </c:valAx>
      <c:valAx>
        <c:axId val="20080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6224"/>
        <c:axId val="200838144"/>
      </c:scatterChart>
      <c:valAx>
        <c:axId val="2008362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0838144"/>
        <c:crosses val="autoZero"/>
        <c:crossBetween val="midCat"/>
      </c:valAx>
      <c:valAx>
        <c:axId val="20083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3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4992"/>
        <c:axId val="200886912"/>
      </c:scatterChart>
      <c:valAx>
        <c:axId val="200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6912"/>
        <c:crosses val="autoZero"/>
        <c:crossBetween val="midCat"/>
      </c:valAx>
      <c:valAx>
        <c:axId val="20088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0432"/>
        <c:axId val="200931968"/>
      </c:scatterChart>
      <c:valAx>
        <c:axId val="200930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0931968"/>
        <c:crosses val="autoZero"/>
        <c:crossBetween val="midCat"/>
      </c:valAx>
      <c:valAx>
        <c:axId val="2009319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093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Ard1_Turn1_ESC1_G1b_T1a!$W$3:$W$14</c:f>
              <c:numCache>
                <c:formatCode>0.0000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216"/>
        <c:axId val="199439488"/>
      </c:scatterChart>
      <c:valAx>
        <c:axId val="199433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439488"/>
        <c:crosses val="autoZero"/>
        <c:crossBetween val="midCat"/>
      </c:valAx>
      <c:valAx>
        <c:axId val="1994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94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3296"/>
        <c:axId val="200985216"/>
      </c:scatterChart>
      <c:valAx>
        <c:axId val="20098329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0985216"/>
        <c:crosses val="autoZero"/>
        <c:crossBetween val="midCat"/>
      </c:valAx>
      <c:valAx>
        <c:axId val="20098521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098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120"/>
        <c:axId val="201079040"/>
      </c:scatterChart>
      <c:valAx>
        <c:axId val="2010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040"/>
        <c:crosses val="autoZero"/>
        <c:crossBetween val="midCat"/>
      </c:valAx>
      <c:valAx>
        <c:axId val="201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8176"/>
        <c:axId val="201140096"/>
      </c:scatterChart>
      <c:valAx>
        <c:axId val="2011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096"/>
        <c:crosses val="autoZero"/>
        <c:crossBetween val="midCat"/>
      </c:valAx>
      <c:valAx>
        <c:axId val="201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712"/>
        <c:axId val="201157632"/>
      </c:scatterChart>
      <c:valAx>
        <c:axId val="201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7632"/>
        <c:crosses val="autoZero"/>
        <c:crossBetween val="midCat"/>
      </c:valAx>
      <c:valAx>
        <c:axId val="20115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6400"/>
        <c:axId val="201208192"/>
      </c:scatterChart>
      <c:valAx>
        <c:axId val="20120640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1208192"/>
        <c:crosses val="autoZero"/>
        <c:crossBetween val="midCat"/>
        <c:minorUnit val="2"/>
      </c:valAx>
      <c:valAx>
        <c:axId val="20120819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0120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4976"/>
        <c:axId val="198669440"/>
      </c:scatterChart>
      <c:valAx>
        <c:axId val="1986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440"/>
        <c:crosses val="autoZero"/>
        <c:crossBetween val="midCat"/>
      </c:valAx>
      <c:valAx>
        <c:axId val="1986694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5008"/>
        <c:axId val="198876544"/>
      </c:scatterChart>
      <c:valAx>
        <c:axId val="1988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6544"/>
        <c:crosses val="autoZero"/>
        <c:crossBetween val="midCat"/>
      </c:valAx>
      <c:valAx>
        <c:axId val="1988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3856"/>
        <c:axId val="19880012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2416"/>
        <c:axId val="198802048"/>
      </c:scatterChart>
      <c:valAx>
        <c:axId val="1987938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0128"/>
        <c:crossesAt val="-40"/>
        <c:crossBetween val="midCat"/>
        <c:majorUnit val="20"/>
      </c:valAx>
      <c:valAx>
        <c:axId val="19880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3856"/>
        <c:crosses val="autoZero"/>
        <c:crossBetween val="midCat"/>
      </c:valAx>
      <c:valAx>
        <c:axId val="1988020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416"/>
        <c:crosses val="max"/>
        <c:crossBetween val="midCat"/>
        <c:majorUnit val="40"/>
      </c:valAx>
      <c:valAx>
        <c:axId val="1988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3632"/>
        <c:axId val="201735552"/>
      </c:scatterChart>
      <c:valAx>
        <c:axId val="201733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735552"/>
        <c:crosses val="autoZero"/>
        <c:crossBetween val="midCat"/>
      </c:valAx>
      <c:valAx>
        <c:axId val="20173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7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8304"/>
        <c:axId val="201780224"/>
      </c:scatterChart>
      <c:valAx>
        <c:axId val="2017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224"/>
        <c:crosses val="autoZero"/>
        <c:crossBetween val="midCat"/>
      </c:valAx>
      <c:valAx>
        <c:axId val="20178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0176"/>
        <c:axId val="199566080"/>
      </c:scatterChart>
      <c:valAx>
        <c:axId val="1994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566080"/>
        <c:crosses val="autoZero"/>
        <c:crossBetween val="midCat"/>
      </c:valAx>
      <c:valAx>
        <c:axId val="19956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4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0400"/>
        <c:axId val="201831936"/>
      </c:scatterChart>
      <c:valAx>
        <c:axId val="201830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1831936"/>
        <c:crosses val="autoZero"/>
        <c:crossBetween val="midCat"/>
      </c:valAx>
      <c:valAx>
        <c:axId val="2018319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183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6144"/>
        <c:axId val="201928064"/>
      </c:scatterChart>
      <c:valAx>
        <c:axId val="201926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1928064"/>
        <c:crosses val="autoZero"/>
        <c:crossBetween val="midCat"/>
        <c:dispUnits>
          <c:builtInUnit val="thousands"/>
          <c:dispUnitsLbl/>
        </c:dispUnits>
      </c:valAx>
      <c:valAx>
        <c:axId val="201928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92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7760"/>
        <c:axId val="201959680"/>
      </c:scatterChart>
      <c:valAx>
        <c:axId val="2019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59680"/>
        <c:crosses val="autoZero"/>
        <c:crossBetween val="midCat"/>
      </c:valAx>
      <c:valAx>
        <c:axId val="2019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8352"/>
        <c:axId val="201998336"/>
      </c:scatterChart>
      <c:valAx>
        <c:axId val="201988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1998336"/>
        <c:crosses val="autoZero"/>
        <c:crossBetween val="midCat"/>
      </c:valAx>
      <c:valAx>
        <c:axId val="2019983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198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7696"/>
        <c:axId val="202079616"/>
      </c:scatterChart>
      <c:valAx>
        <c:axId val="2020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9616"/>
        <c:crosses val="autoZero"/>
        <c:crossBetween val="midCat"/>
      </c:valAx>
      <c:valAx>
        <c:axId val="2020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6768"/>
        <c:axId val="202258304"/>
      </c:scatterChart>
      <c:valAx>
        <c:axId val="2022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8304"/>
        <c:crosses val="autoZero"/>
        <c:crossBetween val="midCat"/>
      </c:valAx>
      <c:valAx>
        <c:axId val="202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8496"/>
        <c:axId val="20230041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8224"/>
        <c:axId val="202306688"/>
      </c:scatterChart>
      <c:valAx>
        <c:axId val="2022984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0416"/>
        <c:crosses val="autoZero"/>
        <c:crossBetween val="midCat"/>
      </c:valAx>
      <c:valAx>
        <c:axId val="2023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8496"/>
        <c:crosses val="autoZero"/>
        <c:crossBetween val="midCat"/>
      </c:valAx>
      <c:valAx>
        <c:axId val="20230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8224"/>
        <c:crosses val="max"/>
        <c:crossBetween val="midCat"/>
      </c:valAx>
      <c:valAx>
        <c:axId val="2023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7664"/>
        <c:axId val="202364416"/>
      </c:scatterChart>
      <c:valAx>
        <c:axId val="2023376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364416"/>
        <c:crosses val="autoZero"/>
        <c:crossBetween val="midCat"/>
      </c:valAx>
      <c:valAx>
        <c:axId val="20236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02048"/>
        <c:axId val="202408320"/>
      </c:scatterChart>
      <c:valAx>
        <c:axId val="2024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408320"/>
        <c:crosses val="autoZero"/>
        <c:crossBetween val="midCat"/>
      </c:valAx>
      <c:valAx>
        <c:axId val="2024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0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0432"/>
        <c:axId val="202451968"/>
      </c:scatterChart>
      <c:valAx>
        <c:axId val="20245043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1968"/>
        <c:crosses val="autoZero"/>
        <c:crossBetween val="midCat"/>
      </c:valAx>
      <c:valAx>
        <c:axId val="2024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043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768"/>
        <c:axId val="199595136"/>
      </c:scatterChart>
      <c:valAx>
        <c:axId val="1995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9595136"/>
        <c:crosses val="autoZero"/>
        <c:crossBetween val="midCat"/>
      </c:valAx>
      <c:valAx>
        <c:axId val="1995951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958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0544"/>
        <c:axId val="202478720"/>
      </c:scatterChart>
      <c:valAx>
        <c:axId val="2024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8720"/>
        <c:crosses val="autoZero"/>
        <c:crossBetween val="midCat"/>
      </c:valAx>
      <c:valAx>
        <c:axId val="202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5600"/>
        <c:axId val="202587136"/>
      </c:scatterChart>
      <c:valAx>
        <c:axId val="2025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136"/>
        <c:crosses val="autoZero"/>
        <c:crossBetween val="midCat"/>
      </c:valAx>
      <c:valAx>
        <c:axId val="20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1792"/>
        <c:axId val="202643712"/>
      </c:scatterChart>
      <c:valAx>
        <c:axId val="2026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712"/>
        <c:crosses val="autoZero"/>
        <c:crossBetween val="midCat"/>
      </c:valAx>
      <c:valAx>
        <c:axId val="202643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2672"/>
        <c:axId val="199635328"/>
      </c:scatterChart>
      <c:valAx>
        <c:axId val="1996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635328"/>
        <c:crosses val="autoZero"/>
        <c:crossBetween val="midCat"/>
      </c:valAx>
      <c:valAx>
        <c:axId val="1996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2960"/>
        <c:axId val="199674880"/>
      </c:scatterChart>
      <c:valAx>
        <c:axId val="199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674880"/>
        <c:crosses val="autoZero"/>
        <c:crossBetween val="midCat"/>
      </c:valAx>
      <c:valAx>
        <c:axId val="199674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6729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0.19406897348654334</c:v>
                </c:pt>
                <c:pt idx="1">
                  <c:v>0.1142721857045448</c:v>
                </c:pt>
                <c:pt idx="2">
                  <c:v>0.10725273393882387</c:v>
                </c:pt>
                <c:pt idx="3">
                  <c:v>8.5200650888904023E-2</c:v>
                </c:pt>
                <c:pt idx="4">
                  <c:v>6.7103967393701752E-2</c:v>
                </c:pt>
                <c:pt idx="5">
                  <c:v>5.3488735364743099E-2</c:v>
                </c:pt>
                <c:pt idx="6">
                  <c:v>5.1931338846425645E-2</c:v>
                </c:pt>
                <c:pt idx="7">
                  <c:v>5.0118837328647824E-2</c:v>
                </c:pt>
                <c:pt idx="8">
                  <c:v>4.8920816381226653E-2</c:v>
                </c:pt>
                <c:pt idx="9">
                  <c:v>4.4108354987782823E-2</c:v>
                </c:pt>
                <c:pt idx="10">
                  <c:v>3.6561253012996953E-2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3184"/>
        <c:axId val="199783552"/>
      </c:scatterChart>
      <c:valAx>
        <c:axId val="1997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83552"/>
        <c:crosses val="autoZero"/>
        <c:crossBetween val="midCat"/>
      </c:valAx>
      <c:valAx>
        <c:axId val="1997835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7731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Ard2_Turn2_ESC2_G2b_T2a!$P$4:$P$14</c:f>
              <c:numCache>
                <c:formatCode>0</c:formatCode>
                <c:ptCount val="11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44247.787610619474</c:v>
                </c:pt>
              </c:numCache>
            </c:numRef>
          </c:xVal>
          <c:yVal>
            <c:numRef>
              <c:f>Ard2_Turn2_ESC2_G2b_T2a!$Q$4:$Q$14</c:f>
              <c:numCache>
                <c:formatCode>0</c:formatCode>
                <c:ptCount val="11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34285.71428571429</c:v>
                </c:pt>
                <c:pt idx="10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968"/>
        <c:axId val="199823360"/>
      </c:scatterChart>
      <c:valAx>
        <c:axId val="199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823360"/>
        <c:crosses val="autoZero"/>
        <c:crossBetween val="midCat"/>
      </c:valAx>
      <c:valAx>
        <c:axId val="1998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K1" zoomScale="80" zoomScaleNormal="80" workbookViewId="0">
      <selection activeCell="S11" sqref="S1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3">
        <f t="shared" ref="C2:C14" si="1">D2/180+1</f>
        <v>1.0275567089078661</v>
      </c>
      <c r="D2" s="275">
        <f>EXP((0-$Q$42)/$R$42)</f>
        <v>4.960207603415915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32">
        <f t="shared" ref="L2:L14" si="3">D2</f>
        <v>4.960207603415915</v>
      </c>
      <c r="M2" s="237">
        <f t="shared" ref="M2:M14" si="4">LN(L2)</f>
        <v>1.6014475953883203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4.960207603415915</v>
      </c>
      <c r="U2" s="158">
        <f t="shared" si="0"/>
        <v>1.7394999999999998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11">$Q$38*(P2/$Q$31/100)^3</f>
        <v>9.76843480821773E-87</v>
      </c>
      <c r="AA2" s="232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31">
        <f t="shared" ref="AH2:AH14" si="16">D2/$Q$32*$Q$24</f>
        <v>0.13778354453933098</v>
      </c>
      <c r="AI2" s="231">
        <f t="shared" ref="AI2:AI14" si="17">AH2/$Q$24*$Q$32</f>
        <v>4.960207603415915</v>
      </c>
      <c r="AJ2" s="232">
        <f t="shared" ref="AJ2:AJ14" si="18">MAX(($Q$42+$R$42*LN($AI2)),0)</f>
        <v>0</v>
      </c>
      <c r="AK2" s="232">
        <f t="shared" ref="AK2:AK14" si="19">MAX(($Q$42+$R$42*LN(AI2))/$Q$31,0)</f>
        <v>0</v>
      </c>
      <c r="AL2" s="232">
        <f t="shared" ref="AL2:AL14" si="20">($Q$43+$R$43*AK2*$Q$31)/$Q$31</f>
        <v>-15.829429659212211</v>
      </c>
      <c r="AM2" s="232">
        <f t="shared" ref="AM2:AM14" si="21">($Q$44+$R$44*AL2*$Q$31)/$Q$31</f>
        <v>0.20287136645265688</v>
      </c>
      <c r="AN2" s="1"/>
      <c r="AO2" s="1">
        <f t="shared" ref="AO2:AO14" si="22">MAX($Q$43+$R$43*AJ2, 0)</f>
        <v>0</v>
      </c>
      <c r="AP2" s="230"/>
      <c r="AQ2" s="230"/>
      <c r="AR2" s="230"/>
      <c r="AS2" s="1"/>
      <c r="AT2" s="230"/>
      <c r="AU2" s="1"/>
    </row>
    <row r="3" spans="1:51" ht="15" customHeight="1" x14ac:dyDescent="0.3">
      <c r="A3" t="s">
        <v>223</v>
      </c>
      <c r="B3" t="s">
        <v>201</v>
      </c>
      <c r="C3" s="223">
        <f t="shared" si="1"/>
        <v>1.05</v>
      </c>
      <c r="D3" s="73">
        <v>9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9</v>
      </c>
      <c r="M3" s="237">
        <f t="shared" si="4"/>
        <v>2.1972245773362196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9</v>
      </c>
      <c r="U3" s="158">
        <f>K3</f>
        <v>8.6904000000000003</v>
      </c>
      <c r="V3" s="1">
        <f t="shared" ref="V3:V14" si="24">($U3-$U$2)</f>
        <v>6.9509000000000007</v>
      </c>
      <c r="W3" s="237">
        <f t="shared" ref="W3:W14" si="25">($U3-$U$2)*0.001341022</f>
        <v>9.321309819800002E-3</v>
      </c>
      <c r="X3" s="233">
        <f>$W3/$P3*5252</f>
        <v>4.9445074365325505E-3</v>
      </c>
      <c r="Y3" s="233">
        <f>X3-$X$3</f>
        <v>0</v>
      </c>
      <c r="Z3" s="231">
        <f t="shared" si="11"/>
        <v>4.3894197155229624E-2</v>
      </c>
      <c r="AA3" s="232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31">
        <f t="shared" si="16"/>
        <v>0.25</v>
      </c>
      <c r="AI3" s="231">
        <f t="shared" si="17"/>
        <v>9</v>
      </c>
      <c r="AJ3" s="232">
        <f t="shared" si="18"/>
        <v>7728.103417368322</v>
      </c>
      <c r="AK3" s="232">
        <f t="shared" si="19"/>
        <v>16.771057763386114</v>
      </c>
      <c r="AL3" s="232">
        <f t="shared" si="20"/>
        <v>0.79216508307267319</v>
      </c>
      <c r="AM3" s="232">
        <f t="shared" si="21"/>
        <v>16.911830175013787</v>
      </c>
      <c r="AN3" s="1"/>
      <c r="AO3" s="1">
        <f t="shared" si="22"/>
        <v>365.02967027988871</v>
      </c>
      <c r="AP3" s="230">
        <f t="shared" ref="AP3:AP14" si="27">MAX($J$48+$AJ3*($K$48+$AJ3*$L$48), 0)</f>
        <v>0</v>
      </c>
      <c r="AQ3" s="230">
        <f>AJ3*AP3/5252</f>
        <v>0</v>
      </c>
      <c r="AR3" s="234">
        <f t="shared" ref="AR3:AR14" si="28">MAX($K$48+$L$48*2*AJ3,1E-32)</f>
        <v>1.5785897426417022E-7</v>
      </c>
      <c r="AS3" s="231"/>
      <c r="AT3" s="1"/>
      <c r="AU3" s="231"/>
      <c r="AX3" s="128"/>
      <c r="AY3" s="96"/>
    </row>
    <row r="4" spans="1:51" ht="15" customHeight="1" x14ac:dyDescent="0.3">
      <c r="A4" t="s">
        <v>224</v>
      </c>
      <c r="B4" t="s">
        <v>234</v>
      </c>
      <c r="C4" s="223">
        <f t="shared" si="1"/>
        <v>1.0555555555555556</v>
      </c>
      <c r="D4" s="73">
        <v>10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10</v>
      </c>
      <c r="M4" s="237">
        <f t="shared" si="4"/>
        <v>2.3025850929940459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10</v>
      </c>
      <c r="U4" s="158">
        <f t="shared" si="0"/>
        <v>9.4982400000000009</v>
      </c>
      <c r="V4" s="232">
        <f t="shared" si="24"/>
        <v>7.7587400000000013</v>
      </c>
      <c r="W4" s="237">
        <f t="shared" si="25"/>
        <v>1.0404641032280003E-2</v>
      </c>
      <c r="X4" s="233">
        <f t="shared" ref="X4:X14" si="29">$W4/$P4*5252</f>
        <v>5.0820012472427142E-3</v>
      </c>
      <c r="Y4" s="233">
        <f t="shared" ref="Y4:Y14" si="30">X4-$X$3</f>
        <v>1.3749381071016375E-4</v>
      </c>
      <c r="Z4" s="231">
        <f t="shared" si="11"/>
        <v>5.6224083613656932E-2</v>
      </c>
      <c r="AA4" s="232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31">
        <f t="shared" si="16"/>
        <v>0.27777777777777779</v>
      </c>
      <c r="AI4" s="231">
        <f t="shared" si="17"/>
        <v>10</v>
      </c>
      <c r="AJ4" s="232">
        <f t="shared" si="18"/>
        <v>9094.7842153554811</v>
      </c>
      <c r="AK4" s="232">
        <f t="shared" si="19"/>
        <v>19.736944911795749</v>
      </c>
      <c r="AL4" s="232">
        <f t="shared" si="20"/>
        <v>3.7316203594023989</v>
      </c>
      <c r="AM4" s="232">
        <f t="shared" si="21"/>
        <v>19.86673539880999</v>
      </c>
      <c r="AN4" s="2">
        <f t="shared" ref="AN4:AN14" si="32">AO4/$Q$31</f>
        <v>3.7316203594023989</v>
      </c>
      <c r="AO4" s="3">
        <f t="shared" si="22"/>
        <v>1719.5306616126254</v>
      </c>
      <c r="AP4" s="230">
        <f t="shared" si="27"/>
        <v>0</v>
      </c>
      <c r="AQ4" s="230">
        <f t="shared" ref="AQ4:AQ14" si="33">AJ4*AP4/5252</f>
        <v>0</v>
      </c>
      <c r="AR4" s="234">
        <f t="shared" si="28"/>
        <v>1.9285317396390251E-7</v>
      </c>
      <c r="AS4" s="231">
        <f t="shared" ref="AS4:AS14" si="34">$Q$36/AR4</f>
        <v>0.19406897348654334</v>
      </c>
      <c r="AT4" s="1"/>
      <c r="AU4" s="231"/>
      <c r="AX4" s="127"/>
      <c r="AY4" s="96"/>
    </row>
    <row r="5" spans="1:51" ht="13.9" customHeight="1" x14ac:dyDescent="0.3">
      <c r="A5" t="s">
        <v>225</v>
      </c>
      <c r="B5" s="176">
        <v>16</v>
      </c>
      <c r="C5" s="223">
        <f t="shared" si="1"/>
        <v>1.0833333333333333</v>
      </c>
      <c r="D5" s="73">
        <v>15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15</v>
      </c>
      <c r="M5" s="237">
        <f t="shared" si="4"/>
        <v>2.7080502011022101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15</v>
      </c>
      <c r="U5" s="158">
        <f t="shared" si="0"/>
        <v>12.609129999999999</v>
      </c>
      <c r="V5" s="232">
        <f t="shared" si="24"/>
        <v>10.869629999999999</v>
      </c>
      <c r="W5" s="237">
        <f t="shared" si="25"/>
        <v>1.457641296186E-2</v>
      </c>
      <c r="X5" s="233">
        <f t="shared" si="29"/>
        <v>5.3588724612982103E-3</v>
      </c>
      <c r="Y5" s="233">
        <f t="shared" si="30"/>
        <v>4.1436502476565988E-4</v>
      </c>
      <c r="Z5" s="231">
        <f t="shared" si="11"/>
        <v>0.13184908228347009</v>
      </c>
      <c r="AA5" s="232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31">
        <f t="shared" si="16"/>
        <v>0.41666666666666663</v>
      </c>
      <c r="AI5" s="231">
        <f t="shared" si="17"/>
        <v>15</v>
      </c>
      <c r="AJ5" s="232">
        <f t="shared" si="18"/>
        <v>14354.262816474617</v>
      </c>
      <c r="AK5" s="232">
        <f t="shared" si="19"/>
        <v>31.150743959363318</v>
      </c>
      <c r="AL5" s="232">
        <f t="shared" si="20"/>
        <v>15.043700069289541</v>
      </c>
      <c r="AM5" s="232">
        <f t="shared" si="21"/>
        <v>31.238272055928707</v>
      </c>
      <c r="AN5" s="2">
        <f t="shared" si="32"/>
        <v>15.043700069289541</v>
      </c>
      <c r="AO5" s="3">
        <f t="shared" si="22"/>
        <v>6932.1369919286208</v>
      </c>
      <c r="AP5" s="230">
        <f t="shared" si="27"/>
        <v>8.0152614307239323E-4</v>
      </c>
      <c r="AQ5" s="230">
        <f t="shared" si="33"/>
        <v>2.1906544005971759E-3</v>
      </c>
      <c r="AR5" s="234">
        <f t="shared" si="28"/>
        <v>3.2752342378017366E-7</v>
      </c>
      <c r="AS5" s="231">
        <f t="shared" si="34"/>
        <v>0.1142721857045448</v>
      </c>
      <c r="AT5" s="235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3">
        <f t="shared" si="1"/>
        <v>1.0888888888888888</v>
      </c>
      <c r="D6" s="73">
        <v>16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16</v>
      </c>
      <c r="M6" s="237">
        <f t="shared" si="4"/>
        <v>2.7725887222397811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16</v>
      </c>
      <c r="U6" s="158">
        <f t="shared" si="0"/>
        <v>14.60262</v>
      </c>
      <c r="V6" s="232">
        <f t="shared" si="24"/>
        <v>12.86312</v>
      </c>
      <c r="W6" s="237">
        <f t="shared" si="25"/>
        <v>1.724972690864E-2</v>
      </c>
      <c r="X6" s="233">
        <f t="shared" si="29"/>
        <v>5.5565280310828731E-3</v>
      </c>
      <c r="Y6" s="233">
        <f t="shared" si="30"/>
        <v>6.1202059455032261E-4</v>
      </c>
      <c r="Z6" s="231">
        <f t="shared" si="11"/>
        <v>0.19601148839895066</v>
      </c>
      <c r="AA6" s="232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31">
        <f t="shared" si="16"/>
        <v>0.44444444444444448</v>
      </c>
      <c r="AI6" s="231">
        <f t="shared" si="17"/>
        <v>16</v>
      </c>
      <c r="AJ6" s="232">
        <f t="shared" si="18"/>
        <v>15191.422325599084</v>
      </c>
      <c r="AK6" s="232">
        <f t="shared" si="19"/>
        <v>32.967496366317455</v>
      </c>
      <c r="AL6" s="232">
        <f t="shared" si="20"/>
        <v>16.844261648737913</v>
      </c>
      <c r="AM6" s="232">
        <f t="shared" si="21"/>
        <v>33.048297491499213</v>
      </c>
      <c r="AN6" s="2">
        <f t="shared" si="32"/>
        <v>16.844261648737909</v>
      </c>
      <c r="AO6" s="3">
        <f t="shared" si="22"/>
        <v>7761.8357677384283</v>
      </c>
      <c r="AP6" s="230">
        <f t="shared" si="27"/>
        <v>1.0846880318300936E-3</v>
      </c>
      <c r="AQ6" s="230">
        <f t="shared" si="33"/>
        <v>3.137462677656857E-3</v>
      </c>
      <c r="AR6" s="234">
        <f t="shared" si="28"/>
        <v>3.4895909997170136E-7</v>
      </c>
      <c r="AS6" s="231">
        <f t="shared" si="34"/>
        <v>0.10725273393882387</v>
      </c>
      <c r="AT6" s="235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3">
        <f t="shared" si="1"/>
        <v>1.1166666666666667</v>
      </c>
      <c r="D7" s="73">
        <v>21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21</v>
      </c>
      <c r="M7" s="237">
        <f t="shared" si="4"/>
        <v>3.044522437723423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21</v>
      </c>
      <c r="U7" s="158">
        <f t="shared" si="0"/>
        <v>19.820840000000004</v>
      </c>
      <c r="V7" s="232">
        <f t="shared" si="24"/>
        <v>18.081340000000004</v>
      </c>
      <c r="W7" s="237">
        <f t="shared" si="25"/>
        <v>2.4247474729480009E-2</v>
      </c>
      <c r="X7" s="233">
        <f t="shared" si="29"/>
        <v>7.110248664756953E-3</v>
      </c>
      <c r="Y7" s="233">
        <f t="shared" si="30"/>
        <v>2.1657412282244026E-3</v>
      </c>
      <c r="Z7" s="231">
        <f t="shared" si="11"/>
        <v>0.25983075865629035</v>
      </c>
      <c r="AA7" s="232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31">
        <f t="shared" si="16"/>
        <v>0.58333333333333337</v>
      </c>
      <c r="AI7" s="231">
        <f t="shared" si="17"/>
        <v>21</v>
      </c>
      <c r="AJ7" s="236">
        <f t="shared" si="18"/>
        <v>18718.802435276728</v>
      </c>
      <c r="AK7" s="236">
        <f t="shared" si="19"/>
        <v>40.622401118222065</v>
      </c>
      <c r="AL7" s="236">
        <f t="shared" si="20"/>
        <v>24.430946184207535</v>
      </c>
      <c r="AM7" s="236">
        <f t="shared" si="21"/>
        <v>40.674858081032866</v>
      </c>
      <c r="AN7" s="9">
        <f t="shared" si="32"/>
        <v>24.430946184207535</v>
      </c>
      <c r="AO7" s="10">
        <f t="shared" si="22"/>
        <v>11257.780001682833</v>
      </c>
      <c r="AP7" s="233">
        <f t="shared" si="27"/>
        <v>2.4748949177858621E-3</v>
      </c>
      <c r="AQ7" s="233">
        <f t="shared" si="33"/>
        <v>8.8208433004767686E-3</v>
      </c>
      <c r="AR7" s="235">
        <f t="shared" si="28"/>
        <v>4.3927853970973065E-7</v>
      </c>
      <c r="AS7" s="231">
        <f t="shared" si="34"/>
        <v>8.5200650888904023E-2</v>
      </c>
      <c r="AT7" s="235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3">
        <f t="shared" si="1"/>
        <v>1.1666666666666667</v>
      </c>
      <c r="D8" s="73">
        <v>30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30</v>
      </c>
      <c r="M8" s="237">
        <f t="shared" si="4"/>
        <v>3.4011973816621555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30</v>
      </c>
      <c r="U8" s="158">
        <f t="shared" si="0"/>
        <v>30.231199999999998</v>
      </c>
      <c r="V8" s="232">
        <f t="shared" si="24"/>
        <v>28.491699999999998</v>
      </c>
      <c r="W8" s="237">
        <f t="shared" si="25"/>
        <v>3.8207996517399999E-2</v>
      </c>
      <c r="X8" s="233">
        <f t="shared" si="29"/>
        <v>9.1304120957770088E-3</v>
      </c>
      <c r="Y8" s="233">
        <f t="shared" si="30"/>
        <v>4.1859046592444583E-3</v>
      </c>
      <c r="Z8" s="231">
        <f t="shared" si="11"/>
        <v>0.48010589816466109</v>
      </c>
      <c r="AA8" s="232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31">
        <f t="shared" si="16"/>
        <v>0.83333333333333326</v>
      </c>
      <c r="AI8" s="231">
        <f t="shared" si="17"/>
        <v>30</v>
      </c>
      <c r="AJ8" s="232">
        <f t="shared" si="18"/>
        <v>23345.400871709146</v>
      </c>
      <c r="AK8" s="232">
        <f t="shared" si="19"/>
        <v>50.66276230839658</v>
      </c>
      <c r="AL8" s="232">
        <f t="shared" si="20"/>
        <v>34.381828062009326</v>
      </c>
      <c r="AM8" s="232">
        <f t="shared" si="21"/>
        <v>50.678042371290175</v>
      </c>
      <c r="AN8" s="2">
        <f t="shared" si="32"/>
        <v>34.381828062009333</v>
      </c>
      <c r="AO8" s="3">
        <f t="shared" si="22"/>
        <v>15843.1463709739</v>
      </c>
      <c r="AP8" s="230">
        <f t="shared" si="27"/>
        <v>4.7813057697707996E-3</v>
      </c>
      <c r="AQ8" s="230">
        <f t="shared" si="33"/>
        <v>2.1253141638521551E-2</v>
      </c>
      <c r="AR8" s="234">
        <f t="shared" si="28"/>
        <v>5.5774373645021073E-7</v>
      </c>
      <c r="AS8" s="231">
        <f t="shared" si="34"/>
        <v>6.7103967393701752E-2</v>
      </c>
      <c r="AT8" s="235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3">
        <f t="shared" si="1"/>
        <v>1.2555555555555555</v>
      </c>
      <c r="D9" s="73">
        <v>46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46</v>
      </c>
      <c r="M9" s="237">
        <f t="shared" si="4"/>
        <v>3.8286413964890951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46</v>
      </c>
      <c r="U9" s="158">
        <f t="shared" si="0"/>
        <v>51.067300000000003</v>
      </c>
      <c r="V9" s="232">
        <f t="shared" si="24"/>
        <v>49.327800000000003</v>
      </c>
      <c r="W9" s="237">
        <f t="shared" si="25"/>
        <v>6.6149665011600009E-2</v>
      </c>
      <c r="X9" s="233">
        <f t="shared" si="29"/>
        <v>1.2159631422432314E-2</v>
      </c>
      <c r="Y9" s="233">
        <f t="shared" si="30"/>
        <v>7.2151239858997632E-3</v>
      </c>
      <c r="Z9" s="231">
        <f t="shared" si="11"/>
        <v>1.0547926582677607</v>
      </c>
      <c r="AA9" s="232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31">
        <f t="shared" si="16"/>
        <v>1.2777777777777777</v>
      </c>
      <c r="AI9" s="231">
        <f t="shared" si="17"/>
        <v>46</v>
      </c>
      <c r="AJ9" s="232">
        <f t="shared" si="18"/>
        <v>28889.978208210847</v>
      </c>
      <c r="AK9" s="232">
        <f t="shared" si="19"/>
        <v>62.6952652087909</v>
      </c>
      <c r="AL9" s="232">
        <f t="shared" si="20"/>
        <v>46.307097759806936</v>
      </c>
      <c r="AM9" s="232">
        <f t="shared" si="21"/>
        <v>62.665991978470366</v>
      </c>
      <c r="AN9" s="2">
        <f t="shared" si="32"/>
        <v>46.307097759806936</v>
      </c>
      <c r="AO9" s="3">
        <f t="shared" si="22"/>
        <v>21338.310647719038</v>
      </c>
      <c r="AP9" s="230">
        <f t="shared" si="27"/>
        <v>8.2673416306911426E-3</v>
      </c>
      <c r="AQ9" s="230">
        <f t="shared" si="33"/>
        <v>4.5476641193926394E-2</v>
      </c>
      <c r="AR9" s="234">
        <f t="shared" si="28"/>
        <v>6.9971400986732007E-7</v>
      </c>
      <c r="AS9" s="231">
        <f t="shared" si="34"/>
        <v>5.3488735364743099E-2</v>
      </c>
      <c r="AT9" s="235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3">
        <f t="shared" si="1"/>
        <v>1.2722222222222221</v>
      </c>
      <c r="D10" s="73">
        <v>49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49</v>
      </c>
      <c r="M10" s="237">
        <f t="shared" ref="M10:M13" si="37">LN(L10)</f>
        <v>3.8918202981106265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49</v>
      </c>
      <c r="U10" s="158">
        <f t="shared" ref="U10:U13" si="39">K10</f>
        <v>55.873199999999997</v>
      </c>
      <c r="V10" s="232">
        <f t="shared" si="24"/>
        <v>54.133699999999997</v>
      </c>
      <c r="W10" s="237">
        <f t="shared" si="25"/>
        <v>7.2594482641400004E-2</v>
      </c>
      <c r="X10" s="233">
        <f t="shared" si="29"/>
        <v>1.3280773428670043E-2</v>
      </c>
      <c r="Y10" s="233">
        <f t="shared" ref="Y10:Y13" si="40">X10-$X$3</f>
        <v>8.3362659921374926E-3</v>
      </c>
      <c r="Z10" s="231">
        <f t="shared" si="11"/>
        <v>1.070005781171621</v>
      </c>
      <c r="AA10" s="232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31">
        <f t="shared" si="16"/>
        <v>1.3611111111111109</v>
      </c>
      <c r="AI10" s="231">
        <f t="shared" si="17"/>
        <v>48.999999999999993</v>
      </c>
      <c r="AJ10" s="232">
        <f t="shared" si="18"/>
        <v>29709.501453185138</v>
      </c>
      <c r="AK10" s="232">
        <f t="shared" si="19"/>
        <v>64.473744473058019</v>
      </c>
      <c r="AL10" s="232">
        <f t="shared" si="20"/>
        <v>48.069727285342402</v>
      </c>
      <c r="AM10" s="232">
        <f t="shared" si="21"/>
        <v>64.437885987051956</v>
      </c>
      <c r="AN10" s="2">
        <f t="shared" si="32"/>
        <v>48.069727285342402</v>
      </c>
      <c r="AO10" s="3">
        <f t="shared" si="22"/>
        <v>22150.530333085779</v>
      </c>
      <c r="AP10" s="230">
        <f t="shared" si="27"/>
        <v>8.8493720035432051E-3</v>
      </c>
      <c r="AQ10" s="230">
        <f t="shared" ref="AQ10:AQ13" si="43">AJ10*AP10/5252</f>
        <v>5.0059107082833718E-2</v>
      </c>
      <c r="AR10" s="234">
        <f t="shared" si="28"/>
        <v>7.2069810515529115E-7</v>
      </c>
      <c r="AS10" s="231">
        <f t="shared" si="34"/>
        <v>5.1931338846425645E-2</v>
      </c>
      <c r="AT10" s="235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3">
        <f t="shared" si="1"/>
        <v>1.2944444444444445</v>
      </c>
      <c r="D11" s="73">
        <v>53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53</v>
      </c>
      <c r="M11" s="237">
        <f t="shared" si="37"/>
        <v>3.970291913552122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53</v>
      </c>
      <c r="U11" s="158">
        <f t="shared" si="39"/>
        <v>62.608699999999999</v>
      </c>
      <c r="V11" s="232">
        <f t="shared" si="24"/>
        <v>60.869199999999999</v>
      </c>
      <c r="W11" s="237">
        <f t="shared" si="25"/>
        <v>8.1626936322400007E-2</v>
      </c>
      <c r="X11" s="233">
        <f t="shared" si="29"/>
        <v>1.4433057208696577E-2</v>
      </c>
      <c r="Y11" s="233">
        <f t="shared" si="40"/>
        <v>9.4885497721640261E-3</v>
      </c>
      <c r="Z11" s="231">
        <f t="shared" si="11"/>
        <v>1.1851433231911994</v>
      </c>
      <c r="AA11" s="232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$L$42/($Q$28*$Q$37*$Q$34*($AC11-$Q$47)^2/4/$AF11)/(PI()*$Q$37/60/($AC11-$Q$47))</f>
        <v>-0.94179186274305016</v>
      </c>
      <c r="AH11" s="231">
        <f t="shared" si="16"/>
        <v>1.4722222222222223</v>
      </c>
      <c r="AI11" s="231">
        <f t="shared" si="17"/>
        <v>53</v>
      </c>
      <c r="AJ11" s="232">
        <f t="shared" si="18"/>
        <v>30727.393681040408</v>
      </c>
      <c r="AK11" s="232">
        <f t="shared" si="19"/>
        <v>66.68271198142449</v>
      </c>
      <c r="AL11" s="232">
        <f t="shared" si="20"/>
        <v>50.2590085603196</v>
      </c>
      <c r="AM11" s="232">
        <f t="shared" si="21"/>
        <v>66.638674251422756</v>
      </c>
      <c r="AN11" s="2">
        <f t="shared" si="32"/>
        <v>50.259008560319607</v>
      </c>
      <c r="AO11" s="3">
        <f t="shared" si="22"/>
        <v>23159.351144595275</v>
      </c>
      <c r="AP11" s="230">
        <f t="shared" si="27"/>
        <v>9.5962298604641682E-3</v>
      </c>
      <c r="AQ11" s="230">
        <f t="shared" si="43"/>
        <v>5.6143780041172493E-2</v>
      </c>
      <c r="AR11" s="234">
        <f t="shared" si="28"/>
        <v>7.4676148729019364E-7</v>
      </c>
      <c r="AS11" s="231">
        <f t="shared" si="34"/>
        <v>5.0118837328647824E-2</v>
      </c>
      <c r="AT11" s="235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3">
        <f t="shared" si="1"/>
        <v>1.3111111111111111</v>
      </c>
      <c r="D12" s="73">
        <v>56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56</v>
      </c>
      <c r="M12" s="237">
        <f t="shared" si="37"/>
        <v>4.0253516907351496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56</v>
      </c>
      <c r="U12" s="158">
        <f t="shared" si="39"/>
        <v>65.890500000000003</v>
      </c>
      <c r="V12" s="232">
        <f t="shared" si="24"/>
        <v>64.150999999999996</v>
      </c>
      <c r="W12" s="237">
        <f t="shared" si="25"/>
        <v>8.6027902321999999E-2</v>
      </c>
      <c r="X12" s="233">
        <f t="shared" si="29"/>
        <v>1.4684102647342179E-2</v>
      </c>
      <c r="Y12" s="233">
        <f t="shared" si="40"/>
        <v>9.7395952108096286E-3</v>
      </c>
      <c r="Z12" s="231">
        <f t="shared" si="11"/>
        <v>1.31741058456383</v>
      </c>
      <c r="AA12" s="232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31">
        <f t="shared" si="16"/>
        <v>1.5555555555555556</v>
      </c>
      <c r="AI12" s="231">
        <f t="shared" si="17"/>
        <v>56</v>
      </c>
      <c r="AJ12" s="232">
        <f t="shared" si="18"/>
        <v>31441.599944626647</v>
      </c>
      <c r="AK12" s="232">
        <f t="shared" si="19"/>
        <v>68.232638768721017</v>
      </c>
      <c r="AL12" s="232">
        <f t="shared" si="20"/>
        <v>51.795122459759952</v>
      </c>
      <c r="AM12" s="232">
        <f t="shared" si="21"/>
        <v>68.182862054637056</v>
      </c>
      <c r="AN12" s="2">
        <f t="shared" si="32"/>
        <v>51.795122459759952</v>
      </c>
      <c r="AO12" s="3">
        <f t="shared" si="22"/>
        <v>23867.192429457387</v>
      </c>
      <c r="AP12" s="230">
        <f t="shared" si="27"/>
        <v>1.0136102089882805E-2</v>
      </c>
      <c r="AQ12" s="230">
        <f t="shared" si="43"/>
        <v>6.0680743889563835E-2</v>
      </c>
      <c r="AR12" s="234">
        <f t="shared" si="28"/>
        <v>7.6504891523353351E-7</v>
      </c>
      <c r="AS12" s="231">
        <f t="shared" si="34"/>
        <v>4.8920816381226653E-2</v>
      </c>
      <c r="AT12" s="235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3">
        <f t="shared" si="1"/>
        <v>1.4</v>
      </c>
      <c r="D13" s="73">
        <v>72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72</v>
      </c>
      <c r="M13" s="237">
        <f t="shared" si="37"/>
        <v>4.2766661190160553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72</v>
      </c>
      <c r="U13" s="158">
        <f t="shared" si="39"/>
        <v>87.217500000000001</v>
      </c>
      <c r="V13" s="232">
        <f t="shared" si="24"/>
        <v>85.477999999999994</v>
      </c>
      <c r="W13" s="237">
        <f t="shared" si="25"/>
        <v>0.114627878516</v>
      </c>
      <c r="X13" s="233">
        <f t="shared" si="29"/>
        <v>1.7659418127003605E-2</v>
      </c>
      <c r="Y13" s="233">
        <f t="shared" si="40"/>
        <v>1.2714910690471055E-2</v>
      </c>
      <c r="Z13" s="231">
        <f t="shared" si="11"/>
        <v>1.7917894660781604</v>
      </c>
      <c r="AA13" s="232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31">
        <f t="shared" si="16"/>
        <v>2</v>
      </c>
      <c r="AI13" s="231">
        <f t="shared" si="17"/>
        <v>72</v>
      </c>
      <c r="AJ13" s="232">
        <f t="shared" si="18"/>
        <v>34701.517583071894</v>
      </c>
      <c r="AK13" s="232">
        <f t="shared" si="19"/>
        <v>75.307112810485876</v>
      </c>
      <c r="AL13" s="232">
        <f t="shared" si="20"/>
        <v>58.806549061232005</v>
      </c>
      <c r="AM13" s="232">
        <f t="shared" si="21"/>
        <v>75.231141121098133</v>
      </c>
      <c r="AN13" s="2">
        <f t="shared" si="32"/>
        <v>58.806549061232005</v>
      </c>
      <c r="AO13" s="3">
        <f t="shared" si="22"/>
        <v>27098.057807415709</v>
      </c>
      <c r="AP13" s="230">
        <f t="shared" si="27"/>
        <v>1.2766152830701878E-2</v>
      </c>
      <c r="AQ13" s="230">
        <f t="shared" si="43"/>
        <v>8.4349748081261278E-2</v>
      </c>
      <c r="AR13" s="234">
        <f t="shared" si="28"/>
        <v>8.4851991227428105E-7</v>
      </c>
      <c r="AS13" s="231">
        <f t="shared" si="34"/>
        <v>4.4108354987782823E-2</v>
      </c>
      <c r="AT13" s="235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4">
        <f t="shared" si="1"/>
        <v>1.6777777777777778</v>
      </c>
      <c r="D14" s="80">
        <v>122</v>
      </c>
      <c r="E14" s="80">
        <v>3.67</v>
      </c>
      <c r="F14" s="80">
        <v>11.7</v>
      </c>
      <c r="G14" s="80">
        <v>14.85</v>
      </c>
      <c r="H14" s="80">
        <v>1344</v>
      </c>
      <c r="I14" s="81">
        <v>1620</v>
      </c>
      <c r="J14" s="61"/>
      <c r="K14" s="2">
        <f t="shared" si="2"/>
        <v>173.74499999999998</v>
      </c>
      <c r="L14" s="1">
        <f t="shared" si="3"/>
        <v>122</v>
      </c>
      <c r="M14" s="237">
        <f t="shared" si="4"/>
        <v>4.8040210447332568</v>
      </c>
      <c r="N14" s="3">
        <f t="shared" si="5"/>
        <v>744.04761904761904</v>
      </c>
      <c r="O14" s="3">
        <f t="shared" si="6"/>
        <v>617.28395061728395</v>
      </c>
      <c r="P14" s="3">
        <f t="shared" si="7"/>
        <v>44642.857142857145</v>
      </c>
      <c r="Q14" s="3">
        <f t="shared" si="23"/>
        <v>37037.037037037036</v>
      </c>
      <c r="R14" s="3">
        <f t="shared" si="8"/>
        <v>96.881200396825392</v>
      </c>
      <c r="S14" s="3">
        <f t="shared" si="9"/>
        <v>80.375514403292172</v>
      </c>
      <c r="T14" s="3">
        <f t="shared" si="10"/>
        <v>122</v>
      </c>
      <c r="U14" s="158">
        <f t="shared" si="0"/>
        <v>173.74499999999998</v>
      </c>
      <c r="V14" s="232">
        <f t="shared" si="24"/>
        <v>172.00549999999998</v>
      </c>
      <c r="W14" s="237">
        <f t="shared" si="25"/>
        <v>0.23066315962099998</v>
      </c>
      <c r="X14" s="233">
        <f t="shared" si="29"/>
        <v>2.7136321280980619E-2</v>
      </c>
      <c r="Y14" s="233">
        <f t="shared" si="30"/>
        <v>2.2191813844448068E-2</v>
      </c>
      <c r="Z14" s="163">
        <f>C34/0.224</f>
        <v>4.4249528005034611</v>
      </c>
      <c r="AA14" s="232">
        <f t="shared" si="12"/>
        <v>91.297248929319878</v>
      </c>
      <c r="AB14" s="2">
        <f>AA14/U14*100</f>
        <v>52.546691374899936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106.65900984409792</v>
      </c>
      <c r="AF14" s="165">
        <f t="shared" si="26"/>
        <v>2.5847497588560868</v>
      </c>
      <c r="AG14" s="151"/>
      <c r="AH14" s="231">
        <f t="shared" si="16"/>
        <v>3.3888888888888893</v>
      </c>
      <c r="AI14" s="231">
        <f t="shared" si="17"/>
        <v>122</v>
      </c>
      <c r="AJ14" s="232">
        <f t="shared" si="18"/>
        <v>41542.086331257466</v>
      </c>
      <c r="AK14" s="232">
        <f t="shared" si="19"/>
        <v>90.152097073041375</v>
      </c>
      <c r="AL14" s="232">
        <f t="shared" si="20"/>
        <v>73.519235395571798</v>
      </c>
      <c r="AM14" s="232">
        <f t="shared" si="21"/>
        <v>90.021158188375679</v>
      </c>
      <c r="AN14" s="2">
        <f t="shared" si="32"/>
        <v>73.519235395571798</v>
      </c>
      <c r="AO14" s="3">
        <f t="shared" si="22"/>
        <v>33877.663670279486</v>
      </c>
      <c r="AP14" s="230">
        <f t="shared" si="27"/>
        <v>1.9169589666562174E-2</v>
      </c>
      <c r="AQ14" s="230">
        <f t="shared" si="33"/>
        <v>0.15162695142100283</v>
      </c>
      <c r="AR14" s="234">
        <f t="shared" si="28"/>
        <v>1.0236743661791809E-6</v>
      </c>
      <c r="AS14" s="231">
        <f t="shared" si="34"/>
        <v>3.6561253012996953E-2</v>
      </c>
      <c r="AT14" s="235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242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60.75" thickBot="1" x14ac:dyDescent="0.3">
      <c r="I39" s="193" t="s">
        <v>100</v>
      </c>
      <c r="J39" s="276" t="s">
        <v>273</v>
      </c>
      <c r="K39" s="276" t="s">
        <v>274</v>
      </c>
      <c r="L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(J40-J42)/(J41-J42)*(I41-I42)+I42</f>
        <v>68.268656716417908</v>
      </c>
      <c r="J40" s="249">
        <v>0</v>
      </c>
      <c r="K40" s="215"/>
      <c r="L40" s="219"/>
      <c r="P40" s="229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50">
        <v>0.03</v>
      </c>
      <c r="K41" s="256"/>
      <c r="L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14315.013786272719</v>
      </c>
      <c r="S41" s="67">
        <f>INDEX(LINEST($Q$4:$Q$14,$E$4:$E$14^{1,2},FALSE,FALSE),1)</f>
        <v>-1136.9388922051471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50">
        <v>9.7000000000000003E-2</v>
      </c>
      <c r="K42" s="258">
        <f>$Q$36/J42</f>
        <v>3.8584347943088994E-7</v>
      </c>
      <c r="L42" s="259">
        <f>-K42/$Q$35</f>
        <v>-5.2304942071651441E-7</v>
      </c>
      <c r="M42" s="278" t="s">
        <v>293</v>
      </c>
      <c r="P42" s="65" t="s">
        <v>21</v>
      </c>
      <c r="Q42" s="205">
        <f>INDEX(LINEST($P$4:$P$14,$M$4:$M$14),2)</f>
        <v>-20773.129895339011</v>
      </c>
      <c r="R42" s="67">
        <f>INDEX(LINEST($P$4:$P$14,$M$4:$M$14),1)</f>
        <v>12971.470284234887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50">
        <v>0.28699999999999998</v>
      </c>
      <c r="K43" s="61"/>
      <c r="L43" s="257"/>
      <c r="P43" s="65" t="s">
        <v>122</v>
      </c>
      <c r="Q43" s="205">
        <f>INDEX(LINEST($Q$4:$Q$14,$P$4:$P$14),2)</f>
        <v>-7294.2011869649868</v>
      </c>
      <c r="R43" s="69">
        <f>INDEX(LINEST($Q$4:$Q$14,$P$4:$P$14),1)</f>
        <v>0.99108803850002047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16</v>
      </c>
      <c r="J44" s="250">
        <v>0.442</v>
      </c>
      <c r="K44" s="61"/>
      <c r="L44" s="257"/>
      <c r="P44" s="65" t="s">
        <v>123</v>
      </c>
      <c r="Q44" s="205">
        <f>INDEX(LINEST($P$4:$P$14,$Q$4:$Q$14),2)</f>
        <v>7426.0230572420805</v>
      </c>
      <c r="R44" s="69">
        <f>INDEX(LINEST($P$4:$P$14,$Q$4:$Q$14),1)</f>
        <v>1.0052560580155401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(J45-J43)/(J44-J43)*(I44-I43)+I43</f>
        <v>12.63225806451613</v>
      </c>
      <c r="J45" s="253">
        <v>0.5</v>
      </c>
      <c r="K45" s="262"/>
      <c r="L45" s="263"/>
      <c r="P45" s="65" t="s">
        <v>180</v>
      </c>
      <c r="Q45" s="207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-1.2619163584734246E-3</v>
      </c>
      <c r="K48" s="180">
        <f>INDEX(LINEST($Y$3:$Y$14,$P$3:$P$14^{1,2}),2)</f>
        <v>-4.0021024259165572E-8</v>
      </c>
      <c r="L48" s="180">
        <f>INDEX(LINEST($Y$3:$Y$14,$P$3:$P$14^{1,2}),1)</f>
        <v>1.2802623608699104E-11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21.690322580645159</v>
      </c>
      <c r="S51" s="266">
        <f ca="1">J55</f>
        <v>37.347368421052636</v>
      </c>
      <c r="T51" s="266">
        <f ca="1">J54</f>
        <v>50.507462686567166</v>
      </c>
      <c r="U51" s="267">
        <f ca="1">J53</f>
        <v>64.089552238805979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44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44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44"/>
        <v>50.507462686567166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44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44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44"/>
        <v>12.632258064516126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D3" sqref="D3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3">
        <f t="shared" ref="C2:C14" si="1">D2/180+1</f>
        <v>1</v>
      </c>
      <c r="D2" s="275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0.62322</v>
      </c>
      <c r="L2" s="232">
        <f t="shared" ref="L2:L14" si="3">D2</f>
        <v>0</v>
      </c>
      <c r="M2" s="237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0.62322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9">$Q$38*(P2/$Q$31/100)^3</f>
        <v>9.76843480821773E-87</v>
      </c>
      <c r="AA2" s="232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1">
        <f t="shared" ref="AH2:AH14" si="14">D2/$Q$32*$Q$24</f>
        <v>0</v>
      </c>
      <c r="AI2" s="231">
        <f t="shared" ref="AI2:AI14" si="15">AH2/$Q$24*$Q$32</f>
        <v>0</v>
      </c>
      <c r="AJ2" s="232" t="e">
        <f t="shared" ref="AJ2:AJ14" si="16">MAX(($Q$42+$R$42*LN($AI2)),0)</f>
        <v>#NUM!</v>
      </c>
      <c r="AK2" s="232" t="e">
        <f t="shared" ref="AK2:AK14" si="17">MAX(($Q$42+$R$42*LN(AI2))/$Q$31,0)</f>
        <v>#NUM!</v>
      </c>
      <c r="AL2" s="232" t="e">
        <f t="shared" ref="AL2:AL14" si="18">($Q$43+$R$43*AK2*$Q$31)/$Q$31</f>
        <v>#NUM!</v>
      </c>
      <c r="AM2" s="232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30"/>
      <c r="AQ2" s="230"/>
      <c r="AR2" s="230"/>
      <c r="AS2" s="1"/>
      <c r="AT2" s="230"/>
      <c r="AU2" s="1"/>
    </row>
    <row r="3" spans="1:51" ht="15" customHeight="1" x14ac:dyDescent="0.25">
      <c r="A3" t="s">
        <v>223</v>
      </c>
      <c r="B3" t="s">
        <v>201</v>
      </c>
      <c r="C3" s="223">
        <f t="shared" si="1"/>
        <v>1.0611111111111111</v>
      </c>
      <c r="D3" s="73">
        <v>11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11</v>
      </c>
      <c r="M3" s="237">
        <f t="shared" si="4"/>
        <v>2.3978952727983707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si="6"/>
        <v>5.9999999999999995E-25</v>
      </c>
      <c r="R3" s="3">
        <f t="shared" si="7"/>
        <v>22.684378629500582</v>
      </c>
      <c r="S3" s="3">
        <f t="shared" si="7"/>
        <v>1.3020833333333332E-27</v>
      </c>
      <c r="T3" s="3">
        <f>L3</f>
        <v>11</v>
      </c>
      <c r="U3" s="158">
        <f>K3</f>
        <v>5.2947999999999995</v>
      </c>
      <c r="V3" s="1">
        <f t="shared" ref="V3:V14" si="21">($U3-$U$2)</f>
        <v>4.6715799999999996</v>
      </c>
      <c r="W3" s="237">
        <f t="shared" ref="W3:W14" si="22">($U3-$U$2)*0.001341022</f>
        <v>6.2646915547600003E-3</v>
      </c>
      <c r="X3" s="233">
        <f>$W3/$P3*5252</f>
        <v>3.1476399776956877E-3</v>
      </c>
      <c r="Y3" s="233">
        <f>X3-$X$3</f>
        <v>0</v>
      </c>
      <c r="Z3" s="231">
        <f t="shared" si="9"/>
        <v>5.1652257246030855E-2</v>
      </c>
      <c r="AA3" s="232">
        <f t="shared" si="10"/>
        <v>0.11514065220499486</v>
      </c>
      <c r="AB3" s="2">
        <f>AA3/U3*100</f>
        <v>2.1745987044835475</v>
      </c>
      <c r="AC3" s="158">
        <f t="shared" si="11"/>
        <v>4.4583008892159377</v>
      </c>
      <c r="AD3" s="175">
        <f t="shared" si="12"/>
        <v>10.031177000735859</v>
      </c>
      <c r="AE3" s="4">
        <f t="shared" si="13"/>
        <v>1.7278759594743859E-27</v>
      </c>
      <c r="AF3" s="158">
        <f t="shared" ref="AF3:AF14" si="23">AE3/AC3</f>
        <v>3.8756378324619091E-28</v>
      </c>
      <c r="AH3" s="231">
        <f t="shared" si="14"/>
        <v>0.30555555555555552</v>
      </c>
      <c r="AI3" s="231">
        <f t="shared" si="15"/>
        <v>10.999999999999998</v>
      </c>
      <c r="AJ3" s="232">
        <f t="shared" si="16"/>
        <v>7025.2094628157865</v>
      </c>
      <c r="AK3" s="232">
        <f t="shared" si="17"/>
        <v>15.245680257846759</v>
      </c>
      <c r="AL3" s="232">
        <f t="shared" si="18"/>
        <v>1.0843867052476359</v>
      </c>
      <c r="AM3" s="232">
        <f t="shared" si="19"/>
        <v>15.329341428879397</v>
      </c>
      <c r="AN3" s="1"/>
      <c r="AO3" s="1">
        <f t="shared" si="20"/>
        <v>499.68539377810976</v>
      </c>
      <c r="AP3" s="230">
        <f t="shared" ref="AP3:AP14" si="24">MAX($J$48+$AJ3*($K$48+$AJ3*$L$48), 0)</f>
        <v>0</v>
      </c>
      <c r="AQ3" s="230">
        <f>AJ3*AP3/5252</f>
        <v>0</v>
      </c>
      <c r="AR3" s="234">
        <f t="shared" ref="AR3:AR14" si="25">MAX($K$48+$L$48*2*AJ3,1E-32)</f>
        <v>2.3677192205866021E-7</v>
      </c>
      <c r="AS3" s="231"/>
      <c r="AT3" s="1"/>
      <c r="AU3" s="231"/>
      <c r="AX3" s="128"/>
      <c r="AY3" s="96"/>
    </row>
    <row r="4" spans="1:51" ht="15" customHeight="1" x14ac:dyDescent="0.25">
      <c r="A4" t="s">
        <v>224</v>
      </c>
      <c r="B4" t="s">
        <v>234</v>
      </c>
      <c r="C4" s="223">
        <f t="shared" si="1"/>
        <v>1.0722222222222222</v>
      </c>
      <c r="D4" s="73">
        <v>13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13</v>
      </c>
      <c r="M4" s="237">
        <f t="shared" si="4"/>
        <v>2.5649493574615367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6"/>
        <v>3680.9815950920251</v>
      </c>
      <c r="R4" s="3">
        <f t="shared" si="7"/>
        <v>23.005005889281509</v>
      </c>
      <c r="S4" s="3">
        <f t="shared" si="7"/>
        <v>7.988241308793457</v>
      </c>
      <c r="T4" s="3">
        <f t="shared" si="8"/>
        <v>13</v>
      </c>
      <c r="U4" s="158">
        <f t="shared" si="0"/>
        <v>5.3679999999999994</v>
      </c>
      <c r="V4" s="232">
        <f t="shared" si="21"/>
        <v>4.7447799999999996</v>
      </c>
      <c r="W4" s="237">
        <f t="shared" si="22"/>
        <v>6.3628543651599997E-3</v>
      </c>
      <c r="X4" s="233">
        <f t="shared" ref="X4:X14" si="26">$W4/$P4*5252</f>
        <v>3.1524040828690499E-3</v>
      </c>
      <c r="Y4" s="233">
        <f t="shared" ref="Y4:Y14" si="27">X4-$X$3</f>
        <v>4.7641051733621903E-6</v>
      </c>
      <c r="Z4" s="231">
        <f t="shared" si="9"/>
        <v>5.3873561732679147E-2</v>
      </c>
      <c r="AA4" s="232">
        <f t="shared" si="10"/>
        <v>0.12264737587033776</v>
      </c>
      <c r="AB4" s="2">
        <f t="shared" ref="AB4:AB13" si="28">AA4/U4*100</f>
        <v>2.2847871808930287</v>
      </c>
      <c r="AC4" s="158">
        <f t="shared" si="11"/>
        <v>4.5531563878740595</v>
      </c>
      <c r="AD4" s="175">
        <f t="shared" si="12"/>
        <v>10.244601872716633</v>
      </c>
      <c r="AE4" s="175">
        <f t="shared" si="13"/>
        <v>10.600466009045316</v>
      </c>
      <c r="AF4" s="158">
        <f t="shared" si="23"/>
        <v>2.3281576792039074</v>
      </c>
      <c r="AG4" s="151"/>
      <c r="AH4" s="231">
        <f t="shared" si="14"/>
        <v>0.36111111111111105</v>
      </c>
      <c r="AI4" s="231">
        <f t="shared" si="15"/>
        <v>12.999999999999998</v>
      </c>
      <c r="AJ4" s="232">
        <f t="shared" si="16"/>
        <v>9509.648766924809</v>
      </c>
      <c r="AK4" s="232">
        <f t="shared" si="17"/>
        <v>20.637258608777795</v>
      </c>
      <c r="AL4" s="232">
        <f t="shared" si="18"/>
        <v>6.23799105893705</v>
      </c>
      <c r="AM4" s="232">
        <f t="shared" si="19"/>
        <v>20.710765902044852</v>
      </c>
      <c r="AN4" s="2">
        <f t="shared" ref="AN4:AN14" si="29">AO4/$Q$31</f>
        <v>6.23799105893705</v>
      </c>
      <c r="AO4" s="3">
        <f t="shared" si="20"/>
        <v>2874.4662799581929</v>
      </c>
      <c r="AP4" s="230">
        <f t="shared" si="24"/>
        <v>0</v>
      </c>
      <c r="AQ4" s="230">
        <f t="shared" ref="AQ4:AQ14" si="30">AJ4*AP4/5252</f>
        <v>0</v>
      </c>
      <c r="AR4" s="234">
        <f t="shared" si="25"/>
        <v>2.8982975607202502E-7</v>
      </c>
      <c r="AS4" s="231">
        <f t="shared" ref="AS4:AS14" si="31">$Q$36/AR4</f>
        <v>0.12913379913791689</v>
      </c>
      <c r="AT4" s="1"/>
      <c r="AU4" s="231"/>
      <c r="AX4" s="127"/>
      <c r="AY4" s="96"/>
    </row>
    <row r="5" spans="1:51" ht="13.9" customHeight="1" x14ac:dyDescent="0.25">
      <c r="A5" t="s">
        <v>225</v>
      </c>
      <c r="B5" s="176">
        <v>16</v>
      </c>
      <c r="C5" s="223">
        <f t="shared" si="1"/>
        <v>1.0944444444444446</v>
      </c>
      <c r="D5" s="73">
        <v>17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17</v>
      </c>
      <c r="M5" s="237">
        <f t="shared" si="4"/>
        <v>2.8332133440562162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6"/>
        <v>7334.9633251833729</v>
      </c>
      <c r="R5" s="3">
        <f t="shared" si="7"/>
        <v>30.855055292259085</v>
      </c>
      <c r="S5" s="3">
        <f t="shared" si="7"/>
        <v>15.917889160554195</v>
      </c>
      <c r="T5" s="3">
        <f t="shared" si="8"/>
        <v>17</v>
      </c>
      <c r="U5" s="158">
        <f t="shared" si="0"/>
        <v>10.215219999999999</v>
      </c>
      <c r="V5" s="232">
        <f t="shared" si="21"/>
        <v>9.5919999999999987</v>
      </c>
      <c r="W5" s="237">
        <f t="shared" si="22"/>
        <v>1.2863083023999999E-2</v>
      </c>
      <c r="X5" s="233">
        <f t="shared" si="26"/>
        <v>4.7515028136240426E-3</v>
      </c>
      <c r="Y5" s="233">
        <f t="shared" si="27"/>
        <v>1.6038628359283549E-3</v>
      </c>
      <c r="Z5" s="231">
        <f t="shared" si="9"/>
        <v>0.12998332125573595</v>
      </c>
      <c r="AA5" s="232">
        <f t="shared" si="10"/>
        <v>0.45964884336107659</v>
      </c>
      <c r="AB5" s="2">
        <f t="shared" si="28"/>
        <v>4.499647030226237</v>
      </c>
      <c r="AC5" s="158">
        <f t="shared" si="11"/>
        <v>7.0724280456988717</v>
      </c>
      <c r="AD5" s="175">
        <f t="shared" si="12"/>
        <v>15.912963102822459</v>
      </c>
      <c r="AE5" s="175">
        <f t="shared" si="13"/>
        <v>21.123177988684425</v>
      </c>
      <c r="AF5" s="158">
        <f t="shared" si="23"/>
        <v>2.9866939404962314</v>
      </c>
      <c r="AG5" s="151"/>
      <c r="AH5" s="231">
        <f t="shared" si="14"/>
        <v>0.47222222222222221</v>
      </c>
      <c r="AI5" s="231">
        <f t="shared" si="15"/>
        <v>17</v>
      </c>
      <c r="AJ5" s="232">
        <f t="shared" si="16"/>
        <v>13499.288370868882</v>
      </c>
      <c r="AK5" s="232">
        <f t="shared" si="17"/>
        <v>29.295330665948093</v>
      </c>
      <c r="AL5" s="232">
        <f t="shared" si="18"/>
        <v>14.513912309471102</v>
      </c>
      <c r="AM5" s="232">
        <f t="shared" si="19"/>
        <v>29.352532343376531</v>
      </c>
      <c r="AN5" s="2">
        <f t="shared" si="29"/>
        <v>14.513912309471102</v>
      </c>
      <c r="AO5" s="3">
        <f t="shared" si="20"/>
        <v>6688.0107922042844</v>
      </c>
      <c r="AP5" s="230">
        <f t="shared" si="24"/>
        <v>1.0959280008174498E-3</v>
      </c>
      <c r="AQ5" s="230">
        <f t="shared" si="30"/>
        <v>2.8168789255035385E-3</v>
      </c>
      <c r="AR5" s="234">
        <f t="shared" si="25"/>
        <v>3.7503273749689215E-7</v>
      </c>
      <c r="AS5" s="231">
        <f t="shared" si="31"/>
        <v>9.9796134477744033E-2</v>
      </c>
      <c r="AT5" s="235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3">
        <f t="shared" si="1"/>
        <v>1.1111111111111112</v>
      </c>
      <c r="D6" s="73">
        <v>20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20</v>
      </c>
      <c r="M6" s="237">
        <f t="shared" si="4"/>
        <v>2.9957322735539909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6"/>
        <v>9202.4539877300613</v>
      </c>
      <c r="R6" s="3">
        <f t="shared" si="7"/>
        <v>34.722222222222229</v>
      </c>
      <c r="S6" s="3">
        <f t="shared" si="7"/>
        <v>19.970603271983638</v>
      </c>
      <c r="T6" s="3">
        <f t="shared" si="8"/>
        <v>20</v>
      </c>
      <c r="U6" s="158">
        <f t="shared" si="0"/>
        <v>11.94858</v>
      </c>
      <c r="V6" s="232">
        <f t="shared" si="21"/>
        <v>11.32536</v>
      </c>
      <c r="W6" s="237">
        <f t="shared" si="22"/>
        <v>1.518755691792E-2</v>
      </c>
      <c r="X6" s="233">
        <f t="shared" si="26"/>
        <v>4.9853155583072396E-3</v>
      </c>
      <c r="Y6" s="233">
        <f t="shared" si="27"/>
        <v>1.8376755806115519E-3</v>
      </c>
      <c r="Z6" s="231">
        <f t="shared" si="9"/>
        <v>0.18523846747435113</v>
      </c>
      <c r="AA6" s="232">
        <f t="shared" si="10"/>
        <v>0.78197252859532174</v>
      </c>
      <c r="AB6" s="2">
        <f t="shared" si="28"/>
        <v>6.544480838688127</v>
      </c>
      <c r="AC6" s="158">
        <f t="shared" si="11"/>
        <v>8.4428740882732356</v>
      </c>
      <c r="AD6" s="175">
        <f t="shared" si="12"/>
        <v>18.996466698614782</v>
      </c>
      <c r="AE6" s="175">
        <f t="shared" si="13"/>
        <v>26.501165022613289</v>
      </c>
      <c r="AF6" s="158">
        <f t="shared" si="23"/>
        <v>3.1388795741277478</v>
      </c>
      <c r="AG6" s="151"/>
      <c r="AH6" s="231">
        <f t="shared" si="14"/>
        <v>0.55555555555555558</v>
      </c>
      <c r="AI6" s="231">
        <f t="shared" si="15"/>
        <v>20</v>
      </c>
      <c r="AJ6" s="232">
        <f t="shared" si="16"/>
        <v>15916.280549899515</v>
      </c>
      <c r="AK6" s="232">
        <f t="shared" si="17"/>
        <v>34.540539387802767</v>
      </c>
      <c r="AL6" s="232">
        <f t="shared" si="18"/>
        <v>19.52760751067169</v>
      </c>
      <c r="AM6" s="232">
        <f t="shared" si="19"/>
        <v>34.587862843168928</v>
      </c>
      <c r="AN6" s="2">
        <f t="shared" si="29"/>
        <v>19.52760751067169</v>
      </c>
      <c r="AO6" s="3">
        <f t="shared" si="20"/>
        <v>8998.3215409175154</v>
      </c>
      <c r="AP6" s="230">
        <f t="shared" si="24"/>
        <v>2.0647586555499258E-3</v>
      </c>
      <c r="AQ6" s="230">
        <f t="shared" si="30"/>
        <v>6.2572882767642718E-3</v>
      </c>
      <c r="AR6" s="234">
        <f t="shared" si="25"/>
        <v>4.2665016668282999E-7</v>
      </c>
      <c r="AS6" s="231">
        <f t="shared" si="31"/>
        <v>8.7722495916940008E-2</v>
      </c>
      <c r="AT6" s="235">
        <f t="shared" ref="AT6:AT14" si="32">$Q$45*$Q$28*$Q$37^2*$Q$34*PI()/240*($AC6-$Q$47)/$Q$46*$Q$35</f>
        <v>-9.7414323049208652E-8</v>
      </c>
      <c r="AU6" s="165">
        <f t="shared" ref="AU6:AU14" si="33">-$Q$36/AT6</f>
        <v>0.38420240816014545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3">
        <f t="shared" si="1"/>
        <v>1.1333333333333333</v>
      </c>
      <c r="D7" s="73">
        <v>24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24</v>
      </c>
      <c r="M7" s="237">
        <f t="shared" si="4"/>
        <v>3.1780538303479458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6"/>
        <v>10948.905109489051</v>
      </c>
      <c r="R7" s="3">
        <f t="shared" si="7"/>
        <v>38.637487636003961</v>
      </c>
      <c r="S7" s="3">
        <f t="shared" si="7"/>
        <v>23.760644768856448</v>
      </c>
      <c r="T7" s="3">
        <f t="shared" si="8"/>
        <v>24</v>
      </c>
      <c r="U7" s="158">
        <f t="shared" si="0"/>
        <v>16.53903</v>
      </c>
      <c r="V7" s="232">
        <f t="shared" si="21"/>
        <v>15.91581</v>
      </c>
      <c r="W7" s="237">
        <f t="shared" si="22"/>
        <v>2.1343451357820002E-2</v>
      </c>
      <c r="X7" s="233">
        <f t="shared" si="26"/>
        <v>6.2960478001730354E-3</v>
      </c>
      <c r="Y7" s="233">
        <f t="shared" si="27"/>
        <v>3.1484078224773477E-3</v>
      </c>
      <c r="Z7" s="231">
        <f t="shared" si="9"/>
        <v>0.25523209182829709</v>
      </c>
      <c r="AA7" s="232">
        <f t="shared" si="10"/>
        <v>1.2647294952347405</v>
      </c>
      <c r="AB7" s="2">
        <f t="shared" si="28"/>
        <v>7.6469387578034533</v>
      </c>
      <c r="AC7" s="158">
        <f t="shared" si="11"/>
        <v>9.9104269073307982</v>
      </c>
      <c r="AD7" s="175">
        <f t="shared" si="12"/>
        <v>22.298460541494297</v>
      </c>
      <c r="AE7" s="175">
        <f t="shared" si="13"/>
        <v>31.530583202087335</v>
      </c>
      <c r="AF7" s="158">
        <f t="shared" si="23"/>
        <v>3.1815565057811974</v>
      </c>
      <c r="AG7" s="151"/>
      <c r="AH7" s="231">
        <f t="shared" si="14"/>
        <v>0.66666666666666663</v>
      </c>
      <c r="AI7" s="231">
        <f t="shared" si="15"/>
        <v>24</v>
      </c>
      <c r="AJ7" s="236">
        <f t="shared" si="16"/>
        <v>18627.778700923896</v>
      </c>
      <c r="AK7" s="236">
        <f t="shared" si="17"/>
        <v>40.424866972491095</v>
      </c>
      <c r="AL7" s="236">
        <f t="shared" si="18"/>
        <v>25.152212085646998</v>
      </c>
      <c r="AM7" s="236">
        <f t="shared" si="19"/>
        <v>40.461108562930413</v>
      </c>
      <c r="AN7" s="9">
        <f t="shared" si="29"/>
        <v>25.152212085646987</v>
      </c>
      <c r="AO7" s="10">
        <f t="shared" si="20"/>
        <v>11590.139329066133</v>
      </c>
      <c r="AP7" s="233">
        <f t="shared" si="24"/>
        <v>3.300127041878217E-3</v>
      </c>
      <c r="AQ7" s="233">
        <f t="shared" si="30"/>
        <v>1.1704881230206023E-2</v>
      </c>
      <c r="AR7" s="235">
        <f t="shared" si="25"/>
        <v>4.8455708297845302E-7</v>
      </c>
      <c r="AS7" s="231">
        <f t="shared" si="31"/>
        <v>7.723923314616081E-2</v>
      </c>
      <c r="AT7" s="235">
        <f t="shared" si="32"/>
        <v>-1.3893796310749258E-7</v>
      </c>
      <c r="AU7" s="165">
        <f t="shared" si="33"/>
        <v>0.26937790556091712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3">
        <f t="shared" si="1"/>
        <v>1.2</v>
      </c>
      <c r="D8" s="73">
        <v>36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36</v>
      </c>
      <c r="M8" s="237">
        <f t="shared" si="4"/>
        <v>3.5835189384561099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6"/>
        <v>16574.585635359115</v>
      </c>
      <c r="R8" s="3">
        <f t="shared" si="7"/>
        <v>51.875830013280215</v>
      </c>
      <c r="S8" s="3">
        <f t="shared" si="7"/>
        <v>35.969152854511968</v>
      </c>
      <c r="T8" s="3">
        <f t="shared" si="8"/>
        <v>36</v>
      </c>
      <c r="U8" s="158">
        <f t="shared" si="0"/>
        <v>31.538000000000004</v>
      </c>
      <c r="V8" s="232">
        <f t="shared" si="21"/>
        <v>30.914780000000004</v>
      </c>
      <c r="W8" s="237">
        <f t="shared" si="22"/>
        <v>4.1457400105160011E-2</v>
      </c>
      <c r="X8" s="233">
        <f t="shared" si="26"/>
        <v>9.1085501005712319E-3</v>
      </c>
      <c r="Y8" s="233">
        <f t="shared" si="27"/>
        <v>5.9609101228755446E-3</v>
      </c>
      <c r="Z8" s="231">
        <f t="shared" si="9"/>
        <v>0.61773728932891347</v>
      </c>
      <c r="AA8" s="232">
        <f t="shared" si="10"/>
        <v>4.7621213086462433</v>
      </c>
      <c r="AB8" s="2">
        <f t="shared" si="28"/>
        <v>15.099629997610004</v>
      </c>
      <c r="AC8" s="158">
        <f t="shared" si="11"/>
        <v>15.417949963226707</v>
      </c>
      <c r="AD8" s="175">
        <f t="shared" si="12"/>
        <v>34.690387417260091</v>
      </c>
      <c r="AE8" s="175">
        <f t="shared" si="13"/>
        <v>47.731380095977514</v>
      </c>
      <c r="AF8" s="158">
        <f t="shared" si="23"/>
        <v>3.0958318200423172</v>
      </c>
      <c r="AG8" s="151"/>
      <c r="AH8" s="231">
        <f t="shared" si="14"/>
        <v>1</v>
      </c>
      <c r="AI8" s="231">
        <f t="shared" si="15"/>
        <v>36</v>
      </c>
      <c r="AJ8" s="232">
        <f t="shared" si="16"/>
        <v>24657.882382973185</v>
      </c>
      <c r="AK8" s="232">
        <f t="shared" si="17"/>
        <v>53.511029476938333</v>
      </c>
      <c r="AL8" s="232">
        <f t="shared" si="18"/>
        <v>37.660776306801367</v>
      </c>
      <c r="AM8" s="232">
        <f t="shared" si="19"/>
        <v>53.522626095934775</v>
      </c>
      <c r="AN8" s="2">
        <f t="shared" si="29"/>
        <v>37.660776306801367</v>
      </c>
      <c r="AO8" s="3">
        <f t="shared" si="20"/>
        <v>17354.08572217407</v>
      </c>
      <c r="AP8" s="230">
        <f t="shared" si="24"/>
        <v>6.6103326190337973E-3</v>
      </c>
      <c r="AQ8" s="230">
        <f t="shared" si="30"/>
        <v>3.1035187401459725E-2</v>
      </c>
      <c r="AR8" s="234">
        <f t="shared" si="25"/>
        <v>6.1333633700023337E-7</v>
      </c>
      <c r="AS8" s="231">
        <f t="shared" si="31"/>
        <v>6.1021686221702016E-2</v>
      </c>
      <c r="AT8" s="235">
        <f t="shared" si="32"/>
        <v>-2.9477044969055401E-7</v>
      </c>
      <c r="AU8" s="165">
        <f t="shared" si="33"/>
        <v>0.12696936733002404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3">
        <f t="shared" si="1"/>
        <v>1.2833333333333332</v>
      </c>
      <c r="D9" s="73">
        <v>51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51</v>
      </c>
      <c r="M9" s="237">
        <f t="shared" si="4"/>
        <v>3.9318256327243257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6"/>
        <v>21428.571428571431</v>
      </c>
      <c r="R9" s="3">
        <f t="shared" si="7"/>
        <v>61.419025157232703</v>
      </c>
      <c r="S9" s="3">
        <f t="shared" si="7"/>
        <v>46.502976190476197</v>
      </c>
      <c r="T9" s="3">
        <f t="shared" si="8"/>
        <v>51</v>
      </c>
      <c r="U9" s="158">
        <f t="shared" si="0"/>
        <v>52.142400000000002</v>
      </c>
      <c r="V9" s="232">
        <f t="shared" si="21"/>
        <v>51.519179999999999</v>
      </c>
      <c r="W9" s="237">
        <f t="shared" si="22"/>
        <v>6.9088353801960004E-2</v>
      </c>
      <c r="X9" s="233">
        <f t="shared" si="26"/>
        <v>1.2820771873932253E-2</v>
      </c>
      <c r="Y9" s="233">
        <f t="shared" si="27"/>
        <v>9.6731318962365656E-3</v>
      </c>
      <c r="Z9" s="231">
        <f t="shared" si="9"/>
        <v>1.0252207787529437</v>
      </c>
      <c r="AA9" s="232">
        <f t="shared" si="10"/>
        <v>10.181712430121189</v>
      </c>
      <c r="AB9" s="2">
        <f t="shared" si="28"/>
        <v>19.526742977157149</v>
      </c>
      <c r="AC9" s="158">
        <f t="shared" si="11"/>
        <v>19.862477704570139</v>
      </c>
      <c r="AD9" s="175">
        <f t="shared" si="12"/>
        <v>44.69057483528281</v>
      </c>
      <c r="AE9" s="175">
        <f t="shared" si="13"/>
        <v>61.709855695513802</v>
      </c>
      <c r="AF9" s="163">
        <f t="shared" si="23"/>
        <v>3.1068558824015717</v>
      </c>
      <c r="AG9" s="159">
        <f>$L$42/($Q$28*$Q$37*$Q$34*($AC9-$Q$47)^2/4/$AF9)/(PI()*$Q$37/60/($AC9-$Q$47))</f>
        <v>-1.1580832516288915</v>
      </c>
      <c r="AH9" s="231">
        <f t="shared" si="14"/>
        <v>1.4166666666666665</v>
      </c>
      <c r="AI9" s="231">
        <f t="shared" si="15"/>
        <v>51</v>
      </c>
      <c r="AJ9" s="232">
        <f t="shared" si="16"/>
        <v>29837.922385401442</v>
      </c>
      <c r="AK9" s="232">
        <f t="shared" si="17"/>
        <v>64.752435732207985</v>
      </c>
      <c r="AL9" s="232">
        <f t="shared" si="18"/>
        <v>48.406008305283756</v>
      </c>
      <c r="AM9" s="232">
        <f t="shared" si="19"/>
        <v>64.742861581236937</v>
      </c>
      <c r="AN9" s="2">
        <f t="shared" si="29"/>
        <v>48.406008305283756</v>
      </c>
      <c r="AO9" s="3">
        <f t="shared" si="20"/>
        <v>22305.488627074756</v>
      </c>
      <c r="AP9" s="230">
        <f t="shared" si="24"/>
        <v>1.0073960972580676E-2</v>
      </c>
      <c r="AQ9" s="230">
        <f t="shared" si="30"/>
        <v>5.7232685760362799E-2</v>
      </c>
      <c r="AR9" s="234">
        <f t="shared" si="25"/>
        <v>7.2396158036072374E-7</v>
      </c>
      <c r="AS9" s="231">
        <f t="shared" si="31"/>
        <v>5.1697242671562629E-2</v>
      </c>
      <c r="AT9" s="235">
        <f t="shared" si="32"/>
        <v>-4.2052603937973403E-7</v>
      </c>
      <c r="AU9" s="165">
        <f t="shared" si="33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3">
        <f t="shared" si="1"/>
        <v>1.3666666666666667</v>
      </c>
      <c r="D10" s="73">
        <v>66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66</v>
      </c>
      <c r="M10" s="237">
        <f t="shared" si="4"/>
        <v>4.1896547420264252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6"/>
        <v>25210.08403361345</v>
      </c>
      <c r="R10" s="3">
        <f t="shared" si="7"/>
        <v>73.982007575757564</v>
      </c>
      <c r="S10" s="3">
        <f t="shared" si="7"/>
        <v>54.709383753501406</v>
      </c>
      <c r="T10" s="3">
        <f t="shared" si="8"/>
        <v>66</v>
      </c>
      <c r="U10" s="158">
        <f t="shared" si="0"/>
        <v>71.94</v>
      </c>
      <c r="V10" s="232">
        <f t="shared" si="21"/>
        <v>71.316779999999994</v>
      </c>
      <c r="W10" s="237">
        <f t="shared" si="22"/>
        <v>9.563737094916E-2</v>
      </c>
      <c r="X10" s="233">
        <f t="shared" si="26"/>
        <v>1.4733765851932992E-2</v>
      </c>
      <c r="Y10" s="233">
        <f t="shared" si="27"/>
        <v>1.1586125874237305E-2</v>
      </c>
      <c r="Z10" s="231">
        <f t="shared" si="9"/>
        <v>1.7917894660781604</v>
      </c>
      <c r="AA10" s="232">
        <f t="shared" si="10"/>
        <v>23.524759693266088</v>
      </c>
      <c r="AB10" s="2">
        <f t="shared" si="28"/>
        <v>32.700527791584776</v>
      </c>
      <c r="AC10" s="158">
        <f t="shared" si="11"/>
        <v>26.258397137200163</v>
      </c>
      <c r="AD10" s="175">
        <f t="shared" si="12"/>
        <v>59.081393558700363</v>
      </c>
      <c r="AE10" s="175">
        <f t="shared" si="13"/>
        <v>72.599830230016238</v>
      </c>
      <c r="AF10" s="165">
        <f t="shared" si="23"/>
        <v>2.7648233763348928</v>
      </c>
      <c r="AG10" s="151"/>
      <c r="AH10" s="231">
        <f t="shared" si="14"/>
        <v>1.8333333333333333</v>
      </c>
      <c r="AI10" s="231">
        <f t="shared" si="15"/>
        <v>66</v>
      </c>
      <c r="AJ10" s="232">
        <f t="shared" si="16"/>
        <v>33672.373809831603</v>
      </c>
      <c r="AK10" s="232">
        <f t="shared" si="17"/>
        <v>73.073727885919268</v>
      </c>
      <c r="AL10" s="232">
        <f t="shared" si="18"/>
        <v>56.360014475718536</v>
      </c>
      <c r="AM10" s="232">
        <f t="shared" si="19"/>
        <v>73.04848237159581</v>
      </c>
      <c r="AN10" s="2">
        <f t="shared" si="29"/>
        <v>56.360014475718536</v>
      </c>
      <c r="AO10" s="3">
        <f t="shared" si="20"/>
        <v>25970.694670411103</v>
      </c>
      <c r="AP10" s="230">
        <f t="shared" si="24"/>
        <v>1.3006955747539118E-2</v>
      </c>
      <c r="AQ10" s="230">
        <f t="shared" si="30"/>
        <v>8.3392055609115542E-2</v>
      </c>
      <c r="AR10" s="234">
        <f t="shared" si="25"/>
        <v>8.0585035376454283E-7</v>
      </c>
      <c r="AS10" s="231">
        <f t="shared" si="31"/>
        <v>4.6443880467330376E-2</v>
      </c>
      <c r="AT10" s="235">
        <f t="shared" si="32"/>
        <v>-6.0149523715815869E-7</v>
      </c>
      <c r="AU10" s="165">
        <f t="shared" si="33"/>
        <v>6.2222965690674661E-2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3">
        <f t="shared" si="1"/>
        <v>1.4166666666666667</v>
      </c>
      <c r="D11" s="73">
        <v>75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75</v>
      </c>
      <c r="M11" s="237">
        <f t="shared" si="4"/>
        <v>4.3174881135363101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6"/>
        <v>27149.321266968327</v>
      </c>
      <c r="R11" s="3">
        <f t="shared" si="7"/>
        <v>74.404761904761912</v>
      </c>
      <c r="S11" s="3">
        <f t="shared" si="7"/>
        <v>58.917797888386126</v>
      </c>
      <c r="T11" s="3">
        <f t="shared" si="8"/>
        <v>75</v>
      </c>
      <c r="U11" s="158">
        <f t="shared" si="0"/>
        <v>85.346100000000007</v>
      </c>
      <c r="V11" s="232">
        <f t="shared" si="21"/>
        <v>84.722880000000004</v>
      </c>
      <c r="W11" s="237">
        <f t="shared" si="22"/>
        <v>0.11361524598336001</v>
      </c>
      <c r="X11" s="233">
        <f t="shared" si="26"/>
        <v>1.7403962097217694E-2</v>
      </c>
      <c r="Y11" s="233">
        <f t="shared" si="27"/>
        <v>1.4256322119522007E-2</v>
      </c>
      <c r="Z11" s="231">
        <f t="shared" si="9"/>
        <v>1.8226817134866904</v>
      </c>
      <c r="AA11" s="232">
        <f t="shared" si="10"/>
        <v>24.13576017689001</v>
      </c>
      <c r="AB11" s="2">
        <f t="shared" si="28"/>
        <v>28.279863024660774</v>
      </c>
      <c r="AC11" s="158">
        <f t="shared" si="11"/>
        <v>26.483790338489342</v>
      </c>
      <c r="AD11" s="175">
        <f t="shared" si="12"/>
        <v>59.58852826160102</v>
      </c>
      <c r="AE11" s="175">
        <f t="shared" si="13"/>
        <v>78.184432555402111</v>
      </c>
      <c r="AF11" s="165">
        <f t="shared" si="23"/>
        <v>2.9521617395443336</v>
      </c>
      <c r="AH11" s="231">
        <f t="shared" si="14"/>
        <v>2.0833333333333335</v>
      </c>
      <c r="AI11" s="231">
        <f t="shared" si="15"/>
        <v>75</v>
      </c>
      <c r="AJ11" s="232">
        <f t="shared" si="16"/>
        <v>35573.520095456988</v>
      </c>
      <c r="AK11" s="232">
        <f t="shared" si="17"/>
        <v>77.199479373821589</v>
      </c>
      <c r="AL11" s="232">
        <f t="shared" si="18"/>
        <v>60.303663152663439</v>
      </c>
      <c r="AM11" s="232">
        <f t="shared" si="19"/>
        <v>77.166463894272255</v>
      </c>
      <c r="AN11" s="2">
        <f t="shared" si="29"/>
        <v>60.303663152663439</v>
      </c>
      <c r="AO11" s="3">
        <f t="shared" si="20"/>
        <v>27787.927980747314</v>
      </c>
      <c r="AP11" s="230">
        <f t="shared" si="24"/>
        <v>1.4577589368368962E-2</v>
      </c>
      <c r="AQ11" s="230">
        <f t="shared" si="30"/>
        <v>9.8738798236670491E-2</v>
      </c>
      <c r="AR11" s="234">
        <f t="shared" si="25"/>
        <v>8.4645134727281902E-7</v>
      </c>
      <c r="AS11" s="231">
        <f t="shared" si="31"/>
        <v>4.4216147360839772E-2</v>
      </c>
      <c r="AT11" s="235">
        <f t="shared" si="32"/>
        <v>-6.0787261999602226E-7</v>
      </c>
      <c r="AU11" s="165">
        <f t="shared" si="33"/>
        <v>6.1570164987923351E-2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3">
        <f t="shared" si="1"/>
        <v>1.4777777777777779</v>
      </c>
      <c r="D12" s="73">
        <v>86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86</v>
      </c>
      <c r="M12" s="237">
        <f t="shared" si="4"/>
        <v>4.4543472962535073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6"/>
        <v>28985.507246376812</v>
      </c>
      <c r="R12" s="3">
        <f t="shared" si="7"/>
        <v>80.375514403292172</v>
      </c>
      <c r="S12" s="3">
        <f t="shared" si="7"/>
        <v>62.902576489533011</v>
      </c>
      <c r="T12" s="3">
        <f t="shared" si="8"/>
        <v>86</v>
      </c>
      <c r="U12" s="158">
        <f t="shared" si="0"/>
        <v>101.235</v>
      </c>
      <c r="V12" s="232">
        <f t="shared" si="21"/>
        <v>100.61178</v>
      </c>
      <c r="W12" s="237">
        <f t="shared" si="22"/>
        <v>0.13492261043916001</v>
      </c>
      <c r="X12" s="233">
        <f t="shared" si="26"/>
        <v>1.9132565850714645E-2</v>
      </c>
      <c r="Y12" s="233">
        <f t="shared" si="27"/>
        <v>1.5984925873018956E-2</v>
      </c>
      <c r="Z12" s="231">
        <f t="shared" si="9"/>
        <v>2.297629183723529</v>
      </c>
      <c r="AA12" s="232">
        <f t="shared" si="10"/>
        <v>34.159746215144743</v>
      </c>
      <c r="AB12" s="2">
        <f t="shared" si="28"/>
        <v>33.743019919143322</v>
      </c>
      <c r="AC12" s="158">
        <f t="shared" si="11"/>
        <v>29.734777445493261</v>
      </c>
      <c r="AD12" s="175">
        <f t="shared" si="12"/>
        <v>66.903249252359842</v>
      </c>
      <c r="AE12" s="175">
        <f t="shared" si="13"/>
        <v>83.472268573641855</v>
      </c>
      <c r="AF12" s="165">
        <f t="shared" si="23"/>
        <v>2.8072269492063509</v>
      </c>
      <c r="AG12" s="151"/>
      <c r="AH12" s="231">
        <f t="shared" si="14"/>
        <v>2.3888888888888888</v>
      </c>
      <c r="AI12" s="231">
        <f t="shared" si="15"/>
        <v>86</v>
      </c>
      <c r="AJ12" s="232">
        <f t="shared" si="16"/>
        <v>37608.89883735621</v>
      </c>
      <c r="AK12" s="232">
        <f t="shared" si="17"/>
        <v>81.616533935234827</v>
      </c>
      <c r="AL12" s="232">
        <f t="shared" si="18"/>
        <v>64.525757340398286</v>
      </c>
      <c r="AM12" s="232">
        <f t="shared" si="19"/>
        <v>81.575199883797779</v>
      </c>
      <c r="AN12" s="2">
        <f t="shared" si="29"/>
        <v>64.525757340398286</v>
      </c>
      <c r="AO12" s="3">
        <f t="shared" si="20"/>
        <v>29733.468982455532</v>
      </c>
      <c r="AP12" s="230">
        <f t="shared" si="24"/>
        <v>1.6344675032249848E-2</v>
      </c>
      <c r="AQ12" s="230">
        <f t="shared" si="30"/>
        <v>0.11704212296598371</v>
      </c>
      <c r="AR12" s="234">
        <f t="shared" si="25"/>
        <v>8.8991901712629886E-7</v>
      </c>
      <c r="AS12" s="231">
        <f t="shared" si="31"/>
        <v>4.2056430736421319E-2</v>
      </c>
      <c r="AT12" s="235">
        <f t="shared" si="32"/>
        <v>-6.9985760119216255E-7</v>
      </c>
      <c r="AU12" s="165">
        <f t="shared" si="33"/>
        <v>5.3477760963147561E-2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3">
        <f t="shared" si="1"/>
        <v>1.5944444444444446</v>
      </c>
      <c r="D13" s="73">
        <v>107</v>
      </c>
      <c r="E13" s="73">
        <v>2.4900000000000002</v>
      </c>
      <c r="F13" s="73">
        <v>11.75</v>
      </c>
      <c r="G13" s="73">
        <v>12.3</v>
      </c>
      <c r="H13" s="73">
        <v>1430</v>
      </c>
      <c r="I13" s="78">
        <v>1750</v>
      </c>
      <c r="J13" s="61"/>
      <c r="K13" s="2">
        <f t="shared" si="2"/>
        <v>144.52500000000001</v>
      </c>
      <c r="L13" s="1">
        <f t="shared" si="3"/>
        <v>107</v>
      </c>
      <c r="M13" s="237">
        <f t="shared" si="4"/>
        <v>4.6728288344619058</v>
      </c>
      <c r="N13" s="3">
        <f t="shared" si="5"/>
        <v>699.30069930069931</v>
      </c>
      <c r="O13" s="3">
        <f t="shared" si="5"/>
        <v>571.42857142857144</v>
      </c>
      <c r="P13" s="3">
        <f t="shared" si="6"/>
        <v>41958.041958041955</v>
      </c>
      <c r="Q13" s="3">
        <f t="shared" si="6"/>
        <v>34285.71428571429</v>
      </c>
      <c r="R13" s="3">
        <f t="shared" si="7"/>
        <v>91.054778554778551</v>
      </c>
      <c r="S13" s="3">
        <f t="shared" si="7"/>
        <v>74.404761904761912</v>
      </c>
      <c r="T13" s="3">
        <f t="shared" si="8"/>
        <v>107</v>
      </c>
      <c r="U13" s="158">
        <f t="shared" si="0"/>
        <v>144.52500000000001</v>
      </c>
      <c r="V13" s="232">
        <f t="shared" si="21"/>
        <v>143.90178</v>
      </c>
      <c r="W13" s="237">
        <f t="shared" si="22"/>
        <v>0.19297545281916001</v>
      </c>
      <c r="X13" s="233">
        <f t="shared" si="26"/>
        <v>2.4155252030581775E-2</v>
      </c>
      <c r="Y13" s="233">
        <f t="shared" si="27"/>
        <v>2.1007612052886086E-2</v>
      </c>
      <c r="Z13" s="231">
        <f t="shared" si="9"/>
        <v>3.3405414897843171</v>
      </c>
      <c r="AA13" s="232">
        <f t="shared" si="10"/>
        <v>59.885272810955158</v>
      </c>
      <c r="AB13" s="2">
        <f t="shared" si="28"/>
        <v>41.435926525483588</v>
      </c>
      <c r="AC13" s="158">
        <f t="shared" si="11"/>
        <v>35.853632109698282</v>
      </c>
      <c r="AD13" s="175">
        <f t="shared" si="12"/>
        <v>80.670672246821127</v>
      </c>
      <c r="AE13" s="175">
        <f t="shared" si="13"/>
        <v>98.735769112822069</v>
      </c>
      <c r="AF13" s="165">
        <f t="shared" si="23"/>
        <v>2.7538568145823752</v>
      </c>
      <c r="AG13" s="151"/>
      <c r="AH13" s="231">
        <f t="shared" si="14"/>
        <v>2.9722222222222223</v>
      </c>
      <c r="AI13" s="231">
        <f t="shared" si="15"/>
        <v>107</v>
      </c>
      <c r="AJ13" s="232">
        <f t="shared" si="16"/>
        <v>40858.170603692277</v>
      </c>
      <c r="AK13" s="232">
        <f t="shared" si="17"/>
        <v>88.667904955929416</v>
      </c>
      <c r="AL13" s="232">
        <f t="shared" si="18"/>
        <v>71.265894277378109</v>
      </c>
      <c r="AM13" s="232">
        <f t="shared" si="19"/>
        <v>88.613291164356255</v>
      </c>
      <c r="AN13" s="2">
        <f t="shared" si="29"/>
        <v>71.265894277378109</v>
      </c>
      <c r="AO13" s="3">
        <f t="shared" si="20"/>
        <v>32839.324083015832</v>
      </c>
      <c r="AP13" s="230">
        <f t="shared" si="24"/>
        <v>1.9348999920038926E-2</v>
      </c>
      <c r="AQ13" s="230">
        <f t="shared" si="30"/>
        <v>0.15052641655441329</v>
      </c>
      <c r="AR13" s="234">
        <f t="shared" si="25"/>
        <v>9.5931065883694159E-7</v>
      </c>
      <c r="AS13" s="231">
        <f t="shared" si="31"/>
        <v>3.9014282974998128E-2</v>
      </c>
      <c r="AT13" s="235">
        <f t="shared" si="32"/>
        <v>-8.7298739614466377E-7</v>
      </c>
      <c r="AU13" s="165">
        <f t="shared" si="33"/>
        <v>4.287211667669287E-2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1.6722222222222223</v>
      </c>
      <c r="D14" s="80">
        <v>121</v>
      </c>
      <c r="E14" s="80">
        <v>2.67</v>
      </c>
      <c r="F14" s="80">
        <v>11.66</v>
      </c>
      <c r="G14" s="80">
        <v>13.84</v>
      </c>
      <c r="H14" s="80">
        <v>1356</v>
      </c>
      <c r="I14" s="81">
        <v>1670</v>
      </c>
      <c r="J14" s="61"/>
      <c r="K14" s="2">
        <f t="shared" si="2"/>
        <v>161.37440000000001</v>
      </c>
      <c r="L14" s="1">
        <f t="shared" si="3"/>
        <v>121</v>
      </c>
      <c r="M14" s="237">
        <f t="shared" si="4"/>
        <v>4.7957905455967413</v>
      </c>
      <c r="N14" s="3">
        <f t="shared" si="5"/>
        <v>737.46312684365785</v>
      </c>
      <c r="O14" s="3">
        <f t="shared" si="5"/>
        <v>598.80239520958082</v>
      </c>
      <c r="P14" s="3">
        <f t="shared" si="6"/>
        <v>44247.787610619474</v>
      </c>
      <c r="Q14" s="3">
        <f t="shared" si="6"/>
        <v>35928.143712574849</v>
      </c>
      <c r="R14" s="3">
        <f t="shared" si="7"/>
        <v>96.023844641101292</v>
      </c>
      <c r="S14" s="3">
        <f t="shared" si="7"/>
        <v>77.969061876247494</v>
      </c>
      <c r="T14" s="3">
        <f t="shared" si="8"/>
        <v>121</v>
      </c>
      <c r="U14" s="158">
        <f t="shared" si="0"/>
        <v>161.37440000000001</v>
      </c>
      <c r="V14" s="232">
        <f t="shared" si="21"/>
        <v>160.75118000000001</v>
      </c>
      <c r="W14" s="237">
        <f t="shared" si="22"/>
        <v>0.21557086890596003</v>
      </c>
      <c r="X14" s="233">
        <f t="shared" si="26"/>
        <v>2.5587227398966704E-2</v>
      </c>
      <c r="Y14" s="233">
        <f t="shared" si="27"/>
        <v>2.2439587421271015E-2</v>
      </c>
      <c r="Z14" s="163">
        <f>C34/0.224</f>
        <v>4.4249528005034611</v>
      </c>
      <c r="AA14" s="232">
        <f t="shared" si="10"/>
        <v>91.297248929319878</v>
      </c>
      <c r="AB14" s="2">
        <f>AA14/U14*100</f>
        <v>56.574803022858568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103.4656263158315</v>
      </c>
      <c r="AF14" s="165">
        <f t="shared" si="23"/>
        <v>2.5073620415250657</v>
      </c>
      <c r="AG14" s="151"/>
      <c r="AH14" s="231">
        <f t="shared" si="14"/>
        <v>3.3611111111111116</v>
      </c>
      <c r="AI14" s="231">
        <f t="shared" si="15"/>
        <v>121.00000000000001</v>
      </c>
      <c r="AJ14" s="232">
        <f t="shared" si="16"/>
        <v>42686.865236690028</v>
      </c>
      <c r="AK14" s="232">
        <f t="shared" si="17"/>
        <v>92.636426294900232</v>
      </c>
      <c r="AL14" s="232">
        <f t="shared" si="18"/>
        <v>75.059252644635734</v>
      </c>
      <c r="AM14" s="232">
        <f t="shared" si="19"/>
        <v>92.57433864725688</v>
      </c>
      <c r="AN14" s="2">
        <f t="shared" si="29"/>
        <v>75.059252644635734</v>
      </c>
      <c r="AO14" s="3">
        <f t="shared" si="20"/>
        <v>34587.303618648148</v>
      </c>
      <c r="AP14" s="230">
        <f t="shared" si="24"/>
        <v>2.1138994829716398E-2</v>
      </c>
      <c r="AQ14" s="230">
        <f t="shared" si="30"/>
        <v>0.17181215223442331</v>
      </c>
      <c r="AR14" s="234">
        <f t="shared" si="25"/>
        <v>9.983643705288524E-7</v>
      </c>
      <c r="AS14" s="231">
        <f t="shared" si="31"/>
        <v>3.7488134201915317E-2</v>
      </c>
      <c r="AT14" s="235">
        <f t="shared" si="32"/>
        <v>-1.0260916807848024E-6</v>
      </c>
      <c r="AU14" s="165">
        <f t="shared" si="33"/>
        <v>3.6475120309103923E-2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292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60.75" thickBot="1" x14ac:dyDescent="0.3">
      <c r="I39" s="193" t="s">
        <v>100</v>
      </c>
      <c r="J39" s="276" t="s">
        <v>273</v>
      </c>
      <c r="K39" s="276" t="s">
        <v>274</v>
      </c>
      <c r="L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(J40-J42)/(J41-J42)*(I41-I42)+I42</f>
        <v>73.428571428571431</v>
      </c>
      <c r="J40" s="249">
        <v>0</v>
      </c>
      <c r="K40" s="215"/>
      <c r="L40" s="219"/>
      <c r="P40" s="229" t="s">
        <v>291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50">
        <v>0.04</v>
      </c>
      <c r="K41" s="256"/>
      <c r="L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14766.761308840134</v>
      </c>
      <c r="S41" s="67">
        <f>INDEX(LINEST($Q$4:$Q$14,$E$4:$E$14^{1,2},FALSE,FALSE),1)</f>
        <v>-572.88974349612226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50">
        <v>8.8999999999999996E-2</v>
      </c>
      <c r="K42" s="258">
        <f>$Q$36/J42</f>
        <v>4.2052603937973403E-7</v>
      </c>
      <c r="L42" s="259">
        <f>-K42/$Q$35</f>
        <v>-5.7006509898316742E-7</v>
      </c>
      <c r="M42" s="278" t="s">
        <v>293</v>
      </c>
      <c r="P42" s="65" t="s">
        <v>21</v>
      </c>
      <c r="Q42" s="205">
        <f>INDEX(LINEST($P$4:$P$14,$M$4:$M$14),2)</f>
        <v>-28636.44631105844</v>
      </c>
      <c r="R42" s="67">
        <f>INDEX(LINEST($P$4:$P$14,$M$4:$M$14),1)</f>
        <v>14872.065589527054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50">
        <v>0.28100000000000003</v>
      </c>
      <c r="K43" s="61"/>
      <c r="L43" s="257"/>
      <c r="P43" s="65" t="s">
        <v>122</v>
      </c>
      <c r="Q43" s="205">
        <f>INDEX(LINEST($Q$4:$Q$14,$P$4:$P$14),2)</f>
        <v>-6215.4447066488792</v>
      </c>
      <c r="R43" s="69">
        <f>INDEX(LINEST($Q$4:$Q$14,$P$4:$P$14),1)</f>
        <v>0.95586190503926782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20</v>
      </c>
      <c r="J44" s="250">
        <v>0.38600000000000001</v>
      </c>
      <c r="K44" s="61"/>
      <c r="L44" s="257"/>
      <c r="P44" s="65" t="s">
        <v>123</v>
      </c>
      <c r="Q44" s="205">
        <f>INDEX(LINEST($P$4:$P$14,$Q$4:$Q$14),2)</f>
        <v>6541.9860552419632</v>
      </c>
      <c r="R44" s="69">
        <f>INDEX(LINEST($P$4:$P$14,$Q$4:$Q$14),1)</f>
        <v>1.044205977766405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(J45-J43)/(J44-J43)*(I44-I43)+I43</f>
        <v>14.571428571428571</v>
      </c>
      <c r="J45" s="253">
        <v>0.5</v>
      </c>
      <c r="K45" s="262"/>
      <c r="L45" s="263"/>
      <c r="P45" s="65" t="s">
        <v>180</v>
      </c>
      <c r="Q45" s="207">
        <f>AG9</f>
        <v>-1.1580832516288915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AF9</f>
        <v>3.1068558824015717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-2.0208812962831052E-3</v>
      </c>
      <c r="K48" s="180">
        <f>INDEX(LINEST($Y$3:$Y$14,$P$3:$P$14^{1,2}),2)</f>
        <v>8.674112960954721E-8</v>
      </c>
      <c r="L48" s="180">
        <f>INDEX(LINEST($Y$3:$Y$14,$P$3:$P$14^{1,2}),1)</f>
        <v>1.067802983264921E-11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22.000000000000004</v>
      </c>
      <c r="S51" s="266">
        <f ca="1">J55</f>
        <v>36.5</v>
      </c>
      <c r="T51" s="266">
        <f ca="1">J54</f>
        <v>49.142857142857139</v>
      </c>
      <c r="U51" s="267">
        <f ca="1">J53</f>
        <v>67.714285714285722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34">FORECAST(I52,OFFSET(MeasNt,MATCH(I52,MeasTauT,1)-1,0,2),OFFSET(MeasTauT,MATCH(I52,MeasTauT,1)-1,0,2))</f>
        <v>73.428571428571445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34"/>
        <v>67.714285714285722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34"/>
        <v>49.142857142857139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34"/>
        <v>36.5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34"/>
        <v>22.000000000000004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34"/>
        <v>14.571428571428569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10" zoomScale="90" zoomScaleNormal="90" workbookViewId="0">
      <selection activeCell="J7" sqref="J7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3">
        <f t="shared" ref="C2:C14" si="1">D2/180+1</f>
        <v>1</v>
      </c>
      <c r="D2" s="275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32">
        <f t="shared" ref="L2:L14" si="3">D2</f>
        <v>0</v>
      </c>
      <c r="M2" s="237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9">$Q$38*(P2/$Q$31/100)^3</f>
        <v>9.76843480821773E-87</v>
      </c>
      <c r="AA2" s="232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1">
        <f t="shared" ref="AH2:AH14" si="14">D2/$Q$32*$Q$24</f>
        <v>0</v>
      </c>
      <c r="AI2" s="231">
        <f t="shared" ref="AI2:AI14" si="15">AH2/$Q$24*$Q$32</f>
        <v>0</v>
      </c>
      <c r="AJ2" s="232" t="e">
        <f t="shared" ref="AJ2:AJ14" si="16">MAX(($Q$42+$R$42*LN($AI2)),0)</f>
        <v>#NUM!</v>
      </c>
      <c r="AK2" s="232" t="e">
        <f t="shared" ref="AK2:AK14" si="17">MAX(($Q$42+$R$42*LN(AI2))/$Q$31,0)</f>
        <v>#NUM!</v>
      </c>
      <c r="AL2" s="232" t="e">
        <f t="shared" ref="AL2:AL14" si="18">($Q$43+$R$43*AK2*$Q$31)/$Q$31</f>
        <v>#NUM!</v>
      </c>
      <c r="AM2" s="232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30"/>
      <c r="AQ2" s="230"/>
      <c r="AR2" s="230"/>
      <c r="AS2" s="1"/>
      <c r="AT2" s="230"/>
      <c r="AU2" s="1"/>
    </row>
    <row r="3" spans="1:51" ht="15" customHeight="1" x14ac:dyDescent="0.25">
      <c r="A3" t="s">
        <v>223</v>
      </c>
      <c r="B3" t="s">
        <v>201</v>
      </c>
      <c r="C3" s="223">
        <f t="shared" si="1"/>
        <v>1.0444444444444445</v>
      </c>
      <c r="D3" s="73">
        <v>8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8</v>
      </c>
      <c r="M3" s="237">
        <f t="shared" si="4"/>
        <v>2.0794415416798357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8</v>
      </c>
      <c r="U3" s="158">
        <f>K3</f>
        <v>5.7199</v>
      </c>
      <c r="V3" s="1">
        <f t="shared" ref="V3:V14" si="21">($U3-$U$2)</f>
        <v>3.9889200000000002</v>
      </c>
      <c r="W3" s="237">
        <f t="shared" ref="W3:W14" si="22">($U3-$U$2)*0.001341022</f>
        <v>5.349229476240001E-3</v>
      </c>
      <c r="X3" s="233">
        <f>$W3/$P3*5252</f>
        <v>3.0154391111221401E-3</v>
      </c>
      <c r="Y3" s="233">
        <f>X3-$X$3</f>
        <v>0</v>
      </c>
      <c r="Z3" s="231">
        <f t="shared" si="9"/>
        <v>3.6573572179396038E-2</v>
      </c>
      <c r="AA3" s="232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31">
        <f t="shared" si="14"/>
        <v>0.22222222222222224</v>
      </c>
      <c r="AI3" s="231">
        <f t="shared" si="15"/>
        <v>8</v>
      </c>
      <c r="AJ3" s="232">
        <f t="shared" si="16"/>
        <v>5490.6266598112961</v>
      </c>
      <c r="AK3" s="232">
        <f t="shared" si="17"/>
        <v>11.915422438826598</v>
      </c>
      <c r="AL3" s="232">
        <f t="shared" si="18"/>
        <v>-3.8009871098056536</v>
      </c>
      <c r="AM3" s="232">
        <f t="shared" si="19"/>
        <v>11.967215763658073</v>
      </c>
      <c r="AN3" s="1"/>
      <c r="AO3" s="1">
        <f t="shared" si="20"/>
        <v>0</v>
      </c>
      <c r="AP3" s="230">
        <f t="shared" ref="AP3:AP14" si="24">MAX($J$48+$AJ3*($K$48+$AJ3*$L$48), 0)</f>
        <v>0</v>
      </c>
      <c r="AQ3" s="230">
        <f>AJ3*AP3/5252</f>
        <v>0</v>
      </c>
      <c r="AR3" s="234">
        <f t="shared" ref="AR3:AR14" si="25">MAX($K$48+$L$48*2*AJ3,1E-32)</f>
        <v>1.739375869325177E-7</v>
      </c>
      <c r="AS3" s="231"/>
      <c r="AT3" s="1"/>
      <c r="AU3" s="231"/>
      <c r="AX3" s="128"/>
      <c r="AY3" s="96"/>
    </row>
    <row r="4" spans="1:51" ht="15" customHeight="1" x14ac:dyDescent="0.25">
      <c r="A4" t="s">
        <v>224</v>
      </c>
      <c r="B4" t="s">
        <v>234</v>
      </c>
      <c r="C4" s="223">
        <f t="shared" si="1"/>
        <v>1.0611111111111111</v>
      </c>
      <c r="D4" s="73">
        <v>11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11</v>
      </c>
      <c r="M4" s="237">
        <f t="shared" si="4"/>
        <v>2.3978952727983707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11</v>
      </c>
      <c r="U4" s="158">
        <f t="shared" si="0"/>
        <v>7.8432000000000004</v>
      </c>
      <c r="V4" s="232">
        <f t="shared" si="21"/>
        <v>6.1122200000000007</v>
      </c>
      <c r="W4" s="237">
        <f t="shared" si="22"/>
        <v>8.1966214888400009E-3</v>
      </c>
      <c r="X4" s="233">
        <f t="shared" ref="X4:X14" si="26">$W4/$P4*5252</f>
        <v>3.5873880049489735E-3</v>
      </c>
      <c r="Y4" s="233">
        <f t="shared" ref="Y4:Y14" si="27">X4-$X$3</f>
        <v>5.7194889382683337E-4</v>
      </c>
      <c r="Z4" s="231">
        <f t="shared" si="9"/>
        <v>7.8147478465741924E-2</v>
      </c>
      <c r="AA4" s="232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31">
        <f t="shared" si="14"/>
        <v>0.30555555555555552</v>
      </c>
      <c r="AI4" s="231">
        <f t="shared" si="15"/>
        <v>10.999999999999998</v>
      </c>
      <c r="AJ4" s="232">
        <f t="shared" si="16"/>
        <v>9732.9952240408602</v>
      </c>
      <c r="AK4" s="232">
        <f t="shared" si="17"/>
        <v>21.121951441060894</v>
      </c>
      <c r="AL4" s="232">
        <f t="shared" si="18"/>
        <v>5.1403183773375751</v>
      </c>
      <c r="AM4" s="232">
        <f t="shared" si="19"/>
        <v>21.163885597892484</v>
      </c>
      <c r="AN4" s="2">
        <f t="shared" ref="AN4:AN14" si="29">AO4/$Q$31</f>
        <v>5.1403183773375751</v>
      </c>
      <c r="AO4" s="3">
        <f t="shared" si="20"/>
        <v>2368.6587082771548</v>
      </c>
      <c r="AP4" s="230">
        <f t="shared" si="24"/>
        <v>1.6508683216142511E-4</v>
      </c>
      <c r="AQ4" s="230">
        <f t="shared" ref="AQ4:AQ14" si="30">AJ4*AP4/5252</f>
        <v>3.059385660661054E-4</v>
      </c>
      <c r="AR4" s="234">
        <f t="shared" si="25"/>
        <v>2.7251498562088291E-7</v>
      </c>
      <c r="AS4" s="231">
        <f t="shared" ref="AS4:AS14" si="31">$Q$36/AR4</f>
        <v>0.13733856660955784</v>
      </c>
      <c r="AT4" s="1"/>
      <c r="AU4" s="231"/>
      <c r="AX4" s="127"/>
      <c r="AY4" s="96"/>
    </row>
    <row r="5" spans="1:51" ht="13.9" customHeight="1" x14ac:dyDescent="0.25">
      <c r="A5" t="s">
        <v>225</v>
      </c>
      <c r="B5" s="176">
        <v>16</v>
      </c>
      <c r="C5" s="223">
        <f t="shared" si="1"/>
        <v>1.0888888888888888</v>
      </c>
      <c r="D5" s="73">
        <v>16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16</v>
      </c>
      <c r="M5" s="237">
        <f t="shared" si="4"/>
        <v>2.7725887222397811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16</v>
      </c>
      <c r="U5" s="158">
        <f t="shared" si="0"/>
        <v>12.575249999999999</v>
      </c>
      <c r="V5" s="232">
        <f t="shared" si="21"/>
        <v>10.844269999999998</v>
      </c>
      <c r="W5" s="237">
        <f t="shared" si="22"/>
        <v>1.4542404643939999E-2</v>
      </c>
      <c r="X5" s="233">
        <f t="shared" si="26"/>
        <v>5.1426984187915069E-3</v>
      </c>
      <c r="Y5" s="233">
        <f t="shared" si="27"/>
        <v>2.1272593076693668E-3</v>
      </c>
      <c r="Z5" s="231">
        <f t="shared" si="9"/>
        <v>0.14814291539889993</v>
      </c>
      <c r="AA5" s="232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31">
        <f t="shared" si="14"/>
        <v>0.44444444444444448</v>
      </c>
      <c r="AI5" s="231">
        <f t="shared" si="15"/>
        <v>16</v>
      </c>
      <c r="AJ5" s="232">
        <f t="shared" si="16"/>
        <v>14724.57659301941</v>
      </c>
      <c r="AK5" s="232">
        <f t="shared" si="17"/>
        <v>31.954376286934483</v>
      </c>
      <c r="AL5" s="232">
        <f t="shared" si="18"/>
        <v>15.660680577898781</v>
      </c>
      <c r="AM5" s="232">
        <f t="shared" si="19"/>
        <v>31.984710122257752</v>
      </c>
      <c r="AN5" s="2">
        <f t="shared" si="29"/>
        <v>15.660680577898781</v>
      </c>
      <c r="AO5" s="3">
        <f t="shared" si="20"/>
        <v>7216.4416102957584</v>
      </c>
      <c r="AP5" s="230">
        <f t="shared" si="24"/>
        <v>1.814845362897177E-3</v>
      </c>
      <c r="AQ5" s="230">
        <f t="shared" si="30"/>
        <v>5.088124438397866E-3</v>
      </c>
      <c r="AR5" s="234">
        <f t="shared" si="25"/>
        <v>3.8850139727877104E-7</v>
      </c>
      <c r="AS5" s="231">
        <f t="shared" si="31"/>
        <v>9.6336378110734394E-2</v>
      </c>
      <c r="AT5" s="235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3">
        <f t="shared" si="1"/>
        <v>1.1055555555555556</v>
      </c>
      <c r="D6" s="73">
        <v>19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19</v>
      </c>
      <c r="M6" s="237">
        <f t="shared" si="4"/>
        <v>2.9444389791664403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19</v>
      </c>
      <c r="U6" s="158">
        <f t="shared" si="0"/>
        <v>14.9688</v>
      </c>
      <c r="V6" s="232">
        <f t="shared" si="21"/>
        <v>13.237819999999999</v>
      </c>
      <c r="W6" s="237">
        <f t="shared" si="22"/>
        <v>1.775220785204E-2</v>
      </c>
      <c r="X6" s="233">
        <f t="shared" si="26"/>
        <v>5.6251539368811498E-3</v>
      </c>
      <c r="Y6" s="233">
        <f t="shared" si="27"/>
        <v>2.6097148257590097E-3</v>
      </c>
      <c r="Z6" s="231">
        <f t="shared" si="9"/>
        <v>0.20592035150054883</v>
      </c>
      <c r="AA6" s="232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31">
        <f t="shared" si="14"/>
        <v>0.52777777777777779</v>
      </c>
      <c r="AI6" s="231">
        <f t="shared" si="15"/>
        <v>19</v>
      </c>
      <c r="AJ6" s="232">
        <f t="shared" si="16"/>
        <v>17013.926839222258</v>
      </c>
      <c r="AK6" s="232">
        <f t="shared" si="17"/>
        <v>36.922584286506634</v>
      </c>
      <c r="AL6" s="232">
        <f t="shared" si="18"/>
        <v>20.485763455176713</v>
      </c>
      <c r="AM6" s="232">
        <f t="shared" si="19"/>
        <v>36.94759772395637</v>
      </c>
      <c r="AN6" s="2">
        <f t="shared" si="29"/>
        <v>20.485763455176713</v>
      </c>
      <c r="AO6" s="3">
        <f t="shared" si="20"/>
        <v>9439.8398001454298</v>
      </c>
      <c r="AP6" s="230">
        <f t="shared" si="24"/>
        <v>2.765153581578003E-3</v>
      </c>
      <c r="AQ6" s="230">
        <f t="shared" si="30"/>
        <v>8.9577533770338041E-3</v>
      </c>
      <c r="AR6" s="234">
        <f t="shared" si="25"/>
        <v>4.4169766925289869E-7</v>
      </c>
      <c r="AS6" s="231">
        <f t="shared" si="31"/>
        <v>8.47340162969418E-2</v>
      </c>
      <c r="AT6" s="235" t="e">
        <f t="shared" ref="AT6:AT14" si="32">$Q$45*$Q$28*$Q$37^2*$Q$34*PI()/240*($AC6-$Q$47)/$Q$46*$Q$35</f>
        <v>#DIV/0!</v>
      </c>
      <c r="AU6" s="165" t="e">
        <f t="shared" ref="AU6:AU14" si="33">-$Q$36/AT6</f>
        <v>#DIV/0!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3">
        <f t="shared" si="1"/>
        <v>1.1388888888888888</v>
      </c>
      <c r="D7" s="73">
        <v>25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25</v>
      </c>
      <c r="M7" s="237">
        <f t="shared" si="4"/>
        <v>3.2188758248682006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25</v>
      </c>
      <c r="U7" s="158">
        <f t="shared" si="0"/>
        <v>21.609959999999997</v>
      </c>
      <c r="V7" s="232">
        <f t="shared" si="21"/>
        <v>19.878979999999999</v>
      </c>
      <c r="W7" s="237">
        <f t="shared" si="22"/>
        <v>2.6658149517560001E-2</v>
      </c>
      <c r="X7" s="233">
        <f t="shared" si="26"/>
        <v>6.9537605295558478E-3</v>
      </c>
      <c r="Y7" s="233">
        <f t="shared" si="27"/>
        <v>3.9383214184337077E-3</v>
      </c>
      <c r="Z7" s="231">
        <f t="shared" si="9"/>
        <v>0.36912732059267428</v>
      </c>
      <c r="AA7" s="232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31">
        <f t="shared" si="14"/>
        <v>0.69444444444444442</v>
      </c>
      <c r="AI7" s="231">
        <f t="shared" si="15"/>
        <v>25</v>
      </c>
      <c r="AJ7" s="236">
        <f t="shared" si="16"/>
        <v>20669.912413585356</v>
      </c>
      <c r="AK7" s="236">
        <f t="shared" si="17"/>
        <v>44.856580758648775</v>
      </c>
      <c r="AL7" s="236">
        <f t="shared" si="18"/>
        <v>28.191195781966027</v>
      </c>
      <c r="AM7" s="236">
        <f t="shared" si="19"/>
        <v>44.873097768822788</v>
      </c>
      <c r="AN7" s="9">
        <f t="shared" si="29"/>
        <v>28.191195781966027</v>
      </c>
      <c r="AO7" s="10">
        <f t="shared" si="20"/>
        <v>12990.503016329945</v>
      </c>
      <c r="AP7" s="233">
        <f t="shared" si="24"/>
        <v>4.5352854686391553E-3</v>
      </c>
      <c r="AQ7" s="233">
        <f t="shared" si="30"/>
        <v>1.7849191433240243E-2</v>
      </c>
      <c r="AR7" s="235">
        <f t="shared" si="25"/>
        <v>5.2664963467185628E-7</v>
      </c>
      <c r="AS7" s="231">
        <f t="shared" si="31"/>
        <v>7.1065875756500141E-2</v>
      </c>
      <c r="AT7" s="235" t="e">
        <f t="shared" si="32"/>
        <v>#DIV/0!</v>
      </c>
      <c r="AU7" s="165" t="e">
        <f t="shared" si="33"/>
        <v>#DIV/0!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3">
        <f t="shared" si="1"/>
        <v>1.2055555555555555</v>
      </c>
      <c r="D8" s="73">
        <v>37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37</v>
      </c>
      <c r="M8" s="237">
        <f t="shared" si="4"/>
        <v>3.6109179126442243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37</v>
      </c>
      <c r="U8" s="158">
        <f t="shared" si="0"/>
        <v>37.054899999999996</v>
      </c>
      <c r="V8" s="232">
        <f t="shared" si="21"/>
        <v>35.323919999999994</v>
      </c>
      <c r="W8" s="237">
        <f t="shared" si="22"/>
        <v>4.7370153846239993E-2</v>
      </c>
      <c r="X8" s="233">
        <f t="shared" si="26"/>
        <v>1.0283239317352035E-2</v>
      </c>
      <c r="Y8" s="233">
        <f t="shared" si="27"/>
        <v>7.2678002062298947E-3</v>
      </c>
      <c r="Z8" s="231">
        <f t="shared" si="9"/>
        <v>0.64042745241181076</v>
      </c>
      <c r="AA8" s="232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31">
        <f t="shared" si="14"/>
        <v>1.0277777777777777</v>
      </c>
      <c r="AI8" s="231">
        <f t="shared" si="15"/>
        <v>37</v>
      </c>
      <c r="AJ8" s="232">
        <f t="shared" si="16"/>
        <v>25892.608417787182</v>
      </c>
      <c r="AK8" s="232">
        <f t="shared" si="17"/>
        <v>56.190556462211767</v>
      </c>
      <c r="AL8" s="232">
        <f t="shared" si="18"/>
        <v>39.198660063545098</v>
      </c>
      <c r="AM8" s="232">
        <f t="shared" si="19"/>
        <v>56.194936045724674</v>
      </c>
      <c r="AN8" s="2">
        <f t="shared" si="29"/>
        <v>39.198660063545098</v>
      </c>
      <c r="AO8" s="3">
        <f t="shared" si="20"/>
        <v>18062.742557281581</v>
      </c>
      <c r="AP8" s="230">
        <f t="shared" si="24"/>
        <v>7.6027209486206476E-3</v>
      </c>
      <c r="AQ8" s="230">
        <f t="shared" si="30"/>
        <v>3.7481773882776452E-2</v>
      </c>
      <c r="AR8" s="234">
        <f t="shared" si="25"/>
        <v>6.4800631984421882E-7</v>
      </c>
      <c r="AS8" s="231">
        <f t="shared" si="31"/>
        <v>5.7756871127111475E-2</v>
      </c>
      <c r="AT8" s="235" t="e">
        <f t="shared" si="32"/>
        <v>#DIV/0!</v>
      </c>
      <c r="AU8" s="165" t="e">
        <f t="shared" si="33"/>
        <v>#DIV/0!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3">
        <f t="shared" si="1"/>
        <v>1.2833333333333332</v>
      </c>
      <c r="D9" s="73">
        <v>51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51</v>
      </c>
      <c r="M9" s="237">
        <f t="shared" si="4"/>
        <v>3.9318256327243257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51</v>
      </c>
      <c r="U9" s="158">
        <f t="shared" si="0"/>
        <v>53.266500000000008</v>
      </c>
      <c r="V9" s="232">
        <f t="shared" si="21"/>
        <v>51.535520000000005</v>
      </c>
      <c r="W9" s="237">
        <f t="shared" si="22"/>
        <v>6.9110266101440013E-2</v>
      </c>
      <c r="X9" s="233">
        <f t="shared" si="26"/>
        <v>1.2703849114766703E-2</v>
      </c>
      <c r="Y9" s="233">
        <f t="shared" si="27"/>
        <v>9.6884100036445618E-3</v>
      </c>
      <c r="Z9" s="231">
        <f t="shared" si="9"/>
        <v>1.0547926582677607</v>
      </c>
      <c r="AA9" s="232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/>
      <c r="AH9" s="231">
        <f t="shared" si="14"/>
        <v>1.4166666666666665</v>
      </c>
      <c r="AI9" s="231">
        <f t="shared" si="15"/>
        <v>51</v>
      </c>
      <c r="AJ9" s="232">
        <f t="shared" si="16"/>
        <v>30167.668467812655</v>
      </c>
      <c r="AK9" s="232">
        <f t="shared" si="17"/>
        <v>65.468030529107324</v>
      </c>
      <c r="AL9" s="232">
        <f t="shared" si="18"/>
        <v>48.208866815843471</v>
      </c>
      <c r="AM9" s="232">
        <f t="shared" si="19"/>
        <v>65.462474970351309</v>
      </c>
      <c r="AN9" s="2">
        <f t="shared" si="29"/>
        <v>48.208866815843471</v>
      </c>
      <c r="AO9" s="3">
        <f t="shared" si="20"/>
        <v>22214.645828740671</v>
      </c>
      <c r="AP9" s="230">
        <f t="shared" si="24"/>
        <v>1.0585322765809056E-2</v>
      </c>
      <c r="AQ9" s="230">
        <f t="shared" si="30"/>
        <v>6.0802457696823561E-2</v>
      </c>
      <c r="AR9" s="234">
        <f t="shared" si="25"/>
        <v>7.4734335117181073E-7</v>
      </c>
      <c r="AS9" s="231">
        <f t="shared" si="31"/>
        <v>5.0079815985667443E-2</v>
      </c>
      <c r="AT9" s="235" t="e">
        <f t="shared" si="32"/>
        <v>#DIV/0!</v>
      </c>
      <c r="AU9" s="165" t="e">
        <f t="shared" si="33"/>
        <v>#DIV/0!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3">
        <f t="shared" si="1"/>
        <v>1.3722222222222222</v>
      </c>
      <c r="D10" s="73">
        <v>67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67</v>
      </c>
      <c r="M10" s="237">
        <f t="shared" si="4"/>
        <v>4.2046926193909657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67</v>
      </c>
      <c r="U10" s="158">
        <f t="shared" si="0"/>
        <v>76.287999999999997</v>
      </c>
      <c r="V10" s="232">
        <f t="shared" si="21"/>
        <v>74.557019999999994</v>
      </c>
      <c r="W10" s="237">
        <f t="shared" si="22"/>
        <v>9.9982604074439999E-2</v>
      </c>
      <c r="X10" s="233">
        <f t="shared" si="26"/>
        <v>1.5753259097968767E-2</v>
      </c>
      <c r="Y10" s="233">
        <f t="shared" si="27"/>
        <v>1.2737819986846626E-2</v>
      </c>
      <c r="Z10" s="231">
        <f t="shared" si="9"/>
        <v>1.6749716749344534</v>
      </c>
      <c r="AA10" s="232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31">
        <f t="shared" si="14"/>
        <v>1.8611111111111112</v>
      </c>
      <c r="AI10" s="231">
        <f t="shared" si="15"/>
        <v>67</v>
      </c>
      <c r="AJ10" s="232">
        <f t="shared" si="16"/>
        <v>33802.740735248961</v>
      </c>
      <c r="AK10" s="232">
        <f t="shared" si="17"/>
        <v>73.356642220592363</v>
      </c>
      <c r="AL10" s="232">
        <f t="shared" si="18"/>
        <v>55.87022181574622</v>
      </c>
      <c r="AM10" s="232">
        <f t="shared" si="19"/>
        <v>73.342638836609993</v>
      </c>
      <c r="AN10" s="2">
        <f t="shared" si="29"/>
        <v>55.87022181574622</v>
      </c>
      <c r="AO10" s="3">
        <f t="shared" si="20"/>
        <v>25744.99821269586</v>
      </c>
      <c r="AP10" s="230">
        <f t="shared" si="24"/>
        <v>1.3455489890834242E-2</v>
      </c>
      <c r="AQ10" s="230">
        <f t="shared" si="30"/>
        <v>8.660175861493398E-2</v>
      </c>
      <c r="AR10" s="234">
        <f t="shared" si="25"/>
        <v>8.3180936649859653E-7</v>
      </c>
      <c r="AS10" s="231">
        <f t="shared" si="31"/>
        <v>4.4994465092813393E-2</v>
      </c>
      <c r="AT10" s="235" t="e">
        <f t="shared" si="32"/>
        <v>#DIV/0!</v>
      </c>
      <c r="AU10" s="165" t="e">
        <f t="shared" si="33"/>
        <v>#DIV/0!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3">
        <f t="shared" si="1"/>
        <v>1.4</v>
      </c>
      <c r="D11" s="73">
        <v>72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72</v>
      </c>
      <c r="M11" s="237">
        <f t="shared" si="4"/>
        <v>4.2766661190160553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72</v>
      </c>
      <c r="U11" s="158">
        <f t="shared" si="0"/>
        <v>82.615199999999987</v>
      </c>
      <c r="V11" s="232">
        <f t="shared" si="21"/>
        <v>80.884219999999985</v>
      </c>
      <c r="W11" s="237">
        <f t="shared" si="22"/>
        <v>0.10846751847283999</v>
      </c>
      <c r="X11" s="233">
        <f t="shared" si="26"/>
        <v>1.6710361272567767E-2</v>
      </c>
      <c r="Y11" s="233">
        <f t="shared" si="27"/>
        <v>1.3694922161445626E-2</v>
      </c>
      <c r="Z11" s="231">
        <f t="shared" si="9"/>
        <v>1.7917894660781604</v>
      </c>
      <c r="AA11" s="232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 t="e">
        <f>$L$42/($Q$28*$Q$37*$Q$34*($AC11-$Q$47)^2/4/$AF11)/(PI()*$Q$37/60/($AC11-$Q$47))</f>
        <v>#DIV/0!</v>
      </c>
      <c r="AH11" s="231">
        <f t="shared" si="14"/>
        <v>2</v>
      </c>
      <c r="AI11" s="231">
        <f t="shared" si="15"/>
        <v>72</v>
      </c>
      <c r="AJ11" s="232">
        <f t="shared" si="16"/>
        <v>34761.555415154267</v>
      </c>
      <c r="AK11" s="232">
        <f t="shared" si="17"/>
        <v>75.437403244692419</v>
      </c>
      <c r="AL11" s="232">
        <f t="shared" si="18"/>
        <v>57.891039863210622</v>
      </c>
      <c r="AM11" s="232">
        <f t="shared" si="19"/>
        <v>75.421171597213643</v>
      </c>
      <c r="AN11" s="2">
        <f t="shared" si="29"/>
        <v>57.891039863210622</v>
      </c>
      <c r="AO11" s="3">
        <f t="shared" si="20"/>
        <v>26676.191168967456</v>
      </c>
      <c r="AP11" s="230">
        <f t="shared" si="24"/>
        <v>1.4263721833683785E-2</v>
      </c>
      <c r="AQ11" s="230">
        <f t="shared" si="30"/>
        <v>9.4407684110423593E-2</v>
      </c>
      <c r="AR11" s="234">
        <f t="shared" si="25"/>
        <v>8.5408877375383279E-7</v>
      </c>
      <c r="AS11" s="231">
        <f t="shared" si="31"/>
        <v>4.3820758046380269E-2</v>
      </c>
      <c r="AT11" s="235" t="e">
        <f t="shared" si="32"/>
        <v>#DIV/0!</v>
      </c>
      <c r="AU11" s="165" t="e">
        <f t="shared" si="33"/>
        <v>#DIV/0!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3">
        <f t="shared" si="1"/>
        <v>1.4722222222222223</v>
      </c>
      <c r="D12" s="73">
        <v>85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85</v>
      </c>
      <c r="M12" s="237">
        <f t="shared" si="4"/>
        <v>4.4426512564903167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85</v>
      </c>
      <c r="U12" s="158">
        <f t="shared" si="0"/>
        <v>95.934000000000012</v>
      </c>
      <c r="V12" s="232">
        <f t="shared" si="21"/>
        <v>94.203020000000009</v>
      </c>
      <c r="W12" s="237">
        <f t="shared" si="22"/>
        <v>0.12632832228644003</v>
      </c>
      <c r="X12" s="233">
        <f t="shared" si="26"/>
        <v>1.8135020196389139E-2</v>
      </c>
      <c r="Y12" s="233">
        <f t="shared" si="27"/>
        <v>1.5119581085266998E-2</v>
      </c>
      <c r="Z12" s="231">
        <f t="shared" si="9"/>
        <v>2.2145905294235728</v>
      </c>
      <c r="AA12" s="232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31">
        <f t="shared" si="14"/>
        <v>2.3611111111111112</v>
      </c>
      <c r="AI12" s="231">
        <f t="shared" si="15"/>
        <v>85</v>
      </c>
      <c r="AJ12" s="232">
        <f t="shared" si="16"/>
        <v>36972.771866840376</v>
      </c>
      <c r="AK12" s="232">
        <f t="shared" si="17"/>
        <v>80.236050058247343</v>
      </c>
      <c r="AL12" s="232">
        <f t="shared" si="18"/>
        <v>62.551446306777834</v>
      </c>
      <c r="AM12" s="232">
        <f t="shared" si="19"/>
        <v>80.214679594055426</v>
      </c>
      <c r="AN12" s="2">
        <f t="shared" si="29"/>
        <v>62.551446306777834</v>
      </c>
      <c r="AO12" s="3">
        <f t="shared" si="20"/>
        <v>28823.706458163226</v>
      </c>
      <c r="AP12" s="230">
        <f t="shared" si="24"/>
        <v>1.6209103931845468E-2</v>
      </c>
      <c r="AQ12" s="230">
        <f t="shared" si="30"/>
        <v>0.11410805442460545</v>
      </c>
      <c r="AR12" s="234">
        <f t="shared" si="25"/>
        <v>9.054694971502026E-7</v>
      </c>
      <c r="AS12" s="231">
        <f t="shared" si="31"/>
        <v>4.1334156062231023E-2</v>
      </c>
      <c r="AT12" s="235" t="e">
        <f t="shared" si="32"/>
        <v>#DIV/0!</v>
      </c>
      <c r="AU12" s="165" t="e">
        <f t="shared" si="33"/>
        <v>#DIV/0!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3">
        <f t="shared" si="1"/>
        <v>1.588888888888889</v>
      </c>
      <c r="D13" s="73">
        <v>106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106</v>
      </c>
      <c r="M13" s="237">
        <f t="shared" si="4"/>
        <v>4.6634390941120669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106</v>
      </c>
      <c r="U13" s="158">
        <f t="shared" si="0"/>
        <v>136.65599999999998</v>
      </c>
      <c r="V13" s="232">
        <f t="shared" si="21"/>
        <v>134.92501999999999</v>
      </c>
      <c r="W13" s="237">
        <f t="shared" si="22"/>
        <v>0.18093742017044001</v>
      </c>
      <c r="X13" s="233">
        <f t="shared" si="26"/>
        <v>2.3123561047888673E-2</v>
      </c>
      <c r="Y13" s="233">
        <f t="shared" si="27"/>
        <v>2.0108121936766532E-2</v>
      </c>
      <c r="Z13" s="231">
        <f t="shared" si="9"/>
        <v>3.138820028500596</v>
      </c>
      <c r="AA13" s="232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31">
        <f t="shared" si="14"/>
        <v>2.9444444444444446</v>
      </c>
      <c r="AI13" s="231">
        <f t="shared" si="15"/>
        <v>106</v>
      </c>
      <c r="AJ13" s="232">
        <f t="shared" si="16"/>
        <v>39914.057492230306</v>
      </c>
      <c r="AK13" s="232">
        <f t="shared" si="17"/>
        <v>86.619048377235899</v>
      </c>
      <c r="AL13" s="232">
        <f t="shared" si="18"/>
        <v>68.750561943099385</v>
      </c>
      <c r="AM13" s="232">
        <f t="shared" si="19"/>
        <v>86.590842432185269</v>
      </c>
      <c r="AN13" s="2">
        <f t="shared" si="29"/>
        <v>68.750561943099385</v>
      </c>
      <c r="AO13" s="3">
        <f t="shared" si="20"/>
        <v>31680.258943380195</v>
      </c>
      <c r="AP13" s="230">
        <f t="shared" si="24"/>
        <v>1.8972859294572642E-2</v>
      </c>
      <c r="AQ13" s="230">
        <f t="shared" si="30"/>
        <v>0.14418960332741212</v>
      </c>
      <c r="AR13" s="234">
        <f t="shared" si="25"/>
        <v>9.7381440433133435E-7</v>
      </c>
      <c r="AS13" s="231">
        <f t="shared" si="31"/>
        <v>3.8433214109720726E-2</v>
      </c>
      <c r="AT13" s="235" t="e">
        <f t="shared" si="32"/>
        <v>#DIV/0!</v>
      </c>
      <c r="AU13" s="165" t="e">
        <f t="shared" si="33"/>
        <v>#DIV/0!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1.6833333333333333</v>
      </c>
      <c r="D14" s="80">
        <v>123</v>
      </c>
      <c r="E14" s="80">
        <v>2.79</v>
      </c>
      <c r="F14" s="80">
        <v>11.51</v>
      </c>
      <c r="G14" s="80">
        <v>14.7</v>
      </c>
      <c r="H14" s="80">
        <v>1360</v>
      </c>
      <c r="I14" s="81">
        <v>1670</v>
      </c>
      <c r="J14" s="61"/>
      <c r="K14" s="2">
        <f t="shared" si="2"/>
        <v>169.197</v>
      </c>
      <c r="L14" s="1">
        <f t="shared" si="3"/>
        <v>123</v>
      </c>
      <c r="M14" s="237">
        <f t="shared" si="4"/>
        <v>4.8121843553724171</v>
      </c>
      <c r="N14" s="3">
        <f t="shared" si="5"/>
        <v>735.2941176470589</v>
      </c>
      <c r="O14" s="3">
        <f t="shared" si="5"/>
        <v>598.80239520958082</v>
      </c>
      <c r="P14" s="3">
        <f t="shared" si="6"/>
        <v>44117.647058823532</v>
      </c>
      <c r="Q14" s="3">
        <f t="shared" si="6"/>
        <v>35928.143712574849</v>
      </c>
      <c r="R14" s="3">
        <f t="shared" si="7"/>
        <v>95.741421568627459</v>
      </c>
      <c r="S14" s="3">
        <f t="shared" si="7"/>
        <v>77.969061876247494</v>
      </c>
      <c r="T14" s="3">
        <f t="shared" si="8"/>
        <v>123</v>
      </c>
      <c r="U14" s="158">
        <f t="shared" si="0"/>
        <v>169.197</v>
      </c>
      <c r="V14" s="232">
        <f t="shared" si="21"/>
        <v>167.46602000000001</v>
      </c>
      <c r="W14" s="237">
        <f t="shared" si="22"/>
        <v>0.22457561707244003</v>
      </c>
      <c r="X14" s="233">
        <f t="shared" si="26"/>
        <v>2.6734679192927643E-2</v>
      </c>
      <c r="Y14" s="233">
        <f t="shared" si="27"/>
        <v>2.3719240081805502E-2</v>
      </c>
      <c r="Z14" s="163">
        <f>C34/0.224</f>
        <v>4.4249528005034611</v>
      </c>
      <c r="AA14" s="232">
        <f t="shared" si="10"/>
        <v>91.297248929319878</v>
      </c>
      <c r="AB14" s="2">
        <f>AA14/U14*100</f>
        <v>53.959141668776553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103.4656263158315</v>
      </c>
      <c r="AF14" s="165">
        <f t="shared" si="23"/>
        <v>2.5073620415250657</v>
      </c>
      <c r="AG14" s="151"/>
      <c r="AH14" s="231">
        <f t="shared" si="14"/>
        <v>3.416666666666667</v>
      </c>
      <c r="AI14" s="231">
        <f t="shared" si="15"/>
        <v>123</v>
      </c>
      <c r="AJ14" s="232">
        <f t="shared" si="16"/>
        <v>41895.608213060579</v>
      </c>
      <c r="AK14" s="232">
        <f t="shared" si="17"/>
        <v>90.919288656815496</v>
      </c>
      <c r="AL14" s="232">
        <f t="shared" si="18"/>
        <v>72.926920047061046</v>
      </c>
      <c r="AM14" s="232">
        <f t="shared" si="19"/>
        <v>90.886477632983699</v>
      </c>
      <c r="AN14" s="2">
        <f t="shared" si="29"/>
        <v>72.926920047061046</v>
      </c>
      <c r="AO14" s="3">
        <f t="shared" si="20"/>
        <v>33604.724757685733</v>
      </c>
      <c r="AP14" s="230">
        <f t="shared" si="24"/>
        <v>2.0948141306256156E-2</v>
      </c>
      <c r="AQ14" s="230">
        <f t="shared" si="30"/>
        <v>0.16710493544530444</v>
      </c>
      <c r="AR14" s="234">
        <f t="shared" si="25"/>
        <v>1.0198585215434787E-6</v>
      </c>
      <c r="AS14" s="231">
        <f t="shared" si="31"/>
        <v>3.6698048517703877E-2</v>
      </c>
      <c r="AT14" s="235" t="e">
        <f t="shared" si="32"/>
        <v>#DIV/0!</v>
      </c>
      <c r="AU14" s="165" t="e">
        <f t="shared" si="33"/>
        <v>#DIV/0!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294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60.75" thickBot="1" x14ac:dyDescent="0.3">
      <c r="I39" s="193" t="s">
        <v>100</v>
      </c>
      <c r="J39" s="276" t="s">
        <v>273</v>
      </c>
      <c r="K39" s="276" t="s">
        <v>274</v>
      </c>
      <c r="L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 t="e">
        <f>(J40-J42)/(J41-J42)*(I41-I42)+I42</f>
        <v>#DIV/0!</v>
      </c>
      <c r="J40" s="249">
        <v>0</v>
      </c>
      <c r="K40" s="215"/>
      <c r="L40" s="219"/>
      <c r="P40" s="229" t="s">
        <v>291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50"/>
      <c r="K41" s="256"/>
      <c r="L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13082.183989383584</v>
      </c>
      <c r="S41" s="67">
        <f>INDEX(LINEST($Q$4:$Q$14,$E$4:$E$14^{1,2},FALSE,FALSE),1)</f>
        <v>-108.97527771160431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50"/>
      <c r="K42" s="258" t="e">
        <f>$Q$36/J42</f>
        <v>#DIV/0!</v>
      </c>
      <c r="L42" s="259" t="e">
        <f>-K42/$Q$35</f>
        <v>#DIV/0!</v>
      </c>
      <c r="M42" s="278" t="s">
        <v>293</v>
      </c>
      <c r="P42" s="65" t="s">
        <v>21</v>
      </c>
      <c r="Q42" s="205">
        <f>INDEX(LINEST($P$4:$P$14,$M$4:$M$14),2)</f>
        <v>-22211.223139813039</v>
      </c>
      <c r="R42" s="67">
        <f>INDEX(LINEST($P$4:$P$14,$M$4:$M$14),1)</f>
        <v>13321.773776456319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50"/>
      <c r="K43" s="61"/>
      <c r="L43" s="257"/>
      <c r="P43" s="65" t="s">
        <v>122</v>
      </c>
      <c r="Q43" s="205">
        <f>INDEX(LINEST($Q$4:$Q$14,$P$4:$P$14),2)</f>
        <v>-7083.9464572456454</v>
      </c>
      <c r="R43" s="69">
        <f>INDEX(LINEST($Q$4:$Q$14,$P$4:$P$14),1)</f>
        <v>0.97119180148927986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16</v>
      </c>
      <c r="J44" s="250"/>
      <c r="K44" s="61"/>
      <c r="L44" s="257"/>
      <c r="P44" s="65" t="s">
        <v>123</v>
      </c>
      <c r="Q44" s="205">
        <f>INDEX(LINEST($P$4:$P$14,$Q$4:$Q$14),2)</f>
        <v>7316.0107070513586</v>
      </c>
      <c r="R44" s="69">
        <f>INDEX(LINEST($P$4:$P$14,$Q$4:$Q$14),1)</f>
        <v>1.0285600740807228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 t="e">
        <f>(J45-J43)/(J44-J43)*(I44-I43)+I43</f>
        <v>#DIV/0!</v>
      </c>
      <c r="J45" s="253">
        <v>0.5</v>
      </c>
      <c r="K45" s="262"/>
      <c r="L45" s="263"/>
      <c r="P45" s="65" t="s">
        <v>180</v>
      </c>
      <c r="Q45" s="207" t="e">
        <f>AG11</f>
        <v>#DIV/0!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-1.3866939517775678E-3</v>
      </c>
      <c r="K48" s="180">
        <f>INDEX(LINEST($Y$3:$Y$14,$P$3:$P$14^{1,2}),2)</f>
        <v>4.6355156245833834E-8</v>
      </c>
      <c r="L48" s="180">
        <f>INDEX(LINEST($Y$3:$Y$14,$P$3:$P$14^{1,2}),1)</f>
        <v>1.1618203038691823E-11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 t="e">
        <f ca="1">J56</f>
        <v>#DIV/0!</v>
      </c>
      <c r="S51" s="266" t="e">
        <f ca="1">J55</f>
        <v>#DIV/0!</v>
      </c>
      <c r="T51" s="266" t="e">
        <f ca="1">J54</f>
        <v>#DIV/0!</v>
      </c>
      <c r="U51" s="267" t="e">
        <f ca="1">J53</f>
        <v>#DIV/0!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 t="e">
        <f t="shared" ref="J52:J57" ca="1" si="34">FORECAST(I52,OFFSET(MeasNt,MATCH(I52,MeasTauT,1)-1,0,2),OFFSET(MeasTauT,MATCH(I52,MeasTauT,1)-1,0,2))</f>
        <v>#DIV/0!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 t="e">
        <f t="shared" ca="1" si="34"/>
        <v>#DIV/0!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 t="e">
        <f t="shared" ca="1" si="34"/>
        <v>#DIV/0!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 t="e">
        <f t="shared" ca="1" si="34"/>
        <v>#DIV/0!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 t="e">
        <f t="shared" ca="1" si="34"/>
        <v>#DIV/0!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 t="e">
        <f t="shared" ca="1" si="34"/>
        <v>#DIV/0!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ht="14.45" x14ac:dyDescent="0.3">
      <c r="X58" s="19"/>
      <c r="Y58" s="30"/>
      <c r="Z58" s="30"/>
      <c r="AA58" s="30"/>
      <c r="AB58" s="31"/>
    </row>
    <row r="59" spans="3:45" ht="14.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ht="14.45" x14ac:dyDescent="0.3">
      <c r="X60" s="19"/>
      <c r="Y60" s="30"/>
      <c r="Z60" s="30"/>
      <c r="AA60" s="30"/>
      <c r="AB60" s="31"/>
    </row>
    <row r="61" spans="3:45" ht="14.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ht="14.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ht="14.45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ht="14.45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ht="14.45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ht="14.45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ht="14.45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ht="14.45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ht="14.45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ht="14.45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ht="14.45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ht="14.45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ht="14.45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ht="14.45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ht="14.45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ht="14.45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ht="14.45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ht="14.45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ht="14.45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ht="14.45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ht="14.45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ht="14.45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thickBot="1" x14ac:dyDescent="0.35">
      <c r="V50" t="s">
        <v>38</v>
      </c>
    </row>
    <row r="51" spans="22:27" ht="14.45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ht="14.45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ht="14.45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ht="14.45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ht="14.45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ht="14.45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ht="14.45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ht="14.45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ht="14.45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ht="14.45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ht="14.45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ht="14.45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ht="14.45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ht="14.45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Ard1_Turn1_ESC1_G1b_T1a</vt:lpstr>
      <vt:lpstr>Ard2_Turn2_ESC2_G2b_T2a</vt:lpstr>
      <vt:lpstr>Ard3_Turn3_ESC3_G3b_T3a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Meas_TauT__s</vt:lpstr>
      <vt:lpstr>Ard2_Turn2_ESC2_G2b_T2a!MeasNt</vt:lpstr>
      <vt:lpstr>Ard3_Turn3_ESC3_G3b_T3a!MeasNt</vt:lpstr>
      <vt:lpstr>MeasNt</vt:lpstr>
      <vt:lpstr>Ard2_Turn2_ESC2_G2b_T2a!MeasTauT</vt:lpstr>
      <vt:lpstr>Ard3_Turn3_ESC3_G3b_T3a!MeasTauT</vt:lpstr>
      <vt:lpstr>MeasTauT</vt:lpstr>
      <vt:lpstr>Ard2_Turn2_ESC2_G2b_T2a!Nt</vt:lpstr>
      <vt:lpstr>Ard3_Turn3_ESC3_G3b_T3a!Nt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2016-12-12T17:56:03Z</dcterms:modified>
</cp:coreProperties>
</file>