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58.xml" ContentType="application/vnd.openxmlformats-officedocument.drawingml.chart+xml"/>
  <Override PartName="/xl/drawings/drawing10.xml" ContentType="application/vnd.openxmlformats-officedocument.drawing+xml"/>
  <Override PartName="/xl/charts/chart5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11.xml" ContentType="application/vnd.openxmlformats-officedocument.drawing+xml"/>
  <Override PartName="/xl/charts/chart6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7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2" activeTab="4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CalPhotonTurnigy" sheetId="4" r:id="rId8"/>
    <sheet name="TauPhotonTurnigy" sheetId="5" r:id="rId9"/>
    <sheet name="CalArduinoTurnigy" sheetId="3" r:id="rId10"/>
    <sheet name="CalArduinoHiTec" sheetId="1" r:id="rId11"/>
    <sheet name="CalPhotonHiTec" sheetId="2" r:id="rId12"/>
  </sheets>
  <definedNames>
    <definedName name="Meas_TauT__s" localSheetId="2">Ard0_Turn0_ESC0_G0b_T0a!$K$38:$K$43</definedName>
    <definedName name="Meas_TauT__s" localSheetId="3">Ard1_Turn1x_ESC1_G1b_T1a!$K$39:$K$44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Ard4_Turn4_ESC4_G4b_T4a!$K$39:$K$44</definedName>
    <definedName name="Meas_TauT__s">#REF!</definedName>
    <definedName name="MeasNt" localSheetId="2">Ard0_Turn0_ESC0_G0b_T0a!$I$38:$I$43</definedName>
    <definedName name="MeasNt" localSheetId="3">Ard1_Turn1x_ESC1_G1b_T1a!$I$39:$I$44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Ard4_Turn4_ESC4_G4b_T4a!$I$39:$I$44</definedName>
    <definedName name="MeasNt">#REF!</definedName>
    <definedName name="MeasTauT" localSheetId="2">Ard0_Turn0_ESC0_G0b_T0a!$K$38:$K$43</definedName>
    <definedName name="MeasTauT" localSheetId="3">Ard1_Turn1x_ESC1_G1b_T1a!$K$39:$K$44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Ard4_Turn4_ESC4_G4b_T4a!$K$39:$K$44</definedName>
    <definedName name="MeasTauT">#REF!</definedName>
    <definedName name="Nt" localSheetId="2">Ard0_Turn0_ESC0_G0b_T0a!$I$38:$I$43</definedName>
    <definedName name="Nt" localSheetId="3">Ard1_Turn1x_ESC1_G1b_T1a!$I$39:$I$44</definedName>
    <definedName name="Nt" localSheetId="4">Ard2_Turn2_ESC2_G2b_T2a!$I$38:$I$43</definedName>
    <definedName name="Nt" localSheetId="5">Ard3_Turn3_ESC3_G3b_T3a!$I$39:$I$44</definedName>
    <definedName name="Nt" localSheetId="6">Ard4_Turn4_ESC4_G4b_T4a!$I$39:$I$44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Q42" i="8" l="1"/>
  <c r="S40" i="8"/>
  <c r="R40" i="8"/>
  <c r="R43" i="14"/>
  <c r="Q43" i="14"/>
  <c r="R42" i="14"/>
  <c r="Q42" i="14"/>
  <c r="Q40" i="14" l="1"/>
  <c r="AV12" i="14"/>
  <c r="AH12" i="14"/>
  <c r="AI12" i="14" s="1"/>
  <c r="O12" i="14"/>
  <c r="Q12" i="14" s="1"/>
  <c r="AE12" i="14" s="1"/>
  <c r="N12" i="14"/>
  <c r="P12" i="14" s="1"/>
  <c r="L12" i="14"/>
  <c r="T12" i="14" s="1"/>
  <c r="K12" i="14"/>
  <c r="U12" i="14" s="1"/>
  <c r="W12" i="14" s="1"/>
  <c r="C12" i="14"/>
  <c r="X12" i="14" l="1"/>
  <c r="Y12" i="14" s="1"/>
  <c r="M12" i="14"/>
  <c r="Z12" i="14"/>
  <c r="R12" i="14"/>
  <c r="V12" i="14"/>
  <c r="S12" i="14"/>
  <c r="Z3" i="15"/>
  <c r="AE69" i="15" s="1"/>
  <c r="Z4" i="15"/>
  <c r="AE70" i="15" s="1"/>
  <c r="Z5" i="15"/>
  <c r="AE71" i="15" s="1"/>
  <c r="Z6" i="15"/>
  <c r="AE72" i="15" s="1"/>
  <c r="Z7" i="15"/>
  <c r="AE73" i="15" s="1"/>
  <c r="Z8" i="15"/>
  <c r="AE74" i="15" s="1"/>
  <c r="Z9" i="15"/>
  <c r="AE75" i="15" s="1"/>
  <c r="Z10" i="15"/>
  <c r="AE76" i="15" s="1"/>
  <c r="Z11" i="15"/>
  <c r="AE77" i="15" s="1"/>
  <c r="Z12" i="15"/>
  <c r="AE78" i="15" s="1"/>
  <c r="Z13" i="15"/>
  <c r="AE79" i="15" s="1"/>
  <c r="Z14" i="15"/>
  <c r="AE80" i="15" s="1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K10" i="15"/>
  <c r="AE38" i="15" s="1"/>
  <c r="K11" i="15"/>
  <c r="AE39" i="15" s="1"/>
  <c r="K12" i="15"/>
  <c r="AE40" i="15" s="1"/>
  <c r="K13" i="15"/>
  <c r="AE41" i="15" s="1"/>
  <c r="K14" i="15"/>
  <c r="AE42" i="15" s="1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A12" i="14" l="1"/>
  <c r="AB12" i="14" s="1"/>
  <c r="AC12" i="14"/>
  <c r="AC5" i="15"/>
  <c r="AC10" i="15"/>
  <c r="AC13" i="15"/>
  <c r="AC3" i="15"/>
  <c r="AC8" i="15"/>
  <c r="AC11" i="15"/>
  <c r="AD11" i="15" s="1"/>
  <c r="X8" i="15"/>
  <c r="AC6" i="15"/>
  <c r="AD6" i="15" s="1"/>
  <c r="AC9" i="15"/>
  <c r="AD9" i="15" s="1"/>
  <c r="AC14" i="15"/>
  <c r="AD14" i="15" s="1"/>
  <c r="X10" i="15"/>
  <c r="AC4" i="15"/>
  <c r="AD4" i="15" s="1"/>
  <c r="AC7" i="15"/>
  <c r="AC12" i="15"/>
  <c r="AD12" i="15" s="1"/>
  <c r="X4" i="15"/>
  <c r="X12" i="15"/>
  <c r="X6" i="15"/>
  <c r="X14" i="15"/>
  <c r="X3" i="15"/>
  <c r="X5" i="15"/>
  <c r="Y5" i="15" s="1"/>
  <c r="X7" i="15"/>
  <c r="X9" i="15"/>
  <c r="Y9" i="15" s="1"/>
  <c r="X11" i="15"/>
  <c r="Y11" i="15" s="1"/>
  <c r="X13" i="15"/>
  <c r="S5" i="15"/>
  <c r="S9" i="15"/>
  <c r="S3" i="15"/>
  <c r="S7" i="15"/>
  <c r="S11" i="15"/>
  <c r="S13" i="15"/>
  <c r="S4" i="15"/>
  <c r="S6" i="15"/>
  <c r="T6" i="15" s="1"/>
  <c r="S8" i="15"/>
  <c r="S10" i="15"/>
  <c r="S12" i="15"/>
  <c r="I9" i="15"/>
  <c r="N5" i="15"/>
  <c r="N7" i="15"/>
  <c r="N9" i="15"/>
  <c r="N11" i="15"/>
  <c r="N13" i="15"/>
  <c r="I3" i="15"/>
  <c r="I11" i="15"/>
  <c r="N3" i="15"/>
  <c r="I5" i="15"/>
  <c r="N4" i="15"/>
  <c r="N6" i="15"/>
  <c r="O6" i="15" s="1"/>
  <c r="N8" i="15"/>
  <c r="N10" i="15"/>
  <c r="N12" i="15"/>
  <c r="N14" i="15"/>
  <c r="O14" i="15" s="1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AD12" i="14" l="1"/>
  <c r="AF12" i="14"/>
  <c r="AD13" i="15"/>
  <c r="AD10" i="15"/>
  <c r="Y13" i="15"/>
  <c r="AD7" i="15"/>
  <c r="AD8" i="15"/>
  <c r="AD5" i="15"/>
  <c r="Y12" i="15"/>
  <c r="Y7" i="15"/>
  <c r="O10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12" i="15"/>
  <c r="O4" i="15"/>
  <c r="O9" i="15"/>
  <c r="T12" i="15"/>
  <c r="T4" i="15"/>
  <c r="T7" i="15"/>
  <c r="O8" i="15"/>
  <c r="O13" i="15"/>
  <c r="O5" i="15"/>
  <c r="E18" i="15"/>
  <c r="E15" i="15"/>
  <c r="E13" i="15"/>
  <c r="J12" i="15"/>
  <c r="J4" i="15"/>
  <c r="O11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5" i="14"/>
  <c r="R50" i="14" s="1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H11" i="14" s="1"/>
  <c r="AI11" i="14" s="1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S5" i="14"/>
  <c r="O5" i="14"/>
  <c r="Q5" i="14" s="1"/>
  <c r="AE5" i="14" s="1"/>
  <c r="N5" i="14"/>
  <c r="P5" i="14" s="1"/>
  <c r="G5" i="15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U3" i="14"/>
  <c r="O3" i="14"/>
  <c r="Q3" i="14" s="1"/>
  <c r="N3" i="14"/>
  <c r="P3" i="14" s="1"/>
  <c r="G3" i="15" s="1"/>
  <c r="L3" i="14"/>
  <c r="T3" i="14" s="1"/>
  <c r="K3" i="14"/>
  <c r="C3" i="14"/>
  <c r="AV2" i="14"/>
  <c r="AE2" i="14"/>
  <c r="O2" i="14"/>
  <c r="N2" i="14"/>
  <c r="P2" i="14" s="1"/>
  <c r="K2" i="14"/>
  <c r="U2" i="14" s="1"/>
  <c r="W2" i="14" s="1"/>
  <c r="AV1" i="14"/>
  <c r="U1" i="14"/>
  <c r="R11" i="14" l="1"/>
  <c r="R6" i="14"/>
  <c r="G6" i="15"/>
  <c r="M3" i="14"/>
  <c r="AF22" i="15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X3" i="14"/>
  <c r="Y3" i="14" s="1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Y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0" i="14" l="1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G12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4" i="13"/>
  <c r="AV1" i="13"/>
  <c r="O13" i="13"/>
  <c r="Q13" i="13" s="1"/>
  <c r="N13" i="13"/>
  <c r="P13" i="13" s="1"/>
  <c r="L13" i="15" s="1"/>
  <c r="AF41" i="15" s="1"/>
  <c r="L13" i="13"/>
  <c r="T13" i="13" s="1"/>
  <c r="K13" i="13"/>
  <c r="U13" i="13" s="1"/>
  <c r="C13" i="13"/>
  <c r="V57" i="13"/>
  <c r="U57" i="13"/>
  <c r="T57" i="13"/>
  <c r="S57" i="13"/>
  <c r="R57" i="13"/>
  <c r="Q57" i="13"/>
  <c r="V56" i="13"/>
  <c r="U56" i="13"/>
  <c r="T56" i="13"/>
  <c r="S56" i="13"/>
  <c r="R56" i="13"/>
  <c r="Q56" i="13"/>
  <c r="J56" i="13"/>
  <c r="R51" i="13" s="1"/>
  <c r="J55" i="13"/>
  <c r="S51" i="13" s="1"/>
  <c r="J54" i="13"/>
  <c r="T51" i="13" s="1"/>
  <c r="V53" i="13"/>
  <c r="U53" i="13"/>
  <c r="T53" i="13"/>
  <c r="S53" i="13"/>
  <c r="R53" i="13"/>
  <c r="Q53" i="13"/>
  <c r="V52" i="13"/>
  <c r="U52" i="13"/>
  <c r="T52" i="13"/>
  <c r="S52" i="13"/>
  <c r="R52" i="13"/>
  <c r="Q52" i="13"/>
  <c r="E50" i="13"/>
  <c r="I45" i="13"/>
  <c r="J57" i="13" s="1"/>
  <c r="I40" i="13"/>
  <c r="Q37" i="13"/>
  <c r="Q35" i="13"/>
  <c r="Q34" i="13"/>
  <c r="C34" i="13"/>
  <c r="Z14" i="13" s="1"/>
  <c r="Q33" i="13"/>
  <c r="Q32" i="13"/>
  <c r="C32" i="13"/>
  <c r="C33" i="13" s="1"/>
  <c r="Q31" i="13"/>
  <c r="S2" i="13" s="1"/>
  <c r="J31" i="13"/>
  <c r="J30" i="13"/>
  <c r="J32" i="13" s="1"/>
  <c r="J29" i="13"/>
  <c r="Q28" i="13"/>
  <c r="Q27" i="13"/>
  <c r="Q26" i="13"/>
  <c r="Q25" i="13"/>
  <c r="Q24" i="13"/>
  <c r="AH3" i="13" s="1"/>
  <c r="AI3" i="13" s="1"/>
  <c r="O14" i="13"/>
  <c r="Q14" i="13" s="1"/>
  <c r="AE14" i="13" s="1"/>
  <c r="N14" i="13"/>
  <c r="P14" i="13" s="1"/>
  <c r="L14" i="15" s="1"/>
  <c r="L14" i="13"/>
  <c r="M14" i="13" s="1"/>
  <c r="K14" i="13"/>
  <c r="U14" i="13" s="1"/>
  <c r="C14" i="13"/>
  <c r="O12" i="13"/>
  <c r="Q12" i="13" s="1"/>
  <c r="N12" i="13"/>
  <c r="P12" i="13" s="1"/>
  <c r="L12" i="15" s="1"/>
  <c r="L12" i="13"/>
  <c r="T12" i="13" s="1"/>
  <c r="K12" i="13"/>
  <c r="U12" i="13" s="1"/>
  <c r="C12" i="13"/>
  <c r="O11" i="13"/>
  <c r="Q11" i="13" s="1"/>
  <c r="AE11" i="13" s="1"/>
  <c r="N11" i="13"/>
  <c r="P11" i="13" s="1"/>
  <c r="L11" i="15" s="1"/>
  <c r="L11" i="13"/>
  <c r="M11" i="13" s="1"/>
  <c r="K11" i="13"/>
  <c r="U11" i="13" s="1"/>
  <c r="C11" i="13"/>
  <c r="O10" i="13"/>
  <c r="Q10" i="13" s="1"/>
  <c r="N10" i="13"/>
  <c r="P10" i="13" s="1"/>
  <c r="L10" i="13"/>
  <c r="M10" i="13" s="1"/>
  <c r="K10" i="13"/>
  <c r="U10" i="13" s="1"/>
  <c r="C10" i="13"/>
  <c r="AH9" i="13"/>
  <c r="AI9" i="13" s="1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AF42" i="15" l="1"/>
  <c r="M14" i="15"/>
  <c r="M13" i="15" s="1"/>
  <c r="R2" i="13"/>
  <c r="L2" i="15"/>
  <c r="AF30" i="15" s="1"/>
  <c r="R41" i="13"/>
  <c r="Q41" i="13"/>
  <c r="S41" i="13"/>
  <c r="M5" i="15"/>
  <c r="AF33" i="15"/>
  <c r="AF37" i="15"/>
  <c r="M9" i="15"/>
  <c r="T10" i="13"/>
  <c r="AF39" i="15"/>
  <c r="M11" i="15"/>
  <c r="AF34" i="15"/>
  <c r="M6" i="15"/>
  <c r="AF40" i="15"/>
  <c r="M12" i="15"/>
  <c r="AC14" i="13"/>
  <c r="AD14" i="13" s="1"/>
  <c r="R10" i="13"/>
  <c r="L10" i="15"/>
  <c r="R3" i="13"/>
  <c r="L3" i="15"/>
  <c r="AF35" i="15"/>
  <c r="M7" i="15"/>
  <c r="AF32" i="15"/>
  <c r="M4" i="15"/>
  <c r="AF36" i="15"/>
  <c r="M8" i="15"/>
  <c r="AH12" i="13"/>
  <c r="AI12" i="13" s="1"/>
  <c r="T2" i="14"/>
  <c r="M2" i="14"/>
  <c r="AK2" i="14"/>
  <c r="AL2" i="14" s="1"/>
  <c r="AM2" i="14" s="1"/>
  <c r="AJ2" i="14"/>
  <c r="AO2" i="14" s="1"/>
  <c r="AH13" i="13"/>
  <c r="AI13" i="13" s="1"/>
  <c r="R5" i="13"/>
  <c r="AH6" i="13"/>
  <c r="AI6" i="13" s="1"/>
  <c r="R7" i="13"/>
  <c r="AH8" i="13"/>
  <c r="AI8" i="13" s="1"/>
  <c r="R9" i="13"/>
  <c r="AH11" i="13"/>
  <c r="AI11" i="13" s="1"/>
  <c r="R12" i="13"/>
  <c r="R14" i="13"/>
  <c r="T14" i="13"/>
  <c r="AF14" i="13"/>
  <c r="AH4" i="13"/>
  <c r="AI4" i="13" s="1"/>
  <c r="M6" i="13"/>
  <c r="R4" i="13"/>
  <c r="R6" i="13"/>
  <c r="T7" i="13"/>
  <c r="R8" i="13"/>
  <c r="AH10" i="13"/>
  <c r="AI10" i="13" s="1"/>
  <c r="R11" i="13"/>
  <c r="J33" i="13"/>
  <c r="J34" i="13" s="1"/>
  <c r="J35" i="13" s="1"/>
  <c r="M9" i="13"/>
  <c r="M5" i="13"/>
  <c r="M8" i="13"/>
  <c r="AE8" i="13"/>
  <c r="S8" i="13"/>
  <c r="T11" i="13"/>
  <c r="M12" i="13"/>
  <c r="AE13" i="13"/>
  <c r="S13" i="13"/>
  <c r="V13" i="13"/>
  <c r="W13" i="13"/>
  <c r="X13" i="13" s="1"/>
  <c r="M13" i="13"/>
  <c r="R13" i="13"/>
  <c r="M3" i="13"/>
  <c r="S5" i="13"/>
  <c r="V3" i="13"/>
  <c r="W3" i="13"/>
  <c r="X3" i="13" s="1"/>
  <c r="Y3" i="13" s="1"/>
  <c r="W7" i="13"/>
  <c r="X7" i="13" s="1"/>
  <c r="W2" i="13"/>
  <c r="V12" i="13"/>
  <c r="V9" i="13"/>
  <c r="W4" i="13"/>
  <c r="X4" i="13" s="1"/>
  <c r="W5" i="13"/>
  <c r="X5" i="13" s="1"/>
  <c r="V2" i="13"/>
  <c r="S3" i="13"/>
  <c r="V4" i="13"/>
  <c r="V5" i="13"/>
  <c r="W14" i="13"/>
  <c r="X14" i="13" s="1"/>
  <c r="R43" i="13"/>
  <c r="Q43" i="13"/>
  <c r="V6" i="13"/>
  <c r="W6" i="13"/>
  <c r="X6" i="13" s="1"/>
  <c r="AE6" i="13"/>
  <c r="S6" i="13"/>
  <c r="V10" i="13"/>
  <c r="W10" i="13"/>
  <c r="X10" i="13" s="1"/>
  <c r="AE10" i="13"/>
  <c r="S10" i="13"/>
  <c r="R44" i="13"/>
  <c r="Q44" i="13"/>
  <c r="AE4" i="13"/>
  <c r="S4" i="13"/>
  <c r="V7" i="13"/>
  <c r="V8" i="13"/>
  <c r="W8" i="13"/>
  <c r="X8" i="13" s="1"/>
  <c r="W11" i="13"/>
  <c r="X11" i="13" s="1"/>
  <c r="M4" i="13"/>
  <c r="S7" i="13"/>
  <c r="W9" i="13"/>
  <c r="X9" i="13" s="1"/>
  <c r="S11" i="13"/>
  <c r="W12" i="13"/>
  <c r="X12" i="13" s="1"/>
  <c r="S14" i="13"/>
  <c r="AE9" i="13"/>
  <c r="S9" i="13"/>
  <c r="AE12" i="13"/>
  <c r="S12" i="13"/>
  <c r="V11" i="13"/>
  <c r="V14" i="13"/>
  <c r="AA14" i="13"/>
  <c r="AB14" i="13" s="1"/>
  <c r="Q38" i="13"/>
  <c r="Z13" i="13" s="1"/>
  <c r="AH14" i="13"/>
  <c r="AI14" i="13" s="1"/>
  <c r="AH7" i="13"/>
  <c r="AI7" i="13" s="1"/>
  <c r="AH5" i="13"/>
  <c r="AI5" i="13" s="1"/>
  <c r="J52" i="13"/>
  <c r="J53" i="13"/>
  <c r="U51" i="13" s="1"/>
  <c r="AW6" i="4"/>
  <c r="N6" i="4"/>
  <c r="P6" i="4" s="1"/>
  <c r="M6" i="4"/>
  <c r="O6" i="4" s="1"/>
  <c r="B5" i="15" s="1"/>
  <c r="K6" i="4"/>
  <c r="S6" i="4" s="1"/>
  <c r="J6" i="4"/>
  <c r="T6" i="4" s="1"/>
  <c r="C6" i="4"/>
  <c r="AF5" i="15" l="1"/>
  <c r="R42" i="13"/>
  <c r="Q42" i="13"/>
  <c r="AF31" i="15"/>
  <c r="AF38" i="15"/>
  <c r="M10" i="15"/>
  <c r="Q36" i="13"/>
  <c r="J36" i="13"/>
  <c r="AA13" i="13"/>
  <c r="AB13" i="13" s="1"/>
  <c r="AC13" i="13"/>
  <c r="AF13" i="13" s="1"/>
  <c r="Y13" i="13"/>
  <c r="AD6" i="4"/>
  <c r="J45" i="13"/>
  <c r="J41" i="13"/>
  <c r="Y12" i="13"/>
  <c r="Y10" i="13"/>
  <c r="Y6" i="13"/>
  <c r="Y11" i="13"/>
  <c r="Y5" i="13"/>
  <c r="Y9" i="13"/>
  <c r="Y8" i="13"/>
  <c r="Y14" i="13"/>
  <c r="Y4" i="13"/>
  <c r="J40" i="13"/>
  <c r="J43" i="13"/>
  <c r="J44" i="13"/>
  <c r="J42" i="13"/>
  <c r="Y7" i="13"/>
  <c r="L42" i="13"/>
  <c r="M42" i="13" s="1"/>
  <c r="Z10" i="13"/>
  <c r="Z6" i="13"/>
  <c r="AC6" i="13" s="1"/>
  <c r="Z8" i="13"/>
  <c r="Z11" i="13"/>
  <c r="Z7" i="13"/>
  <c r="Z12" i="13"/>
  <c r="Z9" i="13"/>
  <c r="Z5" i="13"/>
  <c r="Z3" i="13"/>
  <c r="Z4" i="13"/>
  <c r="Z2" i="13"/>
  <c r="L6" i="4"/>
  <c r="AJ9" i="13" l="1"/>
  <c r="AJ6" i="13"/>
  <c r="AJ10" i="13"/>
  <c r="AJ14" i="13"/>
  <c r="AJ3" i="13"/>
  <c r="AJ7" i="13"/>
  <c r="AJ11" i="13"/>
  <c r="AJ12" i="13"/>
  <c r="AJ5" i="13"/>
  <c r="AJ13" i="13"/>
  <c r="AJ4" i="13"/>
  <c r="AJ8" i="13"/>
  <c r="K48" i="13"/>
  <c r="AD13" i="13"/>
  <c r="AK13" i="13"/>
  <c r="AL13" i="13" s="1"/>
  <c r="AM13" i="13" s="1"/>
  <c r="J48" i="13"/>
  <c r="L48" i="13"/>
  <c r="AA10" i="13"/>
  <c r="AB10" i="13" s="1"/>
  <c r="AC10" i="13"/>
  <c r="AC5" i="13"/>
  <c r="AA5" i="13"/>
  <c r="AB5" i="13" s="1"/>
  <c r="AC11" i="13"/>
  <c r="AA11" i="13"/>
  <c r="AB11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2" i="13"/>
  <c r="AB12" i="13" s="1"/>
  <c r="AC12" i="13"/>
  <c r="AA6" i="13"/>
  <c r="AB6" i="13" s="1"/>
  <c r="AK11" i="13"/>
  <c r="AL11" i="13" s="1"/>
  <c r="AM11" i="13" s="1"/>
  <c r="AK8" i="13"/>
  <c r="AL8" i="13" s="1"/>
  <c r="AM8" i="13" s="1"/>
  <c r="AK12" i="13"/>
  <c r="AL12" i="13" s="1"/>
  <c r="AM12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4" i="13"/>
  <c r="AL14" i="13" s="1"/>
  <c r="AM14" i="13" s="1"/>
  <c r="AK10" i="13"/>
  <c r="AL10" i="13" s="1"/>
  <c r="AM10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3" i="13"/>
  <c r="AS13" i="13" s="1"/>
  <c r="AP13" i="13"/>
  <c r="AQ13" i="13" s="1"/>
  <c r="AO13" i="13"/>
  <c r="AN13" i="13" s="1"/>
  <c r="AP3" i="13"/>
  <c r="AQ3" i="13" s="1"/>
  <c r="AR3" i="13"/>
  <c r="AO3" i="13"/>
  <c r="AO6" i="13"/>
  <c r="AN6" i="13" s="1"/>
  <c r="AR6" i="13"/>
  <c r="AS6" i="13" s="1"/>
  <c r="AP6" i="13"/>
  <c r="AQ6" i="13" s="1"/>
  <c r="AR14" i="13"/>
  <c r="AS14" i="13" s="1"/>
  <c r="AP14" i="13"/>
  <c r="AQ14" i="13" s="1"/>
  <c r="AO14" i="13"/>
  <c r="AN14" i="13" s="1"/>
  <c r="AR11" i="13"/>
  <c r="AS11" i="13" s="1"/>
  <c r="AP11" i="13"/>
  <c r="AQ11" i="13" s="1"/>
  <c r="AO11" i="13"/>
  <c r="AN11" i="13" s="1"/>
  <c r="L2" i="13"/>
  <c r="AH2" i="13"/>
  <c r="AI2" i="13" s="1"/>
  <c r="AJ2" i="13" s="1"/>
  <c r="C2" i="13"/>
  <c r="AD12" i="13"/>
  <c r="AF12" i="13"/>
  <c r="AD8" i="13"/>
  <c r="AF8" i="13"/>
  <c r="AD2" i="13"/>
  <c r="AF2" i="13"/>
  <c r="AP7" i="13"/>
  <c r="AQ7" i="13" s="1"/>
  <c r="AR7" i="13"/>
  <c r="AS7" i="13" s="1"/>
  <c r="AO7" i="13"/>
  <c r="AN7" i="13" s="1"/>
  <c r="AO12" i="13"/>
  <c r="AN12" i="13" s="1"/>
  <c r="AP12" i="13"/>
  <c r="AQ12" i="13" s="1"/>
  <c r="AR12" i="13"/>
  <c r="AS12" i="13" s="1"/>
  <c r="AD5" i="13"/>
  <c r="AF5" i="13"/>
  <c r="AD7" i="13"/>
  <c r="AF7" i="13"/>
  <c r="AD3" i="13"/>
  <c r="AF3" i="13"/>
  <c r="AR10" i="13"/>
  <c r="AS10" i="13" s="1"/>
  <c r="AO10" i="13"/>
  <c r="AN10" i="13" s="1"/>
  <c r="AP10" i="13"/>
  <c r="AQ10" i="13" s="1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D10" i="13"/>
  <c r="AF10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1" i="13"/>
  <c r="AF11" i="13"/>
  <c r="L16" i="4"/>
  <c r="L14" i="4"/>
  <c r="L12" i="4"/>
  <c r="L15" i="4"/>
  <c r="S18" i="4"/>
  <c r="L11" i="4"/>
  <c r="AK2" i="13" l="1"/>
  <c r="AL2" i="13" s="1"/>
  <c r="AM2" i="13" s="1"/>
  <c r="AO2" i="13"/>
  <c r="Q46" i="13"/>
  <c r="AG11" i="13"/>
  <c r="Q45" i="13" s="1"/>
  <c r="M2" i="13"/>
  <c r="T2" i="13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S2" i="10" s="1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AA14" i="15" s="1"/>
  <c r="L14" i="10"/>
  <c r="M14" i="10" s="1"/>
  <c r="K14" i="10"/>
  <c r="U14" i="10" s="1"/>
  <c r="C14" i="10"/>
  <c r="O13" i="10"/>
  <c r="Q13" i="10" s="1"/>
  <c r="N13" i="10"/>
  <c r="P13" i="10" s="1"/>
  <c r="AA13" i="15" s="1"/>
  <c r="L13" i="10"/>
  <c r="T13" i="10" s="1"/>
  <c r="K13" i="10"/>
  <c r="U13" i="10" s="1"/>
  <c r="C13" i="10"/>
  <c r="O12" i="10"/>
  <c r="Q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K11" i="10"/>
  <c r="U11" i="10" s="1"/>
  <c r="C11" i="10"/>
  <c r="O10" i="10"/>
  <c r="Q10" i="10" s="1"/>
  <c r="N10" i="10"/>
  <c r="P10" i="10" s="1"/>
  <c r="AA10" i="15" s="1"/>
  <c r="L10" i="10"/>
  <c r="T10" i="10" s="1"/>
  <c r="K10" i="10"/>
  <c r="U10" i="10" s="1"/>
  <c r="C10" i="10"/>
  <c r="O9" i="10"/>
  <c r="Q9" i="10" s="1"/>
  <c r="AE9" i="10" s="1"/>
  <c r="N9" i="10"/>
  <c r="P9" i="10" s="1"/>
  <c r="AA9" i="15" s="1"/>
  <c r="L9" i="10"/>
  <c r="M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N7" i="10"/>
  <c r="P7" i="10" s="1"/>
  <c r="AA7" i="15" s="1"/>
  <c r="L7" i="10"/>
  <c r="K7" i="10"/>
  <c r="U7" i="10" s="1"/>
  <c r="C7" i="10"/>
  <c r="O6" i="10"/>
  <c r="Q6" i="10" s="1"/>
  <c r="N6" i="10"/>
  <c r="P6" i="10" s="1"/>
  <c r="AA6" i="15" s="1"/>
  <c r="L6" i="10"/>
  <c r="T6" i="10" s="1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F71" i="15" l="1"/>
  <c r="AB5" i="15"/>
  <c r="AF75" i="15"/>
  <c r="AB9" i="15"/>
  <c r="AF79" i="15"/>
  <c r="AB13" i="15"/>
  <c r="AF72" i="15"/>
  <c r="AB6" i="15"/>
  <c r="AF76" i="15"/>
  <c r="AB10" i="15"/>
  <c r="AF80" i="15"/>
  <c r="AB14" i="15"/>
  <c r="AF70" i="15"/>
  <c r="AB4" i="15"/>
  <c r="AF69" i="15"/>
  <c r="AF73" i="15"/>
  <c r="AB7" i="15"/>
  <c r="AF77" i="15"/>
  <c r="AB11" i="15"/>
  <c r="AF74" i="15"/>
  <c r="AB8" i="15"/>
  <c r="AF78" i="15"/>
  <c r="AB12" i="15"/>
  <c r="AT13" i="13"/>
  <c r="AU13" i="13" s="1"/>
  <c r="AT14" i="13"/>
  <c r="AU14" i="13" s="1"/>
  <c r="AT7" i="13"/>
  <c r="AU7" i="13" s="1"/>
  <c r="AT12" i="13"/>
  <c r="AU12" i="13" s="1"/>
  <c r="AT9" i="13"/>
  <c r="AU9" i="13" s="1"/>
  <c r="AT11" i="13"/>
  <c r="AU11" i="13" s="1"/>
  <c r="AT10" i="13"/>
  <c r="AU10" i="13" s="1"/>
  <c r="AT8" i="13"/>
  <c r="AU8" i="13" s="1"/>
  <c r="AT6" i="13"/>
  <c r="AU6" i="13" s="1"/>
  <c r="R10" i="10"/>
  <c r="R6" i="10"/>
  <c r="R2" i="10"/>
  <c r="AH10" i="10"/>
  <c r="AI10" i="10" s="1"/>
  <c r="AH3" i="10"/>
  <c r="AI3" i="10" s="1"/>
  <c r="AH8" i="10"/>
  <c r="AI8" i="10" s="1"/>
  <c r="S12" i="10"/>
  <c r="R11" i="10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AH6" i="9"/>
  <c r="AI6" i="9" s="1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F57" i="15" l="1"/>
  <c r="W4" i="15"/>
  <c r="AH4" i="9"/>
  <c r="AI4" i="9" s="1"/>
  <c r="R5" i="9"/>
  <c r="V5" i="15"/>
  <c r="AF61" i="15"/>
  <c r="AH10" i="9"/>
  <c r="AI10" i="9" s="1"/>
  <c r="R11" i="9"/>
  <c r="V11" i="15"/>
  <c r="AH13" i="9"/>
  <c r="AI13" i="9" s="1"/>
  <c r="W14" i="15"/>
  <c r="AF67" i="15"/>
  <c r="R7" i="9"/>
  <c r="V7" i="15"/>
  <c r="AF56" i="15"/>
  <c r="W6" i="15"/>
  <c r="AF59" i="15"/>
  <c r="AF62" i="15"/>
  <c r="W9" i="15"/>
  <c r="AF65" i="15"/>
  <c r="W12" i="15"/>
  <c r="Q42" i="10"/>
  <c r="W10" i="15"/>
  <c r="AF63" i="15"/>
  <c r="AF66" i="15"/>
  <c r="W13" i="15"/>
  <c r="Z9" i="9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D2" i="10" l="1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9" i="10"/>
  <c r="AL9" i="10" s="1"/>
  <c r="AM9" i="10" s="1"/>
  <c r="AJ3" i="10"/>
  <c r="AO3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D2" i="9" l="1"/>
  <c r="U2" i="15" s="1"/>
  <c r="Z2" i="15"/>
  <c r="L2" i="10"/>
  <c r="C2" i="10"/>
  <c r="AH2" i="10"/>
  <c r="AI2" i="10" s="1"/>
  <c r="AF4" i="9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M2" i="10" l="1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9" i="10"/>
  <c r="Q45" i="10" s="1"/>
  <c r="AT6" i="10" s="1"/>
  <c r="AG11" i="9"/>
  <c r="AG9" i="9"/>
  <c r="Q45" i="9" s="1"/>
  <c r="AT13" i="9" s="1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Q11" i="15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R7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Q4" i="15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R5" i="8" l="1"/>
  <c r="Q5" i="15"/>
  <c r="AF45" i="15"/>
  <c r="R4" i="15"/>
  <c r="AF48" i="15"/>
  <c r="R7" i="15"/>
  <c r="AF51" i="15"/>
  <c r="R10" i="15"/>
  <c r="AF52" i="15"/>
  <c r="R11" i="15"/>
  <c r="AF49" i="15"/>
  <c r="R8" i="15"/>
  <c r="R12" i="8"/>
  <c r="Q12" i="15"/>
  <c r="AF44" i="15"/>
  <c r="AF47" i="15"/>
  <c r="R6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AF54" i="15" l="1"/>
  <c r="R13" i="15"/>
  <c r="AF53" i="15"/>
  <c r="R12" i="15"/>
  <c r="AF46" i="15"/>
  <c r="R5" i="15"/>
  <c r="J40" i="8"/>
  <c r="J39" i="8"/>
  <c r="J41" i="8"/>
  <c r="J43" i="8"/>
  <c r="J42" i="8"/>
  <c r="J44" i="8"/>
  <c r="AF13" i="8"/>
  <c r="R41" i="8"/>
  <c r="Q41" i="8"/>
  <c r="D2" i="8" s="1"/>
  <c r="P2" i="15" s="1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AE43" i="15" l="1"/>
  <c r="S2" i="15"/>
  <c r="T3" i="15" s="1"/>
  <c r="T2" i="15" s="1"/>
  <c r="R3" i="15"/>
  <c r="R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G6" i="4" l="1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AF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s="1"/>
  <c r="Z8" i="14" l="1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C11" i="14" l="1"/>
  <c r="AD11" i="14" s="1"/>
  <c r="AC9" i="14"/>
  <c r="AF8" i="14"/>
  <c r="AC7" i="14"/>
  <c r="AF7" i="14" s="1"/>
  <c r="AC6" i="14"/>
  <c r="AD6" i="14" s="1"/>
  <c r="AD5" i="14"/>
  <c r="AC3" i="14"/>
  <c r="AA3" i="14"/>
  <c r="AB3" i="14" s="1"/>
  <c r="AD9" i="14"/>
  <c r="AF9" i="14"/>
  <c r="AD4" i="14"/>
  <c r="AF4" i="14"/>
  <c r="AA2" i="14"/>
  <c r="AC2" i="14"/>
  <c r="AC10" i="14"/>
  <c r="AA10" i="14"/>
  <c r="AB10" i="14" s="1"/>
  <c r="AF11" i="14" l="1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<sst xmlns="http://schemas.openxmlformats.org/spreadsheetml/2006/main" count="1605" uniqueCount="339">
  <si>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</si>
  <si>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</si>
  <si>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</si>
  <si>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</si>
  <si>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</si>
  <si>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</si>
  <si>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</si>
  <si>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</si>
  <si>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</si>
  <si>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</si>
  <si>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</si>
  <si>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</si>
  <si>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</si>
  <si>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</si>
  <si>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</si>
  <si>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</si>
  <si>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</si>
  <si>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</si>
  <si>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</si>
  <si>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</si>
  <si>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</si>
  <si>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</si>
  <si>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</si>
  <si>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</si>
  <si>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</si>
  <si>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</si>
  <si>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</si>
  <si>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</si>
  <si>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</si>
  <si>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</si>
  <si>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</si>
  <si>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</si>
  <si>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</si>
  <si>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</si>
  <si>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</si>
  <si>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</si>
  <si>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</si>
  <si>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</si>
  <si>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</si>
  <si>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</si>
  <si>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</si>
  <si>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</si>
  <si>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</si>
  <si>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</si>
  <si>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</si>
  <si>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</si>
  <si>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</si>
  <si>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</si>
  <si>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</si>
  <si>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</si>
  <si>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</si>
  <si>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</si>
  <si>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</si>
  <si>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</si>
  <si>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</si>
  <si>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</si>
  <si>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</si>
  <si>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</si>
  <si>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</si>
  <si>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</si>
  <si>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</si>
  <si>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</si>
  <si>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</si>
  <si>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</si>
  <si>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</si>
  <si>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</si>
  <si>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</si>
  <si>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</si>
  <si>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</si>
  <si>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</si>
  <si>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</si>
  <si>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</si>
  <si>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</si>
  <si>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</si>
  <si>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</si>
  <si>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</si>
  <si>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</si>
  <si>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</si>
  <si>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</si>
  <si>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</si>
  <si>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</si>
  <si>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</si>
  <si>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</si>
  <si>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</si>
  <si>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</si>
  <si>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</si>
  <si>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</si>
  <si>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</si>
  <si>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</si>
  <si>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</si>
  <si>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</si>
  <si>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</si>
  <si>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</si>
  <si>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</si>
  <si>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</si>
  <si>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</si>
  <si>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</si>
  <si>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</si>
  <si>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</si>
  <si>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</si>
  <si>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</si>
  <si>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</si>
  <si>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</si>
  <si>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</si>
  <si>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</si>
  <si>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</si>
  <si>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</si>
  <si>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</si>
  <si>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</si>
  <si>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</si>
  <si>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</si>
  <si>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</si>
  <si>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</si>
  <si>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</si>
  <si>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</si>
  <si>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</si>
  <si>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</si>
  <si>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</si>
  <si>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</si>
  <si>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</si>
  <si>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</si>
  <si>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</si>
  <si>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</si>
  <si>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</si>
  <si>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</si>
  <si>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</si>
  <si>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</si>
  <si>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</si>
  <si>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</si>
  <si>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</si>
  <si>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</si>
  <si>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</si>
  <si>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</si>
  <si>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</si>
  <si>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</si>
  <si>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</si>
  <si>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</si>
  <si>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</si>
  <si>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</si>
  <si>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</si>
  <si>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</si>
  <si>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</si>
  <si>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</si>
  <si>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</si>
  <si>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</si>
  <si>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</si>
  <si>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</si>
  <si>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</si>
  <si>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</si>
  <si>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</si>
  <si>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</si>
  <si>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</si>
  <si>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</si>
  <si>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</si>
  <si>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</si>
  <si>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</si>
  <si>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</si>
  <si>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</si>
  <si>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</si>
  <si>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</si>
  <si>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</si>
  <si>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</si>
  <si>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</si>
  <si>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</si>
  <si>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</si>
  <si>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</si>
  <si>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</si>
  <si>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</si>
  <si>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</si>
  <si>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</si>
  <si>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</si>
  <si>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</si>
  <si>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</si>
  <si>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</si>
  <si>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</si>
  <si>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</si>
  <si>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</si>
  <si>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</si>
  <si>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</si>
  <si>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</si>
  <si>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</si>
  <si>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</si>
  <si>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</si>
  <si>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</si>
  <si>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</si>
  <si>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</si>
  <si>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</si>
  <si>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</si>
  <si>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</si>
  <si>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</si>
  <si>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</si>
  <si>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</si>
  <si>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</si>
  <si>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</si>
  <si>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</si>
  <si>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</si>
  <si>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</si>
  <si>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</si>
  <si>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</si>
  <si>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</si>
  <si>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</si>
  <si>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</si>
  <si>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</si>
  <si>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</si>
  <si>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</si>
  <si>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</si>
  <si>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</si>
  <si>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</si>
  <si>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</si>
  <si>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</si>
  <si>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</si>
  <si>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</si>
  <si>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</si>
  <si>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</si>
  <si>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</si>
  <si>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</si>
  <si>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</si>
  <si>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</si>
  <si>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</si>
  <si>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</si>
  <si>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</si>
  <si>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</si>
  <si>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</si>
  <si>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</si>
  <si>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</si>
  <si>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</si>
  <si>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</si>
  <si>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</si>
  <si>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</si>
  <si>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</si>
  <si>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</si>
  <si>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</si>
  <si>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</si>
  <si>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</si>
  <si>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</si>
  <si>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</si>
  <si>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</si>
  <si>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</si>
  <si>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</si>
  <si>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</si>
  <si>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</si>
  <si>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</si>
  <si>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</si>
  <si>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</si>
  <si>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</si>
  <si>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</si>
  <si>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</si>
  <si>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</si>
  <si>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</si>
  <si>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</si>
  <si>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</si>
  <si>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</si>
  <si>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</si>
  <si>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</si>
  <si>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</si>
  <si>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</si>
  <si>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</si>
  <si>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</si>
  <si>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</si>
  <si>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</si>
  <si>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</si>
  <si>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</si>
  <si>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</si>
  <si>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</si>
  <si>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</si>
  <si>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</si>
  <si>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</si>
  <si>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</si>
  <si>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</si>
  <si>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</si>
  <si>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</si>
  <si>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</si>
  <si>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</si>
  <si>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</si>
  <si>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</si>
  <si>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</si>
  <si>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</si>
  <si>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</si>
  <si>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</si>
  <si>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</si>
  <si>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</si>
  <si>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</si>
  <si>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</si>
  <si>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</si>
  <si>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</si>
  <si>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</si>
  <si>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</si>
  <si>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</si>
  <si>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</si>
  <si>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</si>
  <si>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</si>
  <si>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</si>
  <si>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</si>
  <si>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</si>
  <si>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</si>
  <si>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</si>
  <si>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</si>
  <si>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</si>
  <si>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</si>
  <si>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</si>
  <si>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</si>
  <si>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</si>
  <si>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</si>
  <si>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</si>
  <si>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</si>
  <si>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</si>
  <si>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</si>
  <si>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</si>
  <si>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</si>
  <si>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</si>
  <si>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</si>
  <si>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</si>
  <si>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</si>
  <si>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</si>
  <si>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</si>
  <si>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</si>
  <si>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</si>
  <si>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</si>
  <si>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</si>
  <si>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</si>
  <si>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</si>
  <si>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</si>
  <si>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</si>
  <si>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</si>
  <si>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</si>
  <si>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</si>
  <si>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NGE_P</t>
  </si>
  <si>
    <t>P_LTALL_NG</t>
  </si>
  <si>
    <t>read off NG_ALL plot</t>
  </si>
  <si>
    <t>GE_P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</si>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</sst>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5.3666866770453732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70</c:v>
                </c:pt>
                <c:pt idx="37" formatCode="0.00">
                  <c:v>79</c:v>
                </c:pt>
                <c:pt idx="38" formatCode="0.00">
                  <c:v>84</c:v>
                </c:pt>
                <c:pt idx="39" formatCode="0.00">
                  <c:v>121</c:v>
                </c:pt>
                <c:pt idx="40" formatCode="0.00">
                  <c:v>175</c:v>
                </c:pt>
                <c:pt idx="41" formatCode="0.00">
                  <c:v>7.9498949935886039</c:v>
                </c:pt>
                <c:pt idx="42" formatCode="0.00">
                  <c:v>13</c:v>
                </c:pt>
                <c:pt idx="43" formatCode="0.00">
                  <c:v>17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175</c:v>
                </c:pt>
                <c:pt idx="53" formatCode="0.00">
                  <c:v>8.7271708346327035</c:v>
                </c:pt>
                <c:pt idx="54" formatCode="0.00">
                  <c:v>14</c:v>
                </c:pt>
                <c:pt idx="55" formatCode="0.00">
                  <c:v>18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175</c:v>
                </c:pt>
                <c:pt idx="66" formatCode="0.00">
                  <c:v>9.0648738664970399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28</c:v>
                </c:pt>
                <c:pt idx="71" formatCode="0.00">
                  <c:v>34</c:v>
                </c:pt>
                <c:pt idx="72" formatCode="0.00">
                  <c:v>51</c:v>
                </c:pt>
                <c:pt idx="73" formatCode="0.00">
                  <c:v>76</c:v>
                </c:pt>
                <c:pt idx="74" formatCode="0.00">
                  <c:v>91</c:v>
                </c:pt>
                <c:pt idx="75" formatCode="0.00">
                  <c:v>100</c:v>
                </c:pt>
                <c:pt idx="76" formatCode="0.00">
                  <c:v>106</c:v>
                </c:pt>
                <c:pt idx="77" formatCode="0.00">
                  <c:v>132</c:v>
                </c:pt>
                <c:pt idx="78" formatCode="0.00">
                  <c:v>178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28037.383177570096</c:v>
                </c:pt>
                <c:pt idx="37">
                  <c:v>29702.970297029704</c:v>
                </c:pt>
                <c:pt idx="38">
                  <c:v>30456.852791878177</c:v>
                </c:pt>
                <c:pt idx="39">
                  <c:v>36363.636363636368</c:v>
                </c:pt>
                <c:pt idx="40">
                  <c:v>44117.647058823532</c:v>
                </c:pt>
                <c:pt idx="41">
                  <c:v>5.9999999999999995E-25</c:v>
                </c:pt>
                <c:pt idx="42">
                  <c:v>10452.961672473868</c:v>
                </c:pt>
                <c:pt idx="43">
                  <c:v>10600.706713780919</c:v>
                </c:pt>
                <c:pt idx="44">
                  <c:v>14218.009478672986</c:v>
                </c:pt>
                <c:pt idx="45">
                  <c:v>16000.000000000002</c:v>
                </c:pt>
                <c:pt idx="46">
                  <c:v>17804.154302670624</c:v>
                </c:pt>
                <c:pt idx="47">
                  <c:v>23904.382470119523</c:v>
                </c:pt>
                <c:pt idx="48">
                  <c:v>28301.886792452831</c:v>
                </c:pt>
                <c:pt idx="49">
                  <c:v>34090.909090909088</c:v>
                </c:pt>
                <c:pt idx="50">
                  <c:v>34285.71428571429</c:v>
                </c:pt>
                <c:pt idx="51">
                  <c:v>37037.037037037036</c:v>
                </c:pt>
                <c:pt idx="52">
                  <c:v>44117.647058823532</c:v>
                </c:pt>
                <c:pt idx="53">
                  <c:v>5.9999999999999995E-25</c:v>
                </c:pt>
                <c:pt idx="54">
                  <c:v>9316.7701863354032</c:v>
                </c:pt>
                <c:pt idx="55">
                  <c:v>12000.000000000002</c:v>
                </c:pt>
                <c:pt idx="56">
                  <c:v>14851.485148514852</c:v>
                </c:pt>
                <c:pt idx="57">
                  <c:v>16574.585635359115</c:v>
                </c:pt>
                <c:pt idx="58">
                  <c:v>20134.228187919463</c:v>
                </c:pt>
                <c:pt idx="59">
                  <c:v>24193.548387096776</c:v>
                </c:pt>
                <c:pt idx="60">
                  <c:v>28571.428571428572</c:v>
                </c:pt>
                <c:pt idx="61">
                  <c:v>33333.333333333336</c:v>
                </c:pt>
                <c:pt idx="62">
                  <c:v>34090.909090909088</c:v>
                </c:pt>
                <c:pt idx="63">
                  <c:v>36585.365853658535</c:v>
                </c:pt>
                <c:pt idx="64">
                  <c:v>41095.890410958906</c:v>
                </c:pt>
                <c:pt idx="65">
                  <c:v>44117.647058823532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15915.119363395226</c:v>
                </c:pt>
                <c:pt idx="71">
                  <c:v>17910.447761194031</c:v>
                </c:pt>
                <c:pt idx="72">
                  <c:v>22900.763358778626</c:v>
                </c:pt>
                <c:pt idx="73">
                  <c:v>28571.428571428572</c:v>
                </c:pt>
                <c:pt idx="74">
                  <c:v>32085.561497326202</c:v>
                </c:pt>
                <c:pt idx="75">
                  <c:v>32608.695652173916</c:v>
                </c:pt>
                <c:pt idx="76">
                  <c:v>35087.719298245618</c:v>
                </c:pt>
                <c:pt idx="77">
                  <c:v>40000</c:v>
                </c:pt>
                <c:pt idx="78">
                  <c:v>44117.647058823532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2128"/>
        <c:axId val="565520952"/>
      </c:scatterChart>
      <c:valAx>
        <c:axId val="56552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520952"/>
        <c:crosses val="autoZero"/>
        <c:crossBetween val="midCat"/>
      </c:valAx>
      <c:valAx>
        <c:axId val="56552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552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1472"/>
        <c:axId val="567203432"/>
      </c:scatterChart>
      <c:valAx>
        <c:axId val="5672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203432"/>
        <c:crosses val="autoZero"/>
        <c:crossBetween val="midCat"/>
      </c:valAx>
      <c:valAx>
        <c:axId val="5672034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72014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2256"/>
        <c:axId val="567201080"/>
      </c:scatterChart>
      <c:valAx>
        <c:axId val="5672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201080"/>
        <c:crosses val="autoZero"/>
        <c:crossBetween val="midCat"/>
      </c:valAx>
      <c:valAx>
        <c:axId val="5672010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72022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4608"/>
        <c:axId val="567206176"/>
      </c:scatterChart>
      <c:valAx>
        <c:axId val="5672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6176"/>
        <c:crosses val="autoZero"/>
        <c:crossBetween val="midCat"/>
      </c:valAx>
      <c:valAx>
        <c:axId val="567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56600"/>
        <c:axId val="649049936"/>
      </c:scatterChart>
      <c:valAx>
        <c:axId val="64905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49049936"/>
        <c:crosses val="autoZero"/>
        <c:crossBetween val="midCat"/>
      </c:valAx>
      <c:valAx>
        <c:axId val="6490499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90566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Ard1_Turn1x_ESC1_G1b_T1a!$P$4:$P$14</c:f>
              <c:numCache>
                <c:formatCode>0</c:formatCode>
                <c:ptCount val="11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28037.383177570096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Ard1_Turn1x_ESC1_G1b_T1a!$Q$4:$Q$14</c:f>
              <c:numCache>
                <c:formatCode>0</c:formatCode>
                <c:ptCount val="11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21818.181818181816</c:v>
                </c:pt>
                <c:pt idx="7">
                  <c:v>23437.500000000004</c:v>
                </c:pt>
                <c:pt idx="8">
                  <c:v>24193.548387096776</c:v>
                </c:pt>
                <c:pt idx="9">
                  <c:v>29411.764705882353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9704"/>
        <c:axId val="567207744"/>
      </c:scatterChart>
      <c:valAx>
        <c:axId val="56720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7207744"/>
        <c:crosses val="autoZero"/>
        <c:crossBetween val="midCat"/>
      </c:valAx>
      <c:valAx>
        <c:axId val="567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720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Ard1_Turn1x_ESC1_G1b_T1a!$L$4:$L$14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70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Ard1_Turn1x_ESC1_G1b_T1a!$R$4:$R$14</c:f>
              <c:numCache>
                <c:formatCode>0</c:formatCode>
                <c:ptCount val="11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60.845015576323995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1864"/>
        <c:axId val="567206568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Ard1_Turn1x_ESC1_G1b_T1a!$U$3:$U$14</c:f>
              <c:numCache>
                <c:formatCode>0.00</c:formatCode>
                <c:ptCount val="12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54.54</c:v>
                </c:pt>
                <c:pt idx="8">
                  <c:v>64.318799999999996</c:v>
                </c:pt>
                <c:pt idx="9">
                  <c:v>68.010400000000004</c:v>
                </c:pt>
                <c:pt idx="10">
                  <c:v>103.6602</c:v>
                </c:pt>
                <c:pt idx="11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99120"/>
        <c:axId val="567206960"/>
      </c:scatterChart>
      <c:valAx>
        <c:axId val="5672018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7206568"/>
        <c:crossesAt val="-40"/>
        <c:crossBetween val="midCat"/>
        <c:majorUnit val="20"/>
      </c:valAx>
      <c:valAx>
        <c:axId val="5672065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7201864"/>
        <c:crosses val="autoZero"/>
        <c:crossBetween val="midCat"/>
      </c:valAx>
      <c:valAx>
        <c:axId val="5672069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7199120"/>
        <c:crosses val="max"/>
        <c:crossBetween val="midCat"/>
        <c:majorUnit val="40"/>
      </c:valAx>
      <c:valAx>
        <c:axId val="56719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20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Ard1_Turn1x_ESC1_G1b_T1a!$R$3:$R$14</c:f>
              <c:numCache>
                <c:formatCode>0</c:formatCode>
                <c:ptCount val="12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60.845015576323995</c:v>
                </c:pt>
                <c:pt idx="8">
                  <c:v>64.459570957095707</c:v>
                </c:pt>
                <c:pt idx="9">
                  <c:v>66.095600676818961</c:v>
                </c:pt>
                <c:pt idx="10">
                  <c:v>78.914141414141426</c:v>
                </c:pt>
                <c:pt idx="11">
                  <c:v>95.741421568627459</c:v>
                </c:pt>
              </c:numCache>
            </c:numRef>
          </c:xVal>
          <c:yVal>
            <c:numRef>
              <c:f>Ard1_Turn1x_ESC1_G1b_T1a!$V$3:$V$14</c:f>
              <c:numCache>
                <c:formatCode>0.00</c:formatCode>
                <c:ptCount val="12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54.30744</c:v>
                </c:pt>
                <c:pt idx="8">
                  <c:v>64.086239999999989</c:v>
                </c:pt>
                <c:pt idx="9">
                  <c:v>67.777839999999998</c:v>
                </c:pt>
                <c:pt idx="10">
                  <c:v>103.42764</c:v>
                </c:pt>
                <c:pt idx="11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97552"/>
        <c:axId val="567202648"/>
      </c:scatterChart>
      <c:valAx>
        <c:axId val="5671975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7202648"/>
        <c:crosses val="autoZero"/>
        <c:crossBetween val="midCat"/>
      </c:valAx>
      <c:valAx>
        <c:axId val="5672026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19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Ard1_Turn1x_ESC1_G1b_T1a!$L$2:$L$14</c:f>
              <c:numCache>
                <c:formatCode>General</c:formatCode>
                <c:ptCount val="13"/>
                <c:pt idx="0" formatCode="0.0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Ard1_Turn1x_ESC1_G1b_T1a!$P$2:$P$14</c:f>
              <c:numCache>
                <c:formatCode>0</c:formatCode>
                <c:ptCount val="13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28037.383177570096</c:v>
                </c:pt>
                <c:pt idx="9">
                  <c:v>29702.970297029704</c:v>
                </c:pt>
                <c:pt idx="10">
                  <c:v>30456.852791878177</c:v>
                </c:pt>
                <c:pt idx="11">
                  <c:v>36363.636363636368</c:v>
                </c:pt>
                <c:pt idx="12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Ard1_Turn1x_ESC1_G1b_T1a!$D$3:$D$14</c:f>
              <c:numCache>
                <c:formatCode>General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70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Ard1_Turn1x_ESC1_G1b_T1a!$AJ$3:$AJ$14</c:f>
              <c:numCache>
                <c:formatCode>0.00</c:formatCode>
                <c:ptCount val="12"/>
                <c:pt idx="0">
                  <c:v>4555.4393381745249</c:v>
                </c:pt>
                <c:pt idx="1">
                  <c:v>9182.0151590275054</c:v>
                </c:pt>
                <c:pt idx="2">
                  <c:v>13156.382614371338</c:v>
                </c:pt>
                <c:pt idx="3">
                  <c:v>15567.533472822655</c:v>
                </c:pt>
                <c:pt idx="4">
                  <c:v>18435.166800733456</c:v>
                </c:pt>
                <c:pt idx="5">
                  <c:v>23476.71707886444</c:v>
                </c:pt>
                <c:pt idx="6">
                  <c:v>28805.701698005079</c:v>
                </c:pt>
                <c:pt idx="7">
                  <c:v>29305.513274460649</c:v>
                </c:pt>
                <c:pt idx="8">
                  <c:v>30685.647869613345</c:v>
                </c:pt>
                <c:pt idx="9">
                  <c:v>31385.900684906232</c:v>
                </c:pt>
                <c:pt idx="10">
                  <c:v>35550.448208746602</c:v>
                </c:pt>
                <c:pt idx="11">
                  <c:v>39760.88529090982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3040"/>
        <c:axId val="567197944"/>
      </c:scatterChart>
      <c:valAx>
        <c:axId val="5672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7197944"/>
        <c:crosses val="autoZero"/>
        <c:crossBetween val="midCat"/>
      </c:valAx>
      <c:valAx>
        <c:axId val="567197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72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Ard1_Turn1x_ESC1_G1b_T1a!$P$3:$P$14</c:f>
              <c:numCache>
                <c:formatCode>0</c:formatCode>
                <c:ptCount val="12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28037.383177570096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xVal>
          <c:yVal>
            <c:numRef>
              <c:f>Ard1_Turn1x_ESC1_G1b_T1a!$Y$3:$Y$14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1.0679222927100863E-2</c:v>
                </c:pt>
                <c:pt idx="8">
                  <c:v>1.2232952458491667E-2</c:v>
                </c:pt>
                <c:pt idx="9">
                  <c:v>1.2710487515752471E-2</c:v>
                </c:pt>
                <c:pt idx="10">
                  <c:v>1.7069342917341978E-2</c:v>
                </c:pt>
                <c:pt idx="11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0296"/>
        <c:axId val="567200688"/>
      </c:scatterChart>
      <c:valAx>
        <c:axId val="5672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7200688"/>
        <c:crosses val="autoZero"/>
        <c:crossBetween val="midCat"/>
      </c:valAx>
      <c:valAx>
        <c:axId val="5672006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67200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xVal>
          <c:y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11272"/>
        <c:axId val="567212448"/>
      </c:scatterChart>
      <c:valAx>
        <c:axId val="56721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212448"/>
        <c:crosses val="autoZero"/>
        <c:crossBetween val="midCat"/>
      </c:valAx>
      <c:valAx>
        <c:axId val="5672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21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Approx'!$C$1</c:f>
              <c:strCache>
                <c:ptCount val="1"/>
                <c:pt idx="0">
                  <c:v>G_P</c:v>
                </c:pt>
              </c:strCache>
            </c:strRef>
          </c:tx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Approx'!$C$2:$C$18</c:f>
              <c:numCache>
                <c:formatCode>0</c:formatCode>
                <c:ptCount val="17"/>
                <c:pt idx="0">
                  <c:v>1683.2891657203099</c:v>
                </c:pt>
                <c:pt idx="1">
                  <c:v>1683.2891657203099</c:v>
                </c:pt>
                <c:pt idx="2">
                  <c:v>543.85359116022119</c:v>
                </c:pt>
                <c:pt idx="3">
                  <c:v>812.00787401574837</c:v>
                </c:pt>
                <c:pt idx="4">
                  <c:v>502.92100584201165</c:v>
                </c:pt>
                <c:pt idx="5">
                  <c:v>286.23945895129719</c:v>
                </c:pt>
                <c:pt idx="6">
                  <c:v>324.39947478180295</c:v>
                </c:pt>
                <c:pt idx="7">
                  <c:v>161.9271327902442</c:v>
                </c:pt>
                <c:pt idx="8">
                  <c:v>167.11229946524054</c:v>
                </c:pt>
                <c:pt idx="9">
                  <c:v>209.14668153931976</c:v>
                </c:pt>
                <c:pt idx="10">
                  <c:v>62.744004461795903</c:v>
                </c:pt>
                <c:pt idx="11">
                  <c:v>292.20779220779224</c:v>
                </c:pt>
                <c:pt idx="12">
                  <c:v>213.48514499199445</c:v>
                </c:pt>
                <c:pt idx="13">
                  <c:v>291.46021568056022</c:v>
                </c:pt>
                <c:pt idx="14">
                  <c:v>189.12529550827384</c:v>
                </c:pt>
                <c:pt idx="15">
                  <c:v>91.827364554637327</c:v>
                </c:pt>
                <c:pt idx="16">
                  <c:v>101.46103896103939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'Gain Approx'!$E$1</c:f>
              <c:strCache>
                <c:ptCount val="1"/>
                <c:pt idx="0">
                  <c:v>GE_P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5.3666866770453732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70</c:v>
                </c:pt>
                <c:pt idx="9">
                  <c:v>79</c:v>
                </c:pt>
                <c:pt idx="10">
                  <c:v>84</c:v>
                </c:pt>
                <c:pt idx="11">
                  <c:v>121</c:v>
                </c:pt>
                <c:pt idx="12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2848.1229083612657</c:v>
                </c:pt>
                <c:pt idx="1">
                  <c:v>2848.1229083612657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129.20453077221222</c:v>
                </c:pt>
                <c:pt idx="9">
                  <c:v>185.06523549551196</c:v>
                </c:pt>
                <c:pt idx="10">
                  <c:v>150.7764989696945</c:v>
                </c:pt>
                <c:pt idx="11">
                  <c:v>143.59279065161414</c:v>
                </c:pt>
                <c:pt idx="12">
                  <c:v>143.59279065161414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7.9498949935886039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175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2069.8503613693651</c:v>
                </c:pt>
                <c:pt idx="1">
                  <c:v>2069.8503613693651</c:v>
                </c:pt>
                <c:pt idx="2">
                  <c:v>36.936260326762749</c:v>
                </c:pt>
                <c:pt idx="3">
                  <c:v>516.75753784172389</c:v>
                </c:pt>
                <c:pt idx="4">
                  <c:v>445.49763033175395</c:v>
                </c:pt>
                <c:pt idx="5">
                  <c:v>451.03857566765555</c:v>
                </c:pt>
                <c:pt idx="6">
                  <c:v>338.90156485827214</c:v>
                </c:pt>
                <c:pt idx="7">
                  <c:v>157.05372579761817</c:v>
                </c:pt>
                <c:pt idx="8">
                  <c:v>156.46006212043937</c:v>
                </c:pt>
                <c:pt idx="9">
                  <c:v>7.7922077922080639</c:v>
                </c:pt>
                <c:pt idx="10">
                  <c:v>183.42151675484976</c:v>
                </c:pt>
                <c:pt idx="11">
                  <c:v>354.03050108932473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8.7271708346327035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175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1766.9395108662529</c:v>
                </c:pt>
                <c:pt idx="1">
                  <c:v>1766.9395108662529</c:v>
                </c:pt>
                <c:pt idx="2">
                  <c:v>670.80745341614966</c:v>
                </c:pt>
                <c:pt idx="3">
                  <c:v>475.24752475247504</c:v>
                </c:pt>
                <c:pt idx="4">
                  <c:v>430.77512171106582</c:v>
                </c:pt>
                <c:pt idx="5">
                  <c:v>444.95531907004352</c:v>
                </c:pt>
                <c:pt idx="6">
                  <c:v>253.70751244858207</c:v>
                </c:pt>
                <c:pt idx="7">
                  <c:v>208.47048496818076</c:v>
                </c:pt>
                <c:pt idx="8">
                  <c:v>226.75736961451253</c:v>
                </c:pt>
                <c:pt idx="9">
                  <c:v>151.51515151515051</c:v>
                </c:pt>
                <c:pt idx="10">
                  <c:v>226.76879661358609</c:v>
                </c:pt>
                <c:pt idx="11">
                  <c:v>205.02384351365319</c:v>
                </c:pt>
                <c:pt idx="12">
                  <c:v>70.273410415456411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9.0648738664970399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28</c:v>
                </c:pt>
                <c:pt idx="5">
                  <c:v>34</c:v>
                </c:pt>
                <c:pt idx="6">
                  <c:v>51</c:v>
                </c:pt>
                <c:pt idx="7">
                  <c:v>76</c:v>
                </c:pt>
                <c:pt idx="8">
                  <c:v>91</c:v>
                </c:pt>
                <c:pt idx="9">
                  <c:v>100</c:v>
                </c:pt>
                <c:pt idx="10">
                  <c:v>106</c:v>
                </c:pt>
                <c:pt idx="11">
                  <c:v>132</c:v>
                </c:pt>
                <c:pt idx="12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4101.2871456297744</c:v>
                </c:pt>
                <c:pt idx="1">
                  <c:v>4101.2871456297744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882.08798358440526</c:v>
                </c:pt>
                <c:pt idx="5">
                  <c:v>332.5547329664675</c:v>
                </c:pt>
                <c:pt idx="6">
                  <c:v>293.54797632850557</c:v>
                </c:pt>
                <c:pt idx="7">
                  <c:v>226.82660850599785</c:v>
                </c:pt>
                <c:pt idx="8">
                  <c:v>234.27552839317528</c:v>
                </c:pt>
                <c:pt idx="9">
                  <c:v>58.126017205301551</c:v>
                </c:pt>
                <c:pt idx="10">
                  <c:v>413.17060767861705</c:v>
                </c:pt>
                <c:pt idx="11">
                  <c:v>188.93387314439931</c:v>
                </c:pt>
                <c:pt idx="12">
                  <c:v>89.514066496163736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19776"/>
        <c:axId val="565521344"/>
      </c:scatterChart>
      <c:valAx>
        <c:axId val="5655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521344"/>
        <c:crosses val="autoZero"/>
        <c:crossBetween val="midCat"/>
      </c:valAx>
      <c:valAx>
        <c:axId val="565521344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5519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12056"/>
        <c:axId val="567212840"/>
      </c:scatterChart>
      <c:valAx>
        <c:axId val="56721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212840"/>
        <c:crosses val="autoZero"/>
        <c:crossBetween val="midCat"/>
      </c:valAx>
      <c:valAx>
        <c:axId val="56721284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72120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Ard1_Turn1x_ESC1_G1b_T1a!$AN$6:$AN$14</c:f>
              <c:numCache>
                <c:formatCode>0.0</c:formatCode>
                <c:ptCount val="9"/>
                <c:pt idx="0">
                  <c:v>20.448766711773704</c:v>
                </c:pt>
                <c:pt idx="1">
                  <c:v>26.53228007293254</c:v>
                </c:pt>
                <c:pt idx="2">
                  <c:v>37.22762880509022</c:v>
                </c:pt>
                <c:pt idx="3">
                  <c:v>48.532752377346455</c:v>
                </c:pt>
                <c:pt idx="4">
                  <c:v>49.593072877124065</c:v>
                </c:pt>
                <c:pt idx="5">
                  <c:v>52.520946245064692</c:v>
                </c:pt>
                <c:pt idx="6">
                  <c:v>54.006490898406739</c:v>
                </c:pt>
                <c:pt idx="7">
                  <c:v>62.841330505645359</c:v>
                </c:pt>
                <c:pt idx="8">
                  <c:v>71.773522078519733</c:v>
                </c:pt>
              </c:numCache>
            </c:numRef>
          </c:xVal>
          <c:yVal>
            <c:numRef>
              <c:f>Ard1_Turn1x_ESC1_G1b_T1a!$AU$6:$AU$14</c:f>
              <c:numCache>
                <c:formatCode>0.000</c:formatCode>
                <c:ptCount val="9"/>
                <c:pt idx="0">
                  <c:v>0.31979675407324204</c:v>
                </c:pt>
                <c:pt idx="1">
                  <c:v>0.24063887697360209</c:v>
                </c:pt>
                <c:pt idx="2">
                  <c:v>0.16054089693494322</c:v>
                </c:pt>
                <c:pt idx="3">
                  <c:v>0.10860782341154912</c:v>
                </c:pt>
                <c:pt idx="4">
                  <c:v>0.10624262176878828</c:v>
                </c:pt>
                <c:pt idx="5">
                  <c:v>9.7000000000000003E-2</c:v>
                </c:pt>
                <c:pt idx="6">
                  <c:v>9.3251858504181148E-2</c:v>
                </c:pt>
                <c:pt idx="7">
                  <c:v>7.0700335542094997E-2</c:v>
                </c:pt>
                <c:pt idx="8">
                  <c:v>4.9037589825161987E-2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Ard1_Turn1x_ESC1_G1b_T1a!$AN$4:$AN$14</c:f>
              <c:numCache>
                <c:formatCode>0.0</c:formatCode>
                <c:ptCount val="11"/>
                <c:pt idx="0">
                  <c:v>6.9022698142088581</c:v>
                </c:pt>
                <c:pt idx="1">
                  <c:v>15.333653729792612</c:v>
                </c:pt>
                <c:pt idx="2">
                  <c:v>20.448766711773704</c:v>
                </c:pt>
                <c:pt idx="3">
                  <c:v>26.53228007293254</c:v>
                </c:pt>
                <c:pt idx="4">
                  <c:v>37.22762880509022</c:v>
                </c:pt>
                <c:pt idx="5">
                  <c:v>48.532752377346455</c:v>
                </c:pt>
                <c:pt idx="6">
                  <c:v>49.593072877124065</c:v>
                </c:pt>
                <c:pt idx="7">
                  <c:v>52.520946245064692</c:v>
                </c:pt>
                <c:pt idx="8">
                  <c:v>54.006490898406739</c:v>
                </c:pt>
                <c:pt idx="9">
                  <c:v>62.841330505645359</c:v>
                </c:pt>
                <c:pt idx="10">
                  <c:v>71.773522078519733</c:v>
                </c:pt>
              </c:numCache>
            </c:numRef>
          </c:xVal>
          <c:yVal>
            <c:numRef>
              <c:f>Ard1_Turn1x_ESC1_G1b_T1a!$AS$4:$AS$14</c:f>
              <c:numCache>
                <c:formatCode>0.000</c:formatCode>
                <c:ptCount val="11"/>
                <c:pt idx="0">
                  <c:v>0.10085804085789137</c:v>
                </c:pt>
                <c:pt idx="1">
                  <c:v>8.4148714189355697E-2</c:v>
                </c:pt>
                <c:pt idx="2">
                  <c:v>7.6463452002632548E-2</c:v>
                </c:pt>
                <c:pt idx="3">
                  <c:v>6.8971731472695058E-2</c:v>
                </c:pt>
                <c:pt idx="4">
                  <c:v>5.8836872088323243E-2</c:v>
                </c:pt>
                <c:pt idx="5">
                  <c:v>5.0926911781776205E-2</c:v>
                </c:pt>
                <c:pt idx="6">
                  <c:v>5.0292761695066343E-2</c:v>
                </c:pt>
                <c:pt idx="7">
                  <c:v>4.8620965155773209E-2</c:v>
                </c:pt>
                <c:pt idx="8">
                  <c:v>4.7814526717154492E-2</c:v>
                </c:pt>
                <c:pt idx="9">
                  <c:v>4.3521492196229319E-2</c:v>
                </c:pt>
                <c:pt idx="10">
                  <c:v>3.9899623692986053E-2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10096"/>
        <c:axId val="567211664"/>
      </c:scatterChart>
      <c:valAx>
        <c:axId val="56721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211664"/>
        <c:crosses val="autoZero"/>
        <c:crossBetween val="midCat"/>
      </c:valAx>
      <c:valAx>
        <c:axId val="5672116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7210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21818.181818181816</c:v>
                </c:pt>
                <c:pt idx="9">
                  <c:v>23437.500000000004</c:v>
                </c:pt>
                <c:pt idx="10">
                  <c:v>24193.548387096776</c:v>
                </c:pt>
                <c:pt idx="11">
                  <c:v>29411.764705882353</c:v>
                </c:pt>
                <c:pt idx="12">
                  <c:v>37037.037037037036</c:v>
                </c:pt>
              </c:numCache>
            </c:numRef>
          </c:xVal>
          <c:yVal>
            <c:numRef>
              <c:f>Ard1_Turn1x_ESC1_G1b_T1a!$AV$2:$AV$14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1.6519999999999999</c:v>
                </c:pt>
                <c:pt idx="9">
                  <c:v>1.786</c:v>
                </c:pt>
                <c:pt idx="10">
                  <c:v>1.8420000000000001</c:v>
                </c:pt>
                <c:pt idx="11">
                  <c:v>2.19</c:v>
                </c:pt>
                <c:pt idx="12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66800"/>
        <c:axId val="568367192"/>
      </c:scatterChart>
      <c:valAx>
        <c:axId val="5683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67192"/>
        <c:crosses val="autoZero"/>
        <c:crossBetween val="midCat"/>
      </c:valAx>
      <c:valAx>
        <c:axId val="5683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69544"/>
        <c:axId val="568376208"/>
      </c:scatterChart>
      <c:valAx>
        <c:axId val="56836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76208"/>
        <c:crosses val="autoZero"/>
        <c:crossBetween val="midCat"/>
      </c:valAx>
      <c:valAx>
        <c:axId val="5683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6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67584"/>
        <c:axId val="568377776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66408"/>
        <c:axId val="568368760"/>
      </c:scatterChart>
      <c:valAx>
        <c:axId val="5683675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77776"/>
        <c:crossesAt val="-40"/>
        <c:crossBetween val="midCat"/>
        <c:majorUnit val="20"/>
      </c:valAx>
      <c:valAx>
        <c:axId val="5683777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67584"/>
        <c:crosses val="autoZero"/>
        <c:crossBetween val="midCat"/>
      </c:valAx>
      <c:valAx>
        <c:axId val="5683687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66408"/>
        <c:crosses val="max"/>
        <c:crossBetween val="midCat"/>
        <c:majorUnit val="40"/>
      </c:valAx>
      <c:valAx>
        <c:axId val="568366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36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71896"/>
        <c:axId val="568370328"/>
      </c:scatterChart>
      <c:valAx>
        <c:axId val="5683718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8370328"/>
        <c:crosses val="autoZero"/>
        <c:crossBetween val="midCat"/>
      </c:valAx>
      <c:valAx>
        <c:axId val="568370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6837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71112"/>
        <c:axId val="568367976"/>
      </c:scatterChart>
      <c:valAx>
        <c:axId val="56837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67976"/>
        <c:crosses val="autoZero"/>
        <c:crossBetween val="midCat"/>
      </c:valAx>
      <c:valAx>
        <c:axId val="568367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7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69152"/>
        <c:axId val="568373464"/>
      </c:scatterChart>
      <c:valAx>
        <c:axId val="5683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8373464"/>
        <c:crosses val="autoZero"/>
        <c:crossBetween val="midCat"/>
      </c:valAx>
      <c:valAx>
        <c:axId val="56837346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683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0.28499999999999998</c:v>
                </c:pt>
                <c:pt idx="1">
                  <c:v>0.44900000000000001</c:v>
                </c:pt>
                <c:pt idx="2">
                  <c:v>0.57599999999999996</c:v>
                </c:pt>
                <c:pt idx="3">
                  <c:v>1.323</c:v>
                </c:pt>
                <c:pt idx="4">
                  <c:v>1.6850000000000001</c:v>
                </c:pt>
                <c:pt idx="5">
                  <c:v>1.8919999999999999</c:v>
                </c:pt>
                <c:pt idx="6">
                  <c:v>2.02</c:v>
                </c:pt>
                <c:pt idx="7">
                  <c:v>2.14</c:v>
                </c:pt>
                <c:pt idx="8">
                  <c:v>2.67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7334.9633251833729</c:v>
                </c:pt>
                <c:pt idx="1">
                  <c:v>9202.4539877300613</c:v>
                </c:pt>
                <c:pt idx="2">
                  <c:v>10948.905109489051</c:v>
                </c:pt>
                <c:pt idx="3">
                  <c:v>16574.585635359115</c:v>
                </c:pt>
                <c:pt idx="4">
                  <c:v>21428.571428571431</c:v>
                </c:pt>
                <c:pt idx="5">
                  <c:v>25210.08403361345</c:v>
                </c:pt>
                <c:pt idx="6">
                  <c:v>27149.321266968327</c:v>
                </c:pt>
                <c:pt idx="7">
                  <c:v>28985.507246376812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71504"/>
        <c:axId val="568372680"/>
      </c:scatterChart>
      <c:valAx>
        <c:axId val="56837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372680"/>
        <c:crosses val="autoZero"/>
        <c:crossBetween val="midCat"/>
      </c:valAx>
      <c:valAx>
        <c:axId val="5683726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6837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73856"/>
        <c:axId val="568375424"/>
      </c:scatterChart>
      <c:valAx>
        <c:axId val="56837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375424"/>
        <c:crosses val="autoZero"/>
        <c:crossBetween val="midCat"/>
      </c:valAx>
      <c:valAx>
        <c:axId val="5683754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83738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Ard1_Turn1x_ESC1_G1b_T1a!$I$40:$I$45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Ard1_Turn1x_ESC1_G1b_T1a!$J$40:$J$45</c:f>
              <c:numCache>
                <c:formatCode>0.0</c:formatCode>
                <c:ptCount val="6"/>
                <c:pt idx="0">
                  <c:v>82.678872733117615</c:v>
                </c:pt>
                <c:pt idx="1">
                  <c:v>76.271286533659634</c:v>
                </c:pt>
                <c:pt idx="2">
                  <c:v>61.961010688203459</c:v>
                </c:pt>
                <c:pt idx="3">
                  <c:v>38.451271799239713</c:v>
                </c:pt>
                <c:pt idx="4">
                  <c:v>29.251808755732167</c:v>
                </c:pt>
                <c:pt idx="5">
                  <c:v>25.809429036226117</c:v>
                </c:pt>
              </c:numCache>
            </c:numRef>
          </c:xVal>
          <c:yVal>
            <c:numRef>
              <c:f>Ard1_Turn1x_ESC1_G1b_T1a!$K$40:$K$45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4088"/>
        <c:axId val="565520560"/>
      </c:scatterChart>
      <c:valAx>
        <c:axId val="5655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0560"/>
        <c:crosses val="autoZero"/>
        <c:crossBetween val="midCat"/>
      </c:valAx>
      <c:valAx>
        <c:axId val="5655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2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75816"/>
        <c:axId val="568376600"/>
      </c:scatterChart>
      <c:valAx>
        <c:axId val="56837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8376600"/>
        <c:crosses val="autoZero"/>
        <c:crossBetween val="midCat"/>
      </c:valAx>
      <c:valAx>
        <c:axId val="5683766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83758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77384"/>
        <c:axId val="568378168"/>
      </c:scatterChart>
      <c:valAx>
        <c:axId val="56837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78168"/>
        <c:crosses val="autoZero"/>
        <c:crossBetween val="midCat"/>
      </c:valAx>
      <c:valAx>
        <c:axId val="5683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7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80912"/>
        <c:axId val="56838052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79736"/>
        <c:axId val="568379344"/>
      </c:scatterChart>
      <c:valAx>
        <c:axId val="5683809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80520"/>
        <c:crossesAt val="-40"/>
        <c:crossBetween val="midCat"/>
        <c:majorUnit val="20"/>
      </c:valAx>
      <c:valAx>
        <c:axId val="5683805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80912"/>
        <c:crosses val="autoZero"/>
        <c:crossBetween val="midCat"/>
      </c:valAx>
      <c:valAx>
        <c:axId val="5683793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8379736"/>
        <c:crosses val="max"/>
        <c:crossBetween val="midCat"/>
        <c:majorUnit val="40"/>
      </c:valAx>
      <c:valAx>
        <c:axId val="568379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37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81304"/>
        <c:axId val="568381696"/>
      </c:scatterChart>
      <c:valAx>
        <c:axId val="5683813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8381696"/>
        <c:crosses val="autoZero"/>
        <c:crossBetween val="midCat"/>
      </c:valAx>
      <c:valAx>
        <c:axId val="56838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6838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5992"/>
        <c:axId val="569797368"/>
      </c:scatterChart>
      <c:valAx>
        <c:axId val="56980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797368"/>
        <c:crosses val="autoZero"/>
        <c:crossBetween val="midCat"/>
      </c:valAx>
      <c:valAx>
        <c:axId val="569797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80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5600"/>
        <c:axId val="569806384"/>
      </c:scatterChart>
      <c:valAx>
        <c:axId val="5698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9806384"/>
        <c:crosses val="autoZero"/>
        <c:crossBetween val="midCat"/>
      </c:valAx>
      <c:valAx>
        <c:axId val="56980638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6980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98152"/>
        <c:axId val="569798544"/>
      </c:scatterChart>
      <c:valAx>
        <c:axId val="56979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98544"/>
        <c:crosses val="autoZero"/>
        <c:crossBetween val="midCat"/>
      </c:valAx>
      <c:valAx>
        <c:axId val="56979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98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2856"/>
        <c:axId val="569794624"/>
      </c:scatterChart>
      <c:valAx>
        <c:axId val="56980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794624"/>
        <c:crosses val="autoZero"/>
        <c:crossBetween val="midCat"/>
      </c:valAx>
      <c:valAx>
        <c:axId val="5697946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98028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99328"/>
        <c:axId val="569795408"/>
      </c:scatterChart>
      <c:valAx>
        <c:axId val="56979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95408"/>
        <c:crosses val="autoZero"/>
        <c:crossBetween val="midCat"/>
      </c:valAx>
      <c:valAx>
        <c:axId val="5697954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979932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4032"/>
        <c:axId val="569795800"/>
      </c:scatterChart>
      <c:valAx>
        <c:axId val="5698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795800"/>
        <c:crosses val="autoZero"/>
        <c:crossBetween val="midCat"/>
      </c:valAx>
      <c:valAx>
        <c:axId val="5697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8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2912"/>
        <c:axId val="565524872"/>
      </c:scatterChart>
      <c:valAx>
        <c:axId val="5655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5524872"/>
        <c:crosses val="autoZero"/>
        <c:crossBetween val="midCat"/>
      </c:valAx>
      <c:valAx>
        <c:axId val="5655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55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96584"/>
        <c:axId val="569798936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5208"/>
        <c:axId val="569804816"/>
      </c:scatterChart>
      <c:valAx>
        <c:axId val="5697965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798936"/>
        <c:crossesAt val="-40"/>
        <c:crossBetween val="midCat"/>
        <c:majorUnit val="20"/>
      </c:valAx>
      <c:valAx>
        <c:axId val="5697989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796584"/>
        <c:crosses val="autoZero"/>
        <c:crossBetween val="midCat"/>
      </c:valAx>
      <c:valAx>
        <c:axId val="5698048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805208"/>
        <c:crosses val="max"/>
        <c:crossBetween val="midCat"/>
        <c:majorUnit val="40"/>
      </c:valAx>
      <c:valAx>
        <c:axId val="569805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80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0504"/>
        <c:axId val="569802464"/>
      </c:scatterChart>
      <c:valAx>
        <c:axId val="5698005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9802464"/>
        <c:crosses val="autoZero"/>
        <c:crossBetween val="midCat"/>
      </c:valAx>
      <c:valAx>
        <c:axId val="56980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69800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0896"/>
        <c:axId val="569803248"/>
      </c:scatterChart>
      <c:valAx>
        <c:axId val="5698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803248"/>
        <c:crosses val="autoZero"/>
        <c:crossBetween val="midCat"/>
      </c:valAx>
      <c:valAx>
        <c:axId val="56980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80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1288"/>
        <c:axId val="569801680"/>
      </c:scatterChart>
      <c:valAx>
        <c:axId val="56980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9801680"/>
        <c:crosses val="autoZero"/>
        <c:crossBetween val="midCat"/>
      </c:valAx>
      <c:valAx>
        <c:axId val="5698016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69801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7560"/>
        <c:axId val="569809912"/>
      </c:scatterChart>
      <c:valAx>
        <c:axId val="56980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09912"/>
        <c:crosses val="autoZero"/>
        <c:crossBetween val="midCat"/>
      </c:valAx>
      <c:valAx>
        <c:axId val="56980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07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08344"/>
        <c:axId val="569808736"/>
      </c:scatterChart>
      <c:valAx>
        <c:axId val="56980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808736"/>
        <c:crosses val="autoZero"/>
        <c:crossBetween val="midCat"/>
      </c:valAx>
      <c:valAx>
        <c:axId val="5698087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98083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10304"/>
        <c:axId val="569807952"/>
      </c:scatterChart>
      <c:valAx>
        <c:axId val="5698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07952"/>
        <c:crosses val="autoZero"/>
        <c:crossBetween val="midCat"/>
      </c:valAx>
      <c:valAx>
        <c:axId val="5698079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98103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54744"/>
        <c:axId val="568963760"/>
      </c:scatterChart>
      <c:valAx>
        <c:axId val="5689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3760"/>
        <c:crosses val="autoZero"/>
        <c:crossBetween val="midCat"/>
      </c:valAx>
      <c:valAx>
        <c:axId val="5689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4152"/>
        <c:axId val="568964544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55528"/>
        <c:axId val="568954352"/>
      </c:scatterChart>
      <c:valAx>
        <c:axId val="5689641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4544"/>
        <c:crossesAt val="-40"/>
        <c:crossBetween val="midCat"/>
        <c:majorUnit val="20"/>
      </c:valAx>
      <c:valAx>
        <c:axId val="5689645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4152"/>
        <c:crosses val="autoZero"/>
        <c:crossBetween val="midCat"/>
      </c:valAx>
      <c:valAx>
        <c:axId val="5689543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55528"/>
        <c:crosses val="max"/>
        <c:crossBetween val="midCat"/>
        <c:majorUnit val="40"/>
      </c:valAx>
      <c:valAx>
        <c:axId val="568955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95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57880"/>
        <c:axId val="568964936"/>
      </c:scatterChart>
      <c:valAx>
        <c:axId val="5689578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68964936"/>
        <c:crosses val="autoZero"/>
        <c:crossBetween val="midCat"/>
      </c:valAx>
      <c:valAx>
        <c:axId val="568964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95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5264"/>
        <c:axId val="565525656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26048"/>
        <c:axId val="565526832"/>
      </c:scatterChart>
      <c:valAx>
        <c:axId val="5655252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5525656"/>
        <c:crossesAt val="-40"/>
        <c:crossBetween val="midCat"/>
        <c:majorUnit val="20"/>
      </c:valAx>
      <c:valAx>
        <c:axId val="5655256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5525264"/>
        <c:crosses val="autoZero"/>
        <c:crossBetween val="midCat"/>
      </c:valAx>
      <c:valAx>
        <c:axId val="5655268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5526048"/>
        <c:crosses val="max"/>
        <c:crossBetween val="midCat"/>
        <c:majorUnit val="40"/>
      </c:valAx>
      <c:valAx>
        <c:axId val="5655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552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3368"/>
        <c:axId val="568957488"/>
      </c:scatterChart>
      <c:valAx>
        <c:axId val="5689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57488"/>
        <c:crosses val="autoZero"/>
        <c:crossBetween val="midCat"/>
      </c:valAx>
      <c:valAx>
        <c:axId val="568957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5720"/>
        <c:axId val="568956704"/>
      </c:scatterChart>
      <c:valAx>
        <c:axId val="5689657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8956704"/>
        <c:crosses val="autoZero"/>
        <c:crossBetween val="midCat"/>
      </c:valAx>
      <c:valAx>
        <c:axId val="56895670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68965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6112"/>
        <c:axId val="568961800"/>
      </c:scatterChart>
      <c:valAx>
        <c:axId val="56896611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68961800"/>
        <c:crosses val="autoZero"/>
        <c:crossBetween val="midCat"/>
      </c:valAx>
      <c:valAx>
        <c:axId val="56896180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68966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2584"/>
        <c:axId val="568958272"/>
      </c:scatterChart>
      <c:valAx>
        <c:axId val="56896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58272"/>
        <c:crosses val="autoZero"/>
        <c:crossBetween val="midCat"/>
      </c:valAx>
      <c:valAx>
        <c:axId val="5689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6504"/>
        <c:axId val="568957096"/>
      </c:scatterChart>
      <c:valAx>
        <c:axId val="56896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57096"/>
        <c:crosses val="autoZero"/>
        <c:crossBetween val="midCat"/>
      </c:valAx>
      <c:valAx>
        <c:axId val="5689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59056"/>
        <c:axId val="568959448"/>
      </c:scatterChart>
      <c:valAx>
        <c:axId val="5689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59448"/>
        <c:crosses val="autoZero"/>
        <c:crossBetween val="midCat"/>
      </c:valAx>
      <c:valAx>
        <c:axId val="568959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5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0232"/>
        <c:axId val="568961408"/>
      </c:scatterChart>
      <c:valAx>
        <c:axId val="56896023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568961408"/>
        <c:crosses val="autoZero"/>
        <c:crossBetween val="midCat"/>
        <c:minorUnit val="2"/>
      </c:valAx>
      <c:valAx>
        <c:axId val="56896140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568960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7288"/>
        <c:axId val="568969248"/>
      </c:scatterChart>
      <c:valAx>
        <c:axId val="56896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9248"/>
        <c:crosses val="autoZero"/>
        <c:crossBetween val="midCat"/>
      </c:valAx>
      <c:valAx>
        <c:axId val="5689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70032"/>
        <c:axId val="568968464"/>
      </c:scatterChart>
      <c:valAx>
        <c:axId val="5689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8464"/>
        <c:crosses val="autoZero"/>
        <c:crossBetween val="midCat"/>
      </c:valAx>
      <c:valAx>
        <c:axId val="56896846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7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66896"/>
        <c:axId val="568968072"/>
      </c:scatterChart>
      <c:valAx>
        <c:axId val="5689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8072"/>
        <c:crosses val="autoZero"/>
        <c:crossBetween val="midCat"/>
      </c:valAx>
      <c:valAx>
        <c:axId val="5689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1688"/>
        <c:axId val="558163648"/>
      </c:scatterChart>
      <c:valAx>
        <c:axId val="5581616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58163648"/>
        <c:crosses val="autoZero"/>
        <c:crossBetween val="midCat"/>
      </c:valAx>
      <c:valAx>
        <c:axId val="5581636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816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12456"/>
        <c:axId val="57001206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7360"/>
        <c:axId val="570004224"/>
      </c:scatterChart>
      <c:valAx>
        <c:axId val="570012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2064"/>
        <c:crossesAt val="-40"/>
        <c:crossBetween val="midCat"/>
        <c:majorUnit val="20"/>
      </c:valAx>
      <c:valAx>
        <c:axId val="5700120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2456"/>
        <c:crosses val="autoZero"/>
        <c:crossBetween val="midCat"/>
      </c:valAx>
      <c:valAx>
        <c:axId val="5700042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7360"/>
        <c:crosses val="max"/>
        <c:crossBetween val="midCat"/>
        <c:majorUnit val="40"/>
      </c:valAx>
      <c:valAx>
        <c:axId val="57000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00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8536"/>
        <c:axId val="570006968"/>
      </c:scatterChart>
      <c:valAx>
        <c:axId val="5700085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70006968"/>
        <c:crosses val="autoZero"/>
        <c:crossBetween val="midCat"/>
      </c:valAx>
      <c:valAx>
        <c:axId val="570006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008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2264"/>
        <c:axId val="570008144"/>
      </c:scatterChart>
      <c:valAx>
        <c:axId val="5700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8144"/>
        <c:crosses val="autoZero"/>
        <c:crossBetween val="midCat"/>
      </c:valAx>
      <c:valAx>
        <c:axId val="570008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5792"/>
        <c:axId val="570010888"/>
      </c:scatterChart>
      <c:valAx>
        <c:axId val="570005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70010888"/>
        <c:crosses val="autoZero"/>
        <c:crossBetween val="midCat"/>
      </c:valAx>
      <c:valAx>
        <c:axId val="5700108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7000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0304"/>
        <c:axId val="570001088"/>
      </c:scatterChart>
      <c:valAx>
        <c:axId val="570000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70001088"/>
        <c:crosses val="autoZero"/>
        <c:crossBetween val="midCat"/>
        <c:dispUnits>
          <c:builtInUnit val="thousands"/>
          <c:dispUnitsLbl/>
        </c:dispUnits>
      </c:valAx>
      <c:valAx>
        <c:axId val="5700010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7000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2656"/>
        <c:axId val="570000696"/>
      </c:scatterChart>
      <c:valAx>
        <c:axId val="5700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000696"/>
        <c:crosses val="autoZero"/>
        <c:crossBetween val="midCat"/>
      </c:valAx>
      <c:valAx>
        <c:axId val="57000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002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1480"/>
        <c:axId val="570009712"/>
      </c:scatterChart>
      <c:valAx>
        <c:axId val="570001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70009712"/>
        <c:crosses val="autoZero"/>
        <c:crossBetween val="midCat"/>
      </c:valAx>
      <c:valAx>
        <c:axId val="57000971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70001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4616"/>
        <c:axId val="570005400"/>
      </c:scatterChart>
      <c:valAx>
        <c:axId val="5700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5400"/>
        <c:crosses val="autoZero"/>
        <c:crossBetween val="midCat"/>
      </c:valAx>
      <c:valAx>
        <c:axId val="5700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06576"/>
        <c:axId val="570011672"/>
      </c:scatterChart>
      <c:valAx>
        <c:axId val="5700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1672"/>
        <c:crosses val="autoZero"/>
        <c:crossBetween val="midCat"/>
      </c:valAx>
      <c:valAx>
        <c:axId val="5700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10104"/>
        <c:axId val="57001049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23432"/>
        <c:axId val="570011280"/>
      </c:scatterChart>
      <c:valAx>
        <c:axId val="5700101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0496"/>
        <c:crosses val="autoZero"/>
        <c:crossBetween val="midCat"/>
      </c:valAx>
      <c:valAx>
        <c:axId val="570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0104"/>
        <c:crosses val="autoZero"/>
        <c:crossBetween val="midCat"/>
      </c:valAx>
      <c:valAx>
        <c:axId val="57001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3432"/>
        <c:crosses val="max"/>
        <c:crossBetween val="midCat"/>
      </c:valAx>
      <c:valAx>
        <c:axId val="57002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0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66392"/>
        <c:axId val="557259952"/>
      </c:scatterChart>
      <c:valAx>
        <c:axId val="55816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7259952"/>
        <c:crosses val="autoZero"/>
        <c:crossBetween val="midCat"/>
      </c:valAx>
      <c:valAx>
        <c:axId val="55725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5816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17944"/>
        <c:axId val="570022648"/>
      </c:scatterChart>
      <c:valAx>
        <c:axId val="5700179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70022648"/>
        <c:crosses val="autoZero"/>
        <c:crossBetween val="midCat"/>
      </c:valAx>
      <c:valAx>
        <c:axId val="57002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0017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22256"/>
        <c:axId val="570023040"/>
      </c:scatterChart>
      <c:valAx>
        <c:axId val="57002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70023040"/>
        <c:crosses val="autoZero"/>
        <c:crossBetween val="midCat"/>
      </c:valAx>
      <c:valAx>
        <c:axId val="5700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02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17552"/>
        <c:axId val="570021472"/>
      </c:scatterChart>
      <c:valAx>
        <c:axId val="57001755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1472"/>
        <c:crosses val="autoZero"/>
        <c:crossBetween val="midCat"/>
      </c:valAx>
      <c:valAx>
        <c:axId val="5700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755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13632"/>
        <c:axId val="570018728"/>
      </c:scatterChart>
      <c:valAx>
        <c:axId val="5700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8728"/>
        <c:crosses val="autoZero"/>
        <c:crossBetween val="midCat"/>
      </c:valAx>
      <c:valAx>
        <c:axId val="5700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16376"/>
        <c:axId val="570017160"/>
      </c:scatterChart>
      <c:valAx>
        <c:axId val="57001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7160"/>
        <c:crosses val="autoZero"/>
        <c:crossBetween val="midCat"/>
      </c:valAx>
      <c:valAx>
        <c:axId val="5700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21864"/>
        <c:axId val="570015984"/>
      </c:scatterChart>
      <c:valAx>
        <c:axId val="5700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5984"/>
        <c:crosses val="autoZero"/>
        <c:crossBetween val="midCat"/>
      </c:valAx>
      <c:valAx>
        <c:axId val="570015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7352"/>
        <c:axId val="567198336"/>
      </c:scatterChart>
      <c:valAx>
        <c:axId val="56720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7198336"/>
        <c:crosses val="autoZero"/>
        <c:crossBetween val="midCat"/>
      </c:valAx>
      <c:valAx>
        <c:axId val="5671983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67207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08920"/>
        <c:axId val="567198728"/>
      </c:scatterChart>
      <c:valAx>
        <c:axId val="5672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198728"/>
        <c:crosses val="autoZero"/>
        <c:crossBetween val="midCat"/>
      </c:valAx>
      <c:valAx>
        <c:axId val="56719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208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15</xdr:row>
      <xdr:rowOff>7620</xdr:rowOff>
    </xdr:from>
    <xdr:to>
      <xdr:col>54</xdr:col>
      <xdr:colOff>213360</xdr:colOff>
      <xdr:row>30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A16" zoomScaleNormal="100" workbookViewId="0">
      <selection activeCell="T24" sqref="T24"/>
    </sheetView>
  </sheetViews>
  <sheetFormatPr defaultRowHeight="14.4" x14ac:dyDescent="0.3"/>
  <sheetData>
    <row r="1" spans="1:32" x14ac:dyDescent="0.3">
      <c r="A1" t="s">
        <v>306</v>
      </c>
      <c r="B1" t="s">
        <v>307</v>
      </c>
      <c r="C1" t="s">
        <v>318</v>
      </c>
      <c r="D1" t="s">
        <v>326</v>
      </c>
      <c r="E1" t="s">
        <v>329</v>
      </c>
      <c r="F1" t="s">
        <v>308</v>
      </c>
      <c r="G1" t="s">
        <v>309</v>
      </c>
      <c r="H1" t="s">
        <v>319</v>
      </c>
      <c r="I1" t="s">
        <v>330</v>
      </c>
      <c r="J1" t="s">
        <v>331</v>
      </c>
      <c r="K1" t="s">
        <v>310</v>
      </c>
      <c r="L1" t="s">
        <v>311</v>
      </c>
      <c r="M1" t="s">
        <v>320</v>
      </c>
      <c r="N1" t="s">
        <v>332</v>
      </c>
      <c r="O1" t="s">
        <v>333</v>
      </c>
      <c r="P1" t="s">
        <v>312</v>
      </c>
      <c r="Q1" t="s">
        <v>313</v>
      </c>
      <c r="R1" t="s">
        <v>321</v>
      </c>
      <c r="S1" t="s">
        <v>336</v>
      </c>
      <c r="T1" t="s">
        <v>335</v>
      </c>
      <c r="U1" t="s">
        <v>314</v>
      </c>
      <c r="V1" t="s">
        <v>315</v>
      </c>
      <c r="W1" t="s">
        <v>322</v>
      </c>
      <c r="X1" t="s">
        <v>334</v>
      </c>
      <c r="Y1" t="s">
        <v>337</v>
      </c>
      <c r="Z1" t="s">
        <v>316</v>
      </c>
      <c r="AA1" t="s">
        <v>317</v>
      </c>
      <c r="AB1" t="s">
        <v>323</v>
      </c>
      <c r="AC1" t="s">
        <v>334</v>
      </c>
      <c r="AD1" t="s">
        <v>337</v>
      </c>
      <c r="AE1" t="s">
        <v>324</v>
      </c>
      <c r="AF1" t="s">
        <v>325</v>
      </c>
    </row>
    <row r="2" spans="1:32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5.3666866770453732</v>
      </c>
      <c r="L2" s="174">
        <f>Ard1_Turn1x_ESC1_G1b_T1a!P2</f>
        <v>5.9999999999999995E-25</v>
      </c>
      <c r="M2" s="174">
        <f>M3</f>
        <v>2848.1229083612657</v>
      </c>
      <c r="N2" s="174">
        <f t="shared" ref="N2:N14" si="2">LN(K2)*$C$21+$B$21</f>
        <v>-3508.7678911250332</v>
      </c>
      <c r="O2" s="174">
        <f>O3</f>
        <v>1980.1494267893518</v>
      </c>
      <c r="P2" s="96">
        <f>Ard2_Turn2_ESC2_G2b_T2a!D2</f>
        <v>7.9498949935886039</v>
      </c>
      <c r="Q2" s="174">
        <f>Ard2_Turn2_ESC2_G2b_T2a!P2</f>
        <v>5.9999999999999995E-25</v>
      </c>
      <c r="R2" s="174">
        <f>R3</f>
        <v>2069.8503613693651</v>
      </c>
      <c r="S2" s="174">
        <f t="shared" ref="S2:S13" si="3">LN(P2)*$C$21+$B$21</f>
        <v>1623.5260448636182</v>
      </c>
      <c r="T2" s="174">
        <f>T3</f>
        <v>1271.9096939146414</v>
      </c>
      <c r="U2" s="96">
        <f>Ard3_Turn3_ESC3_G3b_T3a!D2</f>
        <v>8.7271708346327035</v>
      </c>
      <c r="V2" s="174">
        <f>Ard3_Turn3_ESC3_G3b_T3a!P2</f>
        <v>5.9999999999999995E-25</v>
      </c>
      <c r="W2" s="174">
        <f>W3</f>
        <v>1766.9395108662529</v>
      </c>
      <c r="X2" s="174">
        <f t="shared" ref="X2:X14" si="4">LN(U2)*$C$21+$B$21</f>
        <v>2841.8890800862428</v>
      </c>
      <c r="Y2" s="174">
        <f>Y3</f>
        <v>1170.6881653899857</v>
      </c>
      <c r="Z2" s="96">
        <f>Ard4_Turn4_ESC4_G4b_T4a!D2</f>
        <v>9.0648738664970399</v>
      </c>
      <c r="AA2" s="174">
        <f>Ard4_Turn4_ESC4_G4b_T4a!P2</f>
        <v>5.9999999999999995E-25</v>
      </c>
      <c r="AB2" s="174">
        <f>AB3</f>
        <v>4101.2871456297744</v>
      </c>
      <c r="AC2" s="174">
        <f t="shared" ref="AC2:AC14" si="5">LN(Z2)*$C$21+$B$21</f>
        <v>3337.7589097104392</v>
      </c>
      <c r="AD2" s="174">
        <f>AD3</f>
        <v>1305.9361891487861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2848.1229083612657</v>
      </c>
      <c r="N3" s="174">
        <f t="shared" si="2"/>
        <v>1705.5859758803344</v>
      </c>
      <c r="O3" s="174">
        <f>(N3-N2)/(K3-K2)</f>
        <v>1980.1494267893518</v>
      </c>
      <c r="P3" s="96">
        <f>Ard2_Turn2_ESC2_G2b_T2a!D3</f>
        <v>13</v>
      </c>
      <c r="Q3" s="174">
        <f>Ard2_Turn2_ESC2_G2b_T2a!P3</f>
        <v>10452.961672473868</v>
      </c>
      <c r="R3" s="174">
        <f>(Q3-Q2)/(P3-P2)</f>
        <v>2069.8503613693651</v>
      </c>
      <c r="S3" s="174">
        <f t="shared" si="3"/>
        <v>8046.8035578051349</v>
      </c>
      <c r="T3" s="174">
        <f>(S3-S2)/(P3-P2)</f>
        <v>1271.9096939146414</v>
      </c>
      <c r="U3" s="96">
        <f>Ard3_Turn3_ESC3_G3b_T3a!D3</f>
        <v>14</v>
      </c>
      <c r="V3" s="174">
        <f>Ard3_Turn3_ESC3_G3b_T3a!P3</f>
        <v>9316.7701863354032</v>
      </c>
      <c r="W3" s="174">
        <f>(V3-V2)/(U3-U2)</f>
        <v>1766.9395108662529</v>
      </c>
      <c r="X3" s="174">
        <f t="shared" si="4"/>
        <v>9014.727782104892</v>
      </c>
      <c r="Y3" s="174">
        <f>(X3-X2)/(U3-U2)</f>
        <v>1170.6881653899857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4101.2871456297744</v>
      </c>
      <c r="AC3" s="174">
        <f t="shared" si="5"/>
        <v>5864.9101580195202</v>
      </c>
      <c r="AD3" s="174">
        <f>(AC3-AC2)/(Z3-Z2)</f>
        <v>1305.9361891487861</v>
      </c>
      <c r="AE3">
        <f t="shared" si="6"/>
        <v>15</v>
      </c>
      <c r="AF3" s="174">
        <f t="shared" si="7"/>
        <v>8287.2928176795576</v>
      </c>
    </row>
    <row r="4" spans="1:32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12" si="12">(L4-L3)/(K4-K3)</f>
        <v>832.58122743682293</v>
      </c>
      <c r="N4" s="174">
        <f t="shared" si="2"/>
        <v>7001.3657528810727</v>
      </c>
      <c r="O4" s="174">
        <f t="shared" ref="O4:O14" si="13">(N4-N3)/(K4-K3)</f>
        <v>1323.9449442501846</v>
      </c>
      <c r="P4" s="96">
        <f>Ard2_Turn2_ESC2_G2b_T2a!D4</f>
        <v>17</v>
      </c>
      <c r="Q4" s="174">
        <f>Ard2_Turn2_ESC2_G2b_T2a!P4</f>
        <v>10600.706713780919</v>
      </c>
      <c r="R4" s="174">
        <f t="shared" ref="R4:R13" si="14">(Q4-Q3)/(P4-P3)</f>
        <v>36.936260326762749</v>
      </c>
      <c r="S4" s="174">
        <f t="shared" si="3"/>
        <v>11550.599486718238</v>
      </c>
      <c r="T4" s="174">
        <f t="shared" ref="T4:T13" si="15">(S4-S3)/(P4-P3)</f>
        <v>875.94898222827578</v>
      </c>
      <c r="U4" s="96">
        <f>Ard3_Turn3_ESC3_G3b_T3a!D4</f>
        <v>18</v>
      </c>
      <c r="V4" s="174">
        <f>Ard3_Turn3_ESC3_G3b_T3a!P4</f>
        <v>12000.000000000002</v>
      </c>
      <c r="W4" s="174">
        <f t="shared" ref="W4:W14" si="16">(V4-V3)/(U4-U3)</f>
        <v>670.80745341614966</v>
      </c>
      <c r="X4" s="174">
        <f t="shared" si="4"/>
        <v>12297.145529881804</v>
      </c>
      <c r="Y4" s="174">
        <f t="shared" ref="Y4:Y14" si="17">(X4-X3)/(U4-U3)</f>
        <v>820.60443694422793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14" si="18">(AA4-AA3)/(Z4-Z3)</f>
        <v>499.31672448228755</v>
      </c>
      <c r="AC4" s="174">
        <f t="shared" si="5"/>
        <v>9915.8436765959632</v>
      </c>
      <c r="AD4" s="174">
        <f t="shared" ref="AD4:AD14" si="19">(AC4-AC3)/(Z4-Z3)</f>
        <v>1012.7333796441108</v>
      </c>
      <c r="AE4">
        <f t="shared" si="6"/>
        <v>17</v>
      </c>
      <c r="AF4" s="174">
        <f t="shared" si="7"/>
        <v>9375</v>
      </c>
    </row>
    <row r="5" spans="1:32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14218.009478672986</v>
      </c>
      <c r="R5" s="174">
        <f t="shared" si="14"/>
        <v>516.75753784172389</v>
      </c>
      <c r="S5" s="174">
        <f t="shared" si="3"/>
        <v>16054.56107817452</v>
      </c>
      <c r="T5" s="174">
        <f t="shared" si="15"/>
        <v>643.42308449375457</v>
      </c>
      <c r="U5" s="96">
        <f>Ard3_Turn3_ESC3_G3b_T3a!D5</f>
        <v>24</v>
      </c>
      <c r="V5" s="174">
        <f>Ard3_Turn3_ESC3_G3b_T3a!P5</f>
        <v>14851.485148514852</v>
      </c>
      <c r="W5" s="174">
        <f t="shared" si="16"/>
        <v>475.24752475247504</v>
      </c>
      <c r="X5" s="174">
        <f t="shared" si="4"/>
        <v>16054.56107817452</v>
      </c>
      <c r="Y5" s="174">
        <f t="shared" si="17"/>
        <v>626.23592471545271</v>
      </c>
      <c r="Z5" s="96">
        <f>Ard4_Turn4_ESC4_G4b_T4a!D5</f>
        <v>26</v>
      </c>
      <c r="AA5" s="174">
        <f>Ard4_Turn4_ESC4_G4b_T4a!P5</f>
        <v>14150.943396226416</v>
      </c>
      <c r="AB5" s="174">
        <f t="shared" si="18"/>
        <v>383.37896016266626</v>
      </c>
      <c r="AC5" s="174">
        <f t="shared" si="5"/>
        <v>17099.998883098575</v>
      </c>
      <c r="AD5" s="174">
        <f t="shared" si="19"/>
        <v>653.10501877296474</v>
      </c>
      <c r="AE5">
        <f t="shared" si="6"/>
        <v>20</v>
      </c>
      <c r="AF5" s="174">
        <f t="shared" si="7"/>
        <v>11811.023622047245</v>
      </c>
    </row>
    <row r="6" spans="1:32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16000.000000000002</v>
      </c>
      <c r="R6" s="174">
        <f t="shared" si="14"/>
        <v>445.49763033175395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16574.585635359115</v>
      </c>
      <c r="W6" s="174">
        <f t="shared" si="16"/>
        <v>430.77512171106582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28</v>
      </c>
      <c r="AA6" s="174">
        <f>Ard4_Turn4_ESC4_G4b_T4a!P6</f>
        <v>15915.119363395226</v>
      </c>
      <c r="AB6" s="174">
        <f t="shared" si="18"/>
        <v>882.08798358440526</v>
      </c>
      <c r="AC6" s="174">
        <f t="shared" si="5"/>
        <v>18067.923107398339</v>
      </c>
      <c r="AD6" s="174">
        <f t="shared" si="19"/>
        <v>483.96211214988216</v>
      </c>
      <c r="AE6">
        <f t="shared" si="6"/>
        <v>35</v>
      </c>
      <c r="AF6" s="174">
        <f t="shared" si="7"/>
        <v>19354.83870967742</v>
      </c>
    </row>
    <row r="7" spans="1:32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17804.154302670624</v>
      </c>
      <c r="R7" s="174">
        <f t="shared" si="14"/>
        <v>451.03857566765555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444.95531907004352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34</v>
      </c>
      <c r="AA7" s="174">
        <f>Ard4_Turn4_ESC4_G4b_T4a!P7</f>
        <v>17910.447761194031</v>
      </c>
      <c r="AB7" s="174">
        <f t="shared" si="18"/>
        <v>332.5547329664675</v>
      </c>
      <c r="AC7" s="174">
        <f t="shared" si="5"/>
        <v>20603.794812011685</v>
      </c>
      <c r="AD7" s="174">
        <f t="shared" si="19"/>
        <v>422.64528410222437</v>
      </c>
      <c r="AE7">
        <f t="shared" si="6"/>
        <v>54</v>
      </c>
      <c r="AF7" s="174">
        <f t="shared" si="7"/>
        <v>24793.388429752067</v>
      </c>
    </row>
    <row r="8" spans="1:32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23904.382470119523</v>
      </c>
      <c r="R8" s="174">
        <f t="shared" si="14"/>
        <v>338.90156485827214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24193.548387096776</v>
      </c>
      <c r="W8" s="174">
        <f t="shared" si="16"/>
        <v>253.70751244858207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51</v>
      </c>
      <c r="AA8" s="174">
        <f>Ard4_Turn4_ESC4_G4b_T4a!P8</f>
        <v>22900.763358778626</v>
      </c>
      <c r="AB8" s="174">
        <f t="shared" si="18"/>
        <v>293.54797632850557</v>
      </c>
      <c r="AC8" s="174">
        <f t="shared" si="5"/>
        <v>25899.574589012416</v>
      </c>
      <c r="AD8" s="174">
        <f t="shared" si="19"/>
        <v>311.51645747063122</v>
      </c>
      <c r="AE8">
        <f t="shared" si="6"/>
        <v>64</v>
      </c>
      <c r="AF8" s="174">
        <f t="shared" si="7"/>
        <v>28037.383177570096</v>
      </c>
    </row>
    <row r="9" spans="1:32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28301.886792452831</v>
      </c>
      <c r="R9" s="174">
        <f t="shared" si="14"/>
        <v>157.05372579761817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28571.428571428572</v>
      </c>
      <c r="W9" s="174">
        <f t="shared" si="16"/>
        <v>208.47048496818076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76</v>
      </c>
      <c r="AA9" s="174">
        <f>Ard4_Turn4_ESC4_G4b_T4a!P9</f>
        <v>28571.428571428572</v>
      </c>
      <c r="AB9" s="174">
        <f t="shared" si="18"/>
        <v>226.82660850599785</v>
      </c>
      <c r="AC9" s="174">
        <f t="shared" si="5"/>
        <v>31109.70815747977</v>
      </c>
      <c r="AD9" s="174">
        <f t="shared" si="19"/>
        <v>208.40534273869417</v>
      </c>
      <c r="AE9">
        <f t="shared" si="6"/>
        <v>89</v>
      </c>
      <c r="AF9" s="174">
        <f t="shared" si="7"/>
        <v>32085.561497326202</v>
      </c>
    </row>
    <row r="10" spans="1:32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70</v>
      </c>
      <c r="L10" s="174">
        <f>Ard1_Turn1x_ESC1_G1b_T1a!P10</f>
        <v>28037.383177570096</v>
      </c>
      <c r="M10" s="174">
        <f t="shared" si="12"/>
        <v>129.20453077221222</v>
      </c>
      <c r="N10" s="174">
        <f t="shared" si="2"/>
        <v>30035.596356406684</v>
      </c>
      <c r="O10" s="174">
        <f t="shared" si="13"/>
        <v>190.70201818042793</v>
      </c>
      <c r="P10" s="96">
        <f>Ard2_Turn2_ESC2_G2b_T2a!D10</f>
        <v>115</v>
      </c>
      <c r="Q10" s="174">
        <f>Ard2_Turn2_ESC2_G2b_T2a!P10</f>
        <v>34090.909090909088</v>
      </c>
      <c r="R10" s="174">
        <f t="shared" si="14"/>
        <v>156.46006212043937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33333.333333333336</v>
      </c>
      <c r="W10" s="174">
        <f t="shared" si="16"/>
        <v>226.75736961451253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91</v>
      </c>
      <c r="AA10" s="174">
        <f>Ard4_Turn4_ESC4_G4b_T4a!P10</f>
        <v>32085.561497326202</v>
      </c>
      <c r="AB10" s="174">
        <f t="shared" si="18"/>
        <v>234.27552839317528</v>
      </c>
      <c r="AC10" s="174">
        <f t="shared" si="5"/>
        <v>33462.336014616572</v>
      </c>
      <c r="AD10" s="174">
        <f t="shared" si="19"/>
        <v>156.84185714245348</v>
      </c>
      <c r="AE10">
        <f t="shared" si="6"/>
        <v>101</v>
      </c>
      <c r="AF10" s="174">
        <f t="shared" si="7"/>
        <v>34090.909090909088</v>
      </c>
    </row>
    <row r="11" spans="1:32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79</v>
      </c>
      <c r="L11" s="174">
        <f>Ard1_Turn1x_ESC1_G1b_T1a!P11</f>
        <v>29702.970297029704</v>
      </c>
      <c r="M11" s="174">
        <f t="shared" si="12"/>
        <v>185.06523549551196</v>
      </c>
      <c r="N11" s="174">
        <f t="shared" si="2"/>
        <v>31615.358401071768</v>
      </c>
      <c r="O11" s="174">
        <f t="shared" si="13"/>
        <v>175.52911607389817</v>
      </c>
      <c r="P11" s="96">
        <f>Ard2_Turn2_ESC2_G2b_T2a!D11</f>
        <v>140</v>
      </c>
      <c r="Q11" s="174">
        <f>Ard2_Turn2_ESC2_G2b_T2a!P11</f>
        <v>34285.71428571429</v>
      </c>
      <c r="R11" s="174">
        <f t="shared" si="14"/>
        <v>7.7922077922080639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34090.909090909088</v>
      </c>
      <c r="W11" s="174">
        <f t="shared" si="16"/>
        <v>151.51515151515051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100</v>
      </c>
      <c r="AA11" s="174">
        <f>Ard4_Turn4_ESC4_G4b_T4a!P11</f>
        <v>32608.695652173916</v>
      </c>
      <c r="AB11" s="174">
        <f t="shared" si="18"/>
        <v>58.126017205301551</v>
      </c>
      <c r="AC11" s="174">
        <f t="shared" si="5"/>
        <v>34694.127799190464</v>
      </c>
      <c r="AD11" s="174">
        <f t="shared" si="19"/>
        <v>136.86575384154355</v>
      </c>
      <c r="AE11">
        <f t="shared" si="6"/>
        <v>114</v>
      </c>
      <c r="AF11" s="174">
        <f t="shared" si="7"/>
        <v>36809.815950920245</v>
      </c>
    </row>
    <row r="12" spans="1:32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84</v>
      </c>
      <c r="L12" s="174">
        <f>Ard1_Turn1x_ESC1_G1b_T1a!P12</f>
        <v>30456.852791878177</v>
      </c>
      <c r="M12" s="174">
        <f t="shared" si="12"/>
        <v>150.7764989696945</v>
      </c>
      <c r="N12" s="174">
        <f t="shared" si="2"/>
        <v>32416.898209692517</v>
      </c>
      <c r="O12" s="174">
        <f t="shared" si="13"/>
        <v>160.30796172414995</v>
      </c>
      <c r="P12" s="96">
        <f>Ard2_Turn2_ESC2_G2b_T2a!D12</f>
        <v>155</v>
      </c>
      <c r="Q12" s="174">
        <f>Ard2_Turn2_ESC2_G2b_T2a!P12</f>
        <v>37037.037037037036</v>
      </c>
      <c r="R12" s="174">
        <f t="shared" si="14"/>
        <v>183.42151675484976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36585.365853658535</v>
      </c>
      <c r="W12" s="174">
        <f t="shared" si="16"/>
        <v>226.76879661358609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106</v>
      </c>
      <c r="AA12" s="174">
        <f>Ard4_Turn4_ESC4_G4b_T4a!P12</f>
        <v>35087.719298245618</v>
      </c>
      <c r="AB12" s="174">
        <f t="shared" si="18"/>
        <v>413.17060767861705</v>
      </c>
      <c r="AC12" s="174">
        <f t="shared" si="5"/>
        <v>35455.178008197705</v>
      </c>
      <c r="AD12" s="174">
        <f t="shared" si="19"/>
        <v>126.84170150120674</v>
      </c>
      <c r="AE12">
        <f t="shared" si="6"/>
        <v>125</v>
      </c>
      <c r="AF12" s="174">
        <f t="shared" si="7"/>
        <v>37500</v>
      </c>
    </row>
    <row r="13" spans="1:32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121</v>
      </c>
      <c r="L13" s="174">
        <f>Ard1_Turn1x_ESC1_G1b_T1a!P13</f>
        <v>36363.636363636368</v>
      </c>
      <c r="M13" s="174">
        <f>M14</f>
        <v>143.59279065161414</v>
      </c>
      <c r="N13" s="174">
        <f t="shared" si="2"/>
        <v>37183.82031603904</v>
      </c>
      <c r="O13" s="174">
        <f t="shared" si="13"/>
        <v>128.83573260396008</v>
      </c>
      <c r="P13" s="96">
        <f>Ard2_Turn2_ESC2_G2b_T2a!D13</f>
        <v>175</v>
      </c>
      <c r="Q13" s="174">
        <f>Ard2_Turn2_ESC2_G2b_T2a!P13</f>
        <v>44117.647058823532</v>
      </c>
      <c r="R13" s="174">
        <f t="shared" si="14"/>
        <v>354.03050108932473</v>
      </c>
      <c r="S13" s="174">
        <f t="shared" si="3"/>
        <v>42003.269605415029</v>
      </c>
      <c r="T13" s="174">
        <f t="shared" si="15"/>
        <v>79.254707666637117</v>
      </c>
      <c r="U13" s="96">
        <f>Ard3_Turn3_ESC3_G3b_T3a!D13</f>
        <v>132</v>
      </c>
      <c r="V13" s="174">
        <f>Ard3_Turn3_ESC3_G3b_T3a!P13</f>
        <v>41095.890410958906</v>
      </c>
      <c r="W13" s="174">
        <f t="shared" si="16"/>
        <v>205.02384351365319</v>
      </c>
      <c r="X13" s="174">
        <f t="shared" si="4"/>
        <v>38320.275910900586</v>
      </c>
      <c r="Y13" s="174">
        <f t="shared" si="17"/>
        <v>108.24099333117424</v>
      </c>
      <c r="Z13" s="96">
        <f>Ard4_Turn4_ESC4_G4b_T4a!D13</f>
        <v>132</v>
      </c>
      <c r="AA13" s="174">
        <f>Ard4_Turn4_ESC4_G4b_T4a!P13</f>
        <v>40000</v>
      </c>
      <c r="AB13" s="174">
        <f t="shared" si="18"/>
        <v>188.93387314439931</v>
      </c>
      <c r="AC13" s="174">
        <f t="shared" si="5"/>
        <v>38320.275910900586</v>
      </c>
      <c r="AD13" s="174">
        <f t="shared" si="19"/>
        <v>110.19607318088002</v>
      </c>
      <c r="AE13">
        <f t="shared" si="6"/>
        <v>130</v>
      </c>
      <c r="AF13" s="174">
        <f t="shared" si="7"/>
        <v>38961.038961038961</v>
      </c>
    </row>
    <row r="14" spans="1:32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>
        <f>Ard1_Turn1x_ESC1_G1b_T1a!D14</f>
        <v>175</v>
      </c>
      <c r="L14" s="174">
        <f>Ard1_Turn1x_ESC1_G1b_T1a!P14</f>
        <v>44117.647058823532</v>
      </c>
      <c r="M14" s="174">
        <f>(L14-L13)/(K14-K13)</f>
        <v>143.59279065161414</v>
      </c>
      <c r="N14" s="174">
        <f t="shared" si="2"/>
        <v>42003.269605415029</v>
      </c>
      <c r="O14" s="174">
        <f t="shared" si="13"/>
        <v>89.249060914370162</v>
      </c>
      <c r="P14" s="96"/>
      <c r="Q14" s="174"/>
      <c r="R14" s="174"/>
      <c r="S14" s="174"/>
      <c r="T14" s="174"/>
      <c r="U14" s="96">
        <f>Ard3_Turn3_ESC3_G3b_T3a!D14</f>
        <v>175</v>
      </c>
      <c r="V14" s="174">
        <f>Ard3_Turn3_ESC3_G3b_T3a!P14</f>
        <v>44117.647058823532</v>
      </c>
      <c r="W14" s="174">
        <f t="shared" si="16"/>
        <v>70.273410415456411</v>
      </c>
      <c r="X14" s="174">
        <f t="shared" si="4"/>
        <v>42003.269605415029</v>
      </c>
      <c r="Y14" s="174">
        <f t="shared" si="17"/>
        <v>85.651016151498695</v>
      </c>
      <c r="Z14" s="96">
        <f>Ard4_Turn4_ESC4_G4b_T4a!D14</f>
        <v>178</v>
      </c>
      <c r="AA14" s="174">
        <f>Ard4_Turn4_ESC4_G4b_T4a!P14</f>
        <v>44117.647058823532</v>
      </c>
      <c r="AB14" s="174">
        <f t="shared" si="18"/>
        <v>89.514066496163736</v>
      </c>
      <c r="AC14" s="174">
        <f t="shared" si="5"/>
        <v>42225.274950364925</v>
      </c>
      <c r="AD14" s="174">
        <f t="shared" si="19"/>
        <v>84.891283466616073</v>
      </c>
      <c r="AE14">
        <f t="shared" si="6"/>
        <v>140</v>
      </c>
      <c r="AF14" s="174">
        <f t="shared" si="7"/>
        <v>41095.890410958906</v>
      </c>
    </row>
    <row r="15" spans="1:32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3">
      <c r="K19" s="96"/>
      <c r="L19" s="174"/>
      <c r="M19" s="174"/>
      <c r="P19" s="174"/>
      <c r="T19" s="96"/>
      <c r="U19" s="174"/>
      <c r="AE19" s="96">
        <f t="shared" ref="AE19:AE29" si="20">F2</f>
        <v>6.0661220353948684</v>
      </c>
      <c r="AF19" s="174">
        <f t="shared" ref="AF19:AF29" si="21">G2</f>
        <v>5.9999999999999995E-25</v>
      </c>
    </row>
    <row r="20" spans="1:32" x14ac:dyDescent="0.3">
      <c r="K20" s="96"/>
      <c r="L20" s="174"/>
      <c r="M20" s="174"/>
      <c r="P20" s="174"/>
      <c r="T20" s="96"/>
      <c r="U20" s="174"/>
      <c r="AE20" s="96">
        <f t="shared" si="20"/>
        <v>9</v>
      </c>
      <c r="AF20" s="174">
        <f t="shared" si="21"/>
        <v>8474.5762711864409</v>
      </c>
    </row>
    <row r="21" spans="1:32" x14ac:dyDescent="0.3">
      <c r="A21" t="s">
        <v>327</v>
      </c>
      <c r="B21" s="157">
        <v>-25454</v>
      </c>
      <c r="C21" s="157">
        <v>13061</v>
      </c>
      <c r="D21" t="s">
        <v>328</v>
      </c>
      <c r="K21" s="96"/>
      <c r="L21" s="174"/>
      <c r="M21" s="174"/>
      <c r="P21" s="174"/>
      <c r="T21" s="96"/>
      <c r="U21" s="174"/>
      <c r="AE21" s="96">
        <f t="shared" si="20"/>
        <v>20</v>
      </c>
      <c r="AF21" s="174">
        <f t="shared" si="21"/>
        <v>14851.485148514852</v>
      </c>
    </row>
    <row r="22" spans="1:32" x14ac:dyDescent="0.3">
      <c r="K22" s="96"/>
      <c r="L22" s="174"/>
      <c r="M22" s="174"/>
      <c r="P22" s="174"/>
      <c r="T22" s="96"/>
      <c r="U22" s="174"/>
      <c r="AE22" s="96">
        <f t="shared" si="20"/>
        <v>25</v>
      </c>
      <c r="AF22" s="174">
        <f t="shared" si="21"/>
        <v>16304.347826086958</v>
      </c>
    </row>
    <row r="23" spans="1:32" x14ac:dyDescent="0.3">
      <c r="T23" s="96"/>
      <c r="U23" s="174"/>
      <c r="AE23" s="96">
        <f t="shared" si="20"/>
        <v>35</v>
      </c>
      <c r="AF23" s="174">
        <f t="shared" si="21"/>
        <v>20134.228187919463</v>
      </c>
    </row>
    <row r="24" spans="1:32" x14ac:dyDescent="0.3">
      <c r="AE24" s="96">
        <f t="shared" si="20"/>
        <v>54</v>
      </c>
      <c r="AF24" s="174">
        <f t="shared" si="21"/>
        <v>25104.602510460249</v>
      </c>
    </row>
    <row r="25" spans="1:32" x14ac:dyDescent="0.3">
      <c r="AE25" s="96">
        <f t="shared" si="20"/>
        <v>64</v>
      </c>
      <c r="AF25" s="174">
        <f t="shared" si="21"/>
        <v>27649.76958525346</v>
      </c>
    </row>
    <row r="26" spans="1:32" x14ac:dyDescent="0.3">
      <c r="AE26" s="96">
        <f t="shared" si="20"/>
        <v>90</v>
      </c>
      <c r="AF26" s="174">
        <f t="shared" si="21"/>
        <v>32258.06451612903</v>
      </c>
    </row>
    <row r="27" spans="1:32" x14ac:dyDescent="0.3">
      <c r="AE27" s="96">
        <f t="shared" si="20"/>
        <v>125</v>
      </c>
      <c r="AF27" s="174">
        <f t="shared" si="21"/>
        <v>37037.037037037036</v>
      </c>
    </row>
    <row r="28" spans="1:32" x14ac:dyDescent="0.3">
      <c r="AE28" s="96">
        <f t="shared" si="20"/>
        <v>155</v>
      </c>
      <c r="AF28" s="174">
        <f t="shared" si="21"/>
        <v>41958.041958041955</v>
      </c>
    </row>
    <row r="29" spans="1:32" x14ac:dyDescent="0.3">
      <c r="AE29" s="96">
        <f t="shared" si="20"/>
        <v>180</v>
      </c>
      <c r="AF29" s="174">
        <f t="shared" si="21"/>
        <v>43859.649122807015</v>
      </c>
    </row>
    <row r="30" spans="1:32" x14ac:dyDescent="0.3">
      <c r="AE30" s="96">
        <f t="shared" ref="AE30:AE42" si="22">K2</f>
        <v>5.3666866770453732</v>
      </c>
      <c r="AF30" s="174">
        <f t="shared" ref="AF30:AF42" si="23">L2</f>
        <v>5.9999999999999995E-25</v>
      </c>
    </row>
    <row r="31" spans="1:32" x14ac:dyDescent="0.3">
      <c r="AE31" s="96">
        <f t="shared" si="22"/>
        <v>8</v>
      </c>
      <c r="AF31" s="174">
        <f t="shared" si="23"/>
        <v>7500.0000000000009</v>
      </c>
    </row>
    <row r="32" spans="1:32" x14ac:dyDescent="0.3">
      <c r="AE32" s="96">
        <f t="shared" si="22"/>
        <v>12</v>
      </c>
      <c r="AF32" s="174">
        <f t="shared" si="23"/>
        <v>10830.324909747293</v>
      </c>
    </row>
    <row r="33" spans="31:32" x14ac:dyDescent="0.3">
      <c r="AE33" s="96">
        <f t="shared" si="22"/>
        <v>17</v>
      </c>
      <c r="AF33" s="174">
        <f t="shared" si="23"/>
        <v>12244.897959183674</v>
      </c>
    </row>
    <row r="34" spans="31:32" x14ac:dyDescent="0.3">
      <c r="AE34" s="96">
        <f t="shared" si="22"/>
        <v>21</v>
      </c>
      <c r="AF34" s="174">
        <f t="shared" si="23"/>
        <v>14354.066985645934</v>
      </c>
    </row>
    <row r="35" spans="31:32" x14ac:dyDescent="0.3">
      <c r="AE35" s="96">
        <f t="shared" si="22"/>
        <v>27</v>
      </c>
      <c r="AF35" s="174">
        <f t="shared" si="23"/>
        <v>16949.152542372882</v>
      </c>
    </row>
    <row r="36" spans="31:32" x14ac:dyDescent="0.3">
      <c r="AE36" s="96">
        <f t="shared" si="22"/>
        <v>42</v>
      </c>
      <c r="AF36" s="174">
        <f t="shared" si="23"/>
        <v>21660.649819494585</v>
      </c>
    </row>
    <row r="37" spans="31:32" x14ac:dyDescent="0.3">
      <c r="AE37" s="96">
        <f t="shared" si="22"/>
        <v>67</v>
      </c>
      <c r="AF37" s="174">
        <f t="shared" si="23"/>
        <v>27649.76958525346</v>
      </c>
    </row>
    <row r="38" spans="31:32" x14ac:dyDescent="0.3">
      <c r="AE38" s="96">
        <f t="shared" si="22"/>
        <v>70</v>
      </c>
      <c r="AF38" s="174">
        <f t="shared" si="23"/>
        <v>28037.383177570096</v>
      </c>
    </row>
    <row r="39" spans="31:32" x14ac:dyDescent="0.3">
      <c r="AE39" s="96">
        <f t="shared" si="22"/>
        <v>79</v>
      </c>
      <c r="AF39" s="174">
        <f t="shared" si="23"/>
        <v>29702.970297029704</v>
      </c>
    </row>
    <row r="40" spans="31:32" x14ac:dyDescent="0.3">
      <c r="AE40" s="96">
        <f t="shared" si="22"/>
        <v>84</v>
      </c>
      <c r="AF40" s="174">
        <f t="shared" si="23"/>
        <v>30456.852791878177</v>
      </c>
    </row>
    <row r="41" spans="31:32" x14ac:dyDescent="0.3">
      <c r="AE41" s="96">
        <f t="shared" si="22"/>
        <v>121</v>
      </c>
      <c r="AF41" s="174">
        <f t="shared" si="23"/>
        <v>36363.636363636368</v>
      </c>
    </row>
    <row r="42" spans="31:32" x14ac:dyDescent="0.3">
      <c r="AE42" s="96">
        <f t="shared" si="22"/>
        <v>175</v>
      </c>
      <c r="AF42" s="174">
        <f t="shared" si="23"/>
        <v>44117.647058823532</v>
      </c>
    </row>
    <row r="43" spans="31:32" x14ac:dyDescent="0.3">
      <c r="AE43" s="96">
        <f t="shared" ref="AE43:AE54" si="24">P2</f>
        <v>7.9498949935886039</v>
      </c>
      <c r="AF43" s="174">
        <f t="shared" ref="AF43:AF54" si="25">Q2</f>
        <v>5.9999999999999995E-25</v>
      </c>
    </row>
    <row r="44" spans="31:32" x14ac:dyDescent="0.3">
      <c r="AE44" s="96">
        <f t="shared" si="24"/>
        <v>13</v>
      </c>
      <c r="AF44" s="174">
        <f t="shared" si="25"/>
        <v>10452.961672473868</v>
      </c>
    </row>
    <row r="45" spans="31:32" x14ac:dyDescent="0.3">
      <c r="AE45" s="96">
        <f t="shared" si="24"/>
        <v>17</v>
      </c>
      <c r="AF45" s="174">
        <f t="shared" si="25"/>
        <v>10600.706713780919</v>
      </c>
    </row>
    <row r="46" spans="31:32" x14ac:dyDescent="0.3">
      <c r="AE46" s="96">
        <f t="shared" si="24"/>
        <v>24</v>
      </c>
      <c r="AF46" s="174">
        <f t="shared" si="25"/>
        <v>14218.009478672986</v>
      </c>
    </row>
    <row r="47" spans="31:32" x14ac:dyDescent="0.3">
      <c r="AE47" s="96">
        <f t="shared" si="24"/>
        <v>28</v>
      </c>
      <c r="AF47" s="174">
        <f t="shared" si="25"/>
        <v>16000.000000000002</v>
      </c>
    </row>
    <row r="48" spans="31:32" x14ac:dyDescent="0.3">
      <c r="AE48" s="96">
        <f t="shared" si="24"/>
        <v>32</v>
      </c>
      <c r="AF48" s="174">
        <f t="shared" si="25"/>
        <v>17804.154302670624</v>
      </c>
    </row>
    <row r="49" spans="31:32" x14ac:dyDescent="0.3">
      <c r="AE49" s="96">
        <f t="shared" si="24"/>
        <v>50</v>
      </c>
      <c r="AF49" s="174">
        <f t="shared" si="25"/>
        <v>23904.382470119523</v>
      </c>
    </row>
    <row r="50" spans="31:32" x14ac:dyDescent="0.3">
      <c r="AE50" s="96">
        <f t="shared" si="24"/>
        <v>78</v>
      </c>
      <c r="AF50" s="174">
        <f t="shared" si="25"/>
        <v>28301.886792452831</v>
      </c>
    </row>
    <row r="51" spans="31:32" x14ac:dyDescent="0.3">
      <c r="AE51" s="96">
        <f t="shared" si="24"/>
        <v>115</v>
      </c>
      <c r="AF51" s="174">
        <f t="shared" si="25"/>
        <v>34090.909090909088</v>
      </c>
    </row>
    <row r="52" spans="31:32" x14ac:dyDescent="0.3">
      <c r="AE52" s="96">
        <f t="shared" si="24"/>
        <v>140</v>
      </c>
      <c r="AF52" s="174">
        <f t="shared" si="25"/>
        <v>34285.71428571429</v>
      </c>
    </row>
    <row r="53" spans="31:32" x14ac:dyDescent="0.3">
      <c r="AE53" s="96">
        <f t="shared" si="24"/>
        <v>155</v>
      </c>
      <c r="AF53" s="174">
        <f t="shared" si="25"/>
        <v>37037.037037037036</v>
      </c>
    </row>
    <row r="54" spans="31:32" x14ac:dyDescent="0.3">
      <c r="AE54" s="96">
        <f t="shared" si="24"/>
        <v>175</v>
      </c>
      <c r="AF54" s="174">
        <f t="shared" si="25"/>
        <v>44117.647058823532</v>
      </c>
    </row>
    <row r="55" spans="31:32" x14ac:dyDescent="0.3">
      <c r="AE55" s="96">
        <f t="shared" ref="AE55:AE67" si="26">U2</f>
        <v>8.7271708346327035</v>
      </c>
      <c r="AF55" s="174">
        <f t="shared" ref="AF55:AF67" si="27">V2</f>
        <v>5.9999999999999995E-25</v>
      </c>
    </row>
    <row r="56" spans="31:32" x14ac:dyDescent="0.3">
      <c r="AE56" s="96">
        <f t="shared" si="26"/>
        <v>14</v>
      </c>
      <c r="AF56" s="174">
        <f t="shared" si="27"/>
        <v>9316.7701863354032</v>
      </c>
    </row>
    <row r="57" spans="31:32" x14ac:dyDescent="0.3">
      <c r="AE57" s="96">
        <f t="shared" si="26"/>
        <v>18</v>
      </c>
      <c r="AF57" s="174">
        <f t="shared" si="27"/>
        <v>12000.000000000002</v>
      </c>
    </row>
    <row r="58" spans="31:32" x14ac:dyDescent="0.3">
      <c r="AE58" s="96">
        <f t="shared" si="26"/>
        <v>24</v>
      </c>
      <c r="AF58" s="174">
        <f t="shared" si="27"/>
        <v>14851.485148514852</v>
      </c>
    </row>
    <row r="59" spans="31:32" x14ac:dyDescent="0.3">
      <c r="AE59" s="96">
        <f t="shared" si="26"/>
        <v>28</v>
      </c>
      <c r="AF59" s="174">
        <f t="shared" si="27"/>
        <v>16574.585635359115</v>
      </c>
    </row>
    <row r="60" spans="31:32" x14ac:dyDescent="0.3">
      <c r="AE60" s="96">
        <f t="shared" si="26"/>
        <v>36</v>
      </c>
      <c r="AF60" s="174">
        <f t="shared" si="27"/>
        <v>20134.228187919463</v>
      </c>
    </row>
    <row r="61" spans="31:32" x14ac:dyDescent="0.3">
      <c r="AE61" s="96">
        <f t="shared" si="26"/>
        <v>52</v>
      </c>
      <c r="AF61" s="174">
        <f t="shared" si="27"/>
        <v>24193.548387096776</v>
      </c>
    </row>
    <row r="62" spans="31:32" x14ac:dyDescent="0.3">
      <c r="AE62" s="96">
        <f t="shared" si="26"/>
        <v>73</v>
      </c>
      <c r="AF62" s="174">
        <f t="shared" si="27"/>
        <v>28571.428571428572</v>
      </c>
    </row>
    <row r="63" spans="31:32" x14ac:dyDescent="0.3">
      <c r="AE63" s="96">
        <f t="shared" si="26"/>
        <v>94</v>
      </c>
      <c r="AF63" s="174">
        <f t="shared" si="27"/>
        <v>33333.333333333336</v>
      </c>
    </row>
    <row r="64" spans="31:32" x14ac:dyDescent="0.3">
      <c r="AE64" s="96">
        <f t="shared" si="26"/>
        <v>99</v>
      </c>
      <c r="AF64" s="174">
        <f t="shared" si="27"/>
        <v>34090.909090909088</v>
      </c>
    </row>
    <row r="65" spans="31:32" x14ac:dyDescent="0.3">
      <c r="AE65" s="96">
        <f t="shared" si="26"/>
        <v>110</v>
      </c>
      <c r="AF65" s="174">
        <f t="shared" si="27"/>
        <v>36585.365853658535</v>
      </c>
    </row>
    <row r="66" spans="31:32" x14ac:dyDescent="0.3">
      <c r="AE66" s="96">
        <f t="shared" si="26"/>
        <v>132</v>
      </c>
      <c r="AF66" s="174">
        <f t="shared" si="27"/>
        <v>41095.890410958906</v>
      </c>
    </row>
    <row r="67" spans="31:32" x14ac:dyDescent="0.3">
      <c r="AE67" s="96">
        <f t="shared" si="26"/>
        <v>175</v>
      </c>
      <c r="AF67" s="174">
        <f t="shared" si="27"/>
        <v>44117.647058823532</v>
      </c>
    </row>
    <row r="68" spans="31:32" x14ac:dyDescent="0.3">
      <c r="AE68" s="96">
        <f t="shared" ref="AE68:AE80" si="28">Z2</f>
        <v>9.0648738664970399</v>
      </c>
      <c r="AF68" s="174">
        <f t="shared" ref="AF68:AF80" si="29">AA2</f>
        <v>5.9999999999999995E-25</v>
      </c>
    </row>
    <row r="69" spans="31:32" x14ac:dyDescent="0.3">
      <c r="AE69" s="96">
        <f t="shared" si="28"/>
        <v>11</v>
      </c>
      <c r="AF69" s="174">
        <f t="shared" si="29"/>
        <v>7936.5079365079364</v>
      </c>
    </row>
    <row r="70" spans="31:32" x14ac:dyDescent="0.3">
      <c r="AE70" s="96">
        <f t="shared" si="28"/>
        <v>15</v>
      </c>
      <c r="AF70" s="174">
        <f t="shared" si="29"/>
        <v>9933.7748344370866</v>
      </c>
    </row>
    <row r="71" spans="31:32" x14ac:dyDescent="0.3">
      <c r="AE71" s="96">
        <f t="shared" si="28"/>
        <v>26</v>
      </c>
      <c r="AF71" s="174">
        <f t="shared" si="29"/>
        <v>14150.943396226416</v>
      </c>
    </row>
    <row r="72" spans="31:32" x14ac:dyDescent="0.3">
      <c r="AE72" s="96">
        <f t="shared" si="28"/>
        <v>28</v>
      </c>
      <c r="AF72" s="174">
        <f t="shared" si="29"/>
        <v>15915.119363395226</v>
      </c>
    </row>
    <row r="73" spans="31:32" x14ac:dyDescent="0.3">
      <c r="AE73" s="96">
        <f t="shared" si="28"/>
        <v>34</v>
      </c>
      <c r="AF73" s="174">
        <f t="shared" si="29"/>
        <v>17910.447761194031</v>
      </c>
    </row>
    <row r="74" spans="31:32" x14ac:dyDescent="0.3">
      <c r="AE74" s="96">
        <f t="shared" si="28"/>
        <v>51</v>
      </c>
      <c r="AF74" s="174">
        <f t="shared" si="29"/>
        <v>22900.763358778626</v>
      </c>
    </row>
    <row r="75" spans="31:32" x14ac:dyDescent="0.3">
      <c r="AE75" s="96">
        <f t="shared" si="28"/>
        <v>76</v>
      </c>
      <c r="AF75" s="174">
        <f t="shared" si="29"/>
        <v>28571.428571428572</v>
      </c>
    </row>
    <row r="76" spans="31:32" x14ac:dyDescent="0.3">
      <c r="AE76" s="96">
        <f t="shared" si="28"/>
        <v>91</v>
      </c>
      <c r="AF76" s="174">
        <f t="shared" si="29"/>
        <v>32085.561497326202</v>
      </c>
    </row>
    <row r="77" spans="31:32" x14ac:dyDescent="0.3">
      <c r="AE77" s="96">
        <f t="shared" si="28"/>
        <v>100</v>
      </c>
      <c r="AF77" s="174">
        <f t="shared" si="29"/>
        <v>32608.695652173916</v>
      </c>
    </row>
    <row r="78" spans="31:32" x14ac:dyDescent="0.3">
      <c r="AE78" s="96">
        <f t="shared" si="28"/>
        <v>106</v>
      </c>
      <c r="AF78" s="174">
        <f t="shared" si="29"/>
        <v>35087.719298245618</v>
      </c>
    </row>
    <row r="79" spans="31:32" x14ac:dyDescent="0.3">
      <c r="AE79" s="96">
        <f t="shared" si="28"/>
        <v>132</v>
      </c>
      <c r="AF79" s="174">
        <f t="shared" si="29"/>
        <v>40000</v>
      </c>
    </row>
    <row r="80" spans="31:32" x14ac:dyDescent="0.3">
      <c r="AE80" s="96">
        <f t="shared" si="28"/>
        <v>178</v>
      </c>
      <c r="AF80" s="174">
        <f t="shared" si="29"/>
        <v>44117.647058823532</v>
      </c>
    </row>
    <row r="81" spans="23:23" x14ac:dyDescent="0.3">
      <c r="W81" s="96"/>
    </row>
    <row r="82" spans="23:23" x14ac:dyDescent="0.3">
      <c r="W82" s="96"/>
    </row>
    <row r="83" spans="23:23" x14ac:dyDescent="0.3">
      <c r="W83" s="96"/>
    </row>
    <row r="84" spans="23:23" x14ac:dyDescent="0.3">
      <c r="W84" s="96"/>
    </row>
    <row r="85" spans="23:23" x14ac:dyDescent="0.3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F43" zoomScale="90" zoomScaleNormal="90" workbookViewId="0">
      <selection activeCell="Z48" sqref="Z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" style="1" bestFit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5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5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338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W1" zoomScale="70" zoomScaleNormal="70" workbookViewId="0">
      <selection activeCell="K39" sqref="K39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1.0298149259835854</v>
      </c>
      <c r="D2" s="262">
        <f>EXP((0-$Q$42)/$R$42)</f>
        <v>5.3666866770453732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0.23255999999999999</v>
      </c>
      <c r="L2" s="229">
        <f t="shared" ref="L2:L14" si="3">D2</f>
        <v>5.3666866770453732</v>
      </c>
      <c r="M2" s="234">
        <f t="shared" ref="M2:M14" si="4">LN(L2)</f>
        <v>1.6802107119573513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P14" si="6">N2*60/$C$26</f>
        <v>5.9999999999999995E-25</v>
      </c>
      <c r="Q2" s="4">
        <v>0</v>
      </c>
      <c r="R2" s="3">
        <f t="shared" ref="R2:R14" si="7">P2/$Q$31</f>
        <v>1.3020833333333332E-27</v>
      </c>
      <c r="S2" s="3">
        <f t="shared" ref="S2:S14" si="8">Q2/$Q$31</f>
        <v>0</v>
      </c>
      <c r="T2" s="3">
        <f t="shared" ref="T2:T14" si="9">L2</f>
        <v>5.3666866770453732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0">$Q$38*(P2/$Q$31/100)^3</f>
        <v>9.76843480821773E-87</v>
      </c>
      <c r="AA2" s="229">
        <f t="shared" ref="AA2:AA14" si="11">SQRT(Z2^3/4/$Q$28/$Q$34)</f>
        <v>9.469612348787209E-129</v>
      </c>
      <c r="AB2" s="1"/>
      <c r="AC2" s="158">
        <f t="shared" ref="AC2:AC14" si="12">SQRT(Z2/$Q$34/$Q$28)</f>
        <v>1.9388187636407961E-42</v>
      </c>
      <c r="AD2" s="175">
        <f t="shared" ref="AD2:AD9" si="13">AC2*1/1.6/1000*3600</f>
        <v>4.3623422181917907E-42</v>
      </c>
      <c r="AE2" s="4">
        <f t="shared" ref="AE2:AE14" si="14">Q2/60*PI()*$C$40/1000</f>
        <v>0</v>
      </c>
      <c r="AF2" s="158">
        <f>AE2/AC2</f>
        <v>0</v>
      </c>
      <c r="AH2" s="228">
        <f t="shared" ref="AH2:AH14" si="15">D2/$Q$32*$Q$24</f>
        <v>0.14907462991792703</v>
      </c>
      <c r="AI2" s="228">
        <f t="shared" ref="AI2:AI14" si="16">AH2/$Q$24*$Q$32</f>
        <v>5.3666866770453732</v>
      </c>
      <c r="AJ2" s="229">
        <f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-12.576828632105585</v>
      </c>
      <c r="AM2" s="229">
        <f t="shared" ref="AM2:AM14" si="19">($Q$44+$R$44*AL2*$Q$31)/$Q$31</f>
        <v>4.1644433320649675E-2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  <c r="AV2">
        <f t="shared" ref="AV2:AV14" si="21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4" si="22">O3*60/$C$26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4" si="23">($U3-$U$2)</f>
        <v>3.1551500000000003</v>
      </c>
      <c r="W3" s="234">
        <f t="shared" ref="W3:W14" si="24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4" si="25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ref="AJ3:AJ14" si="26">MAX(($Q$42+$R$42*LN($AI3)),0)</f>
        <v>4555.4393381745249</v>
      </c>
      <c r="AK3" s="229">
        <f t="shared" si="17"/>
        <v>9.885936063746799</v>
      </c>
      <c r="AL3" s="229">
        <f t="shared" si="18"/>
        <v>-2.9127353151529944</v>
      </c>
      <c r="AM3" s="229">
        <f t="shared" si="19"/>
        <v>9.9199188020221634</v>
      </c>
      <c r="AN3" s="1"/>
      <c r="AO3" s="1">
        <f t="shared" si="20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2.853062032447166E-7</v>
      </c>
      <c r="AS3" s="228"/>
      <c r="AT3" s="1"/>
      <c r="AU3" s="228"/>
      <c r="AV3">
        <f t="shared" si="21"/>
        <v>4.5999999999999999E-3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3"/>
        <v>6.2354399999999996</v>
      </c>
      <c r="W4" s="234">
        <f t="shared" si="24"/>
        <v>8.3618622196799993E-3</v>
      </c>
      <c r="X4" s="230">
        <f t="shared" ref="X4:X14" si="29">$W4/$P4*5252</f>
        <v>4.0549568682131136E-3</v>
      </c>
      <c r="Y4" s="230">
        <f t="shared" ref="Y4:Y14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2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5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26"/>
        <v>9182.0151590275054</v>
      </c>
      <c r="AK4" s="229">
        <f t="shared" si="17"/>
        <v>19.926248174972883</v>
      </c>
      <c r="AL4" s="229">
        <f t="shared" si="18"/>
        <v>6.9022698142088581</v>
      </c>
      <c r="AM4" s="229">
        <f t="shared" si="19"/>
        <v>19.952449575288984</v>
      </c>
      <c r="AN4" s="2">
        <f t="shared" ref="AN4:AN14" si="32">AO4/$Q$31</f>
        <v>6.9022698142088581</v>
      </c>
      <c r="AO4" s="3">
        <f t="shared" si="20"/>
        <v>3180.5659303874418</v>
      </c>
      <c r="AP4" s="227">
        <f t="shared" si="27"/>
        <v>3.1526964904515136E-4</v>
      </c>
      <c r="AQ4" s="227">
        <f t="shared" ref="AQ4:AQ14" si="33">AJ4*AP4/5252</f>
        <v>5.5118253935907487E-4</v>
      </c>
      <c r="AR4" s="231">
        <f t="shared" si="28"/>
        <v>3.710841216669138E-7</v>
      </c>
      <c r="AS4" s="228">
        <f t="shared" ref="AS4:AS14" si="34">$Q$36/AR4</f>
        <v>0.10085804085789137</v>
      </c>
      <c r="AT4" s="1"/>
      <c r="AU4" s="228"/>
      <c r="AV4">
        <f t="shared" si="21"/>
        <v>0.23799999999999999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3"/>
        <v>7.7846400000000004</v>
      </c>
      <c r="W5" s="234">
        <f t="shared" si="24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5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26"/>
        <v>13156.382614371338</v>
      </c>
      <c r="AK5" s="229">
        <f t="shared" si="17"/>
        <v>28.55117754854891</v>
      </c>
      <c r="AL5" s="229">
        <f t="shared" si="18"/>
        <v>15.333653729792612</v>
      </c>
      <c r="AM5" s="229">
        <f t="shared" si="19"/>
        <v>28.570694546070836</v>
      </c>
      <c r="AN5" s="2">
        <f t="shared" si="32"/>
        <v>15.333653729792612</v>
      </c>
      <c r="AO5" s="3">
        <f t="shared" si="20"/>
        <v>7065.7476386884355</v>
      </c>
      <c r="AP5" s="227">
        <f t="shared" si="27"/>
        <v>1.9365215396004685E-3</v>
      </c>
      <c r="AQ5" s="227">
        <f t="shared" si="33"/>
        <v>4.8510316671658829E-3</v>
      </c>
      <c r="AR5" s="231">
        <f t="shared" si="28"/>
        <v>4.4476992744745461E-7</v>
      </c>
      <c r="AS5" s="228">
        <f t="shared" si="34"/>
        <v>8.4148714189355697E-2</v>
      </c>
      <c r="AT5" s="232"/>
      <c r="AU5" s="165"/>
      <c r="AV5">
        <f t="shared" si="21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3"/>
        <v>10.50192</v>
      </c>
      <c r="W6" s="234">
        <f t="shared" si="24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5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26"/>
        <v>15567.533472822655</v>
      </c>
      <c r="AK6" s="229">
        <f t="shared" si="17"/>
        <v>33.783709793451941</v>
      </c>
      <c r="AL6" s="229">
        <f t="shared" si="18"/>
        <v>20.448766711773704</v>
      </c>
      <c r="AM6" s="229">
        <f t="shared" si="19"/>
        <v>33.799171528415371</v>
      </c>
      <c r="AN6" s="2">
        <f t="shared" si="32"/>
        <v>20.448766711773704</v>
      </c>
      <c r="AO6" s="3">
        <f t="shared" si="20"/>
        <v>9422.791700785323</v>
      </c>
      <c r="AP6" s="227">
        <f t="shared" si="27"/>
        <v>3.0628222088682107E-3</v>
      </c>
      <c r="AQ6" s="227">
        <f t="shared" si="33"/>
        <v>9.0785581222125843E-3</v>
      </c>
      <c r="AR6" s="231">
        <f t="shared" si="28"/>
        <v>4.8947329115493982E-7</v>
      </c>
      <c r="AS6" s="228">
        <f t="shared" si="34"/>
        <v>7.6463452002632548E-2</v>
      </c>
      <c r="AT6" s="232">
        <f t="shared" ref="AT6:AT14" si="35">$Q$45*$Q$28*$Q$37^2*$Q$34*PI()/240*($AC6-$Q$47)/$Q$46*$Q$35</f>
        <v>-1.1703313754155423E-7</v>
      </c>
      <c r="AU6" s="165">
        <f t="shared" ref="AU6:AU14" si="36">-$Q$36/AT6</f>
        <v>0.31979675407324204</v>
      </c>
      <c r="AV6">
        <f t="shared" si="21"/>
        <v>0.58599999999999997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3"/>
        <v>14.81034</v>
      </c>
      <c r="W7" s="234">
        <f t="shared" si="24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5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26"/>
        <v>18435.166800733456</v>
      </c>
      <c r="AK7" s="233">
        <f t="shared" si="17"/>
        <v>40.006872397425035</v>
      </c>
      <c r="AL7" s="233">
        <f t="shared" si="18"/>
        <v>26.53228007293254</v>
      </c>
      <c r="AM7" s="233">
        <f t="shared" si="19"/>
        <v>40.017511121822601</v>
      </c>
      <c r="AN7" s="9">
        <f t="shared" si="32"/>
        <v>26.53228007293254</v>
      </c>
      <c r="AO7" s="10">
        <f t="shared" si="20"/>
        <v>12226.074657607314</v>
      </c>
      <c r="AP7" s="230">
        <f t="shared" si="27"/>
        <v>4.5426833853288379E-3</v>
      </c>
      <c r="AQ7" s="230">
        <f t="shared" si="33"/>
        <v>1.5945378128609605E-2</v>
      </c>
      <c r="AR7" s="232">
        <f t="shared" si="28"/>
        <v>5.4263995851130805E-7</v>
      </c>
      <c r="AS7" s="228">
        <f t="shared" si="34"/>
        <v>6.8971731472695058E-2</v>
      </c>
      <c r="AT7" s="232">
        <f t="shared" si="35"/>
        <v>-1.5553105123949702E-7</v>
      </c>
      <c r="AU7" s="165">
        <f t="shared" si="36"/>
        <v>0.24063887697360209</v>
      </c>
      <c r="AV7">
        <f t="shared" si="21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3"/>
        <v>29.145340000000001</v>
      </c>
      <c r="W8" s="234">
        <f t="shared" si="24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5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26"/>
        <v>23476.71707886444</v>
      </c>
      <c r="AK8" s="229">
        <f t="shared" si="17"/>
        <v>50.947736716285675</v>
      </c>
      <c r="AL8" s="229">
        <f t="shared" si="18"/>
        <v>37.22762880509022</v>
      </c>
      <c r="AM8" s="229">
        <f t="shared" si="19"/>
        <v>50.949896166145919</v>
      </c>
      <c r="AN8" s="2">
        <f t="shared" si="32"/>
        <v>37.22762880509022</v>
      </c>
      <c r="AO8" s="3">
        <f t="shared" si="20"/>
        <v>17154.491353385572</v>
      </c>
      <c r="AP8" s="227">
        <f t="shared" si="27"/>
        <v>7.5140510375082637E-3</v>
      </c>
      <c r="AQ8" s="227">
        <f t="shared" si="33"/>
        <v>3.3588204555165521E-2</v>
      </c>
      <c r="AR8" s="231">
        <f t="shared" si="28"/>
        <v>6.3611161124630968E-7</v>
      </c>
      <c r="AS8" s="228">
        <f t="shared" si="34"/>
        <v>5.8836872088323243E-2</v>
      </c>
      <c r="AT8" s="232">
        <f t="shared" si="35"/>
        <v>-2.3312949048716838E-7</v>
      </c>
      <c r="AU8" s="165">
        <f t="shared" si="36"/>
        <v>0.16054089693494322</v>
      </c>
      <c r="AV8">
        <f t="shared" si="21"/>
        <v>1.175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2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3"/>
        <v>51.562539999999998</v>
      </c>
      <c r="W9" s="234">
        <f t="shared" si="24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5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26"/>
        <v>28805.701698005079</v>
      </c>
      <c r="AK9" s="229">
        <f t="shared" si="17"/>
        <v>62.512373476573522</v>
      </c>
      <c r="AL9" s="229">
        <f t="shared" si="18"/>
        <v>48.532752377346455</v>
      </c>
      <c r="AM9" s="229">
        <f t="shared" si="19"/>
        <v>62.50557022228562</v>
      </c>
      <c r="AN9" s="2">
        <f t="shared" si="32"/>
        <v>48.532752377346455</v>
      </c>
      <c r="AO9" s="3">
        <f t="shared" si="20"/>
        <v>22363.892295481248</v>
      </c>
      <c r="AP9" s="227">
        <f t="shared" si="27"/>
        <v>1.1167133895462537E-2</v>
      </c>
      <c r="AQ9" s="227">
        <f t="shared" si="33"/>
        <v>6.1248501107078315E-2</v>
      </c>
      <c r="AR9" s="231">
        <f t="shared" si="28"/>
        <v>7.3491237138375276E-7</v>
      </c>
      <c r="AS9" s="228">
        <f t="shared" si="34"/>
        <v>5.0926911781776205E-2</v>
      </c>
      <c r="AT9" s="232">
        <f t="shared" si="35"/>
        <v>-3.4460517050391823E-7</v>
      </c>
      <c r="AU9" s="165">
        <f t="shared" si="36"/>
        <v>0.10860782341154912</v>
      </c>
      <c r="AV9">
        <f t="shared" si="21"/>
        <v>1.6240000000000001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1.3888888888888888</v>
      </c>
      <c r="D10" s="73">
        <v>70</v>
      </c>
      <c r="E10" s="73">
        <v>1.6519999999999999</v>
      </c>
      <c r="F10" s="73">
        <v>12.12</v>
      </c>
      <c r="G10" s="73">
        <v>4.5</v>
      </c>
      <c r="H10" s="73">
        <v>2140</v>
      </c>
      <c r="I10" s="78">
        <v>2750</v>
      </c>
      <c r="J10" s="61"/>
      <c r="K10" s="2">
        <f t="shared" si="2"/>
        <v>54.54</v>
      </c>
      <c r="L10" s="1">
        <f t="shared" si="3"/>
        <v>70</v>
      </c>
      <c r="M10" s="234">
        <f t="shared" ref="M10:M13" si="37">LN(L10)</f>
        <v>4.2484952420493594</v>
      </c>
      <c r="N10" s="3">
        <f t="shared" si="5"/>
        <v>467.28971962616828</v>
      </c>
      <c r="O10" s="3">
        <f t="shared" si="5"/>
        <v>363.63636363636363</v>
      </c>
      <c r="P10" s="3">
        <f t="shared" si="6"/>
        <v>28037.383177570096</v>
      </c>
      <c r="Q10" s="3">
        <f t="shared" si="22"/>
        <v>21818.181818181816</v>
      </c>
      <c r="R10" s="3">
        <f t="shared" si="7"/>
        <v>60.845015576323995</v>
      </c>
      <c r="S10" s="3">
        <f t="shared" si="8"/>
        <v>47.348484848484844</v>
      </c>
      <c r="T10" s="3">
        <f t="shared" ref="T10:T13" si="38">L10</f>
        <v>70</v>
      </c>
      <c r="U10" s="158">
        <f t="shared" ref="U10:U13" si="39">K10</f>
        <v>54.54</v>
      </c>
      <c r="V10" s="229">
        <f t="shared" si="23"/>
        <v>54.30744</v>
      </c>
      <c r="W10" s="234">
        <f t="shared" si="24"/>
        <v>7.2827471803680002E-2</v>
      </c>
      <c r="X10" s="230">
        <f t="shared" si="29"/>
        <v>1.3642139121561076E-2</v>
      </c>
      <c r="Y10" s="230">
        <f t="shared" ref="Y10:Y13" si="40">X10-$X$3</f>
        <v>1.0679222927100863E-2</v>
      </c>
      <c r="Z10" s="228">
        <f t="shared" si="10"/>
        <v>0.99674407431185397</v>
      </c>
      <c r="AA10" s="229">
        <f t="shared" si="11"/>
        <v>9.7604585367043626</v>
      </c>
      <c r="AB10" s="2">
        <f t="shared" si="31"/>
        <v>17.895963580316028</v>
      </c>
      <c r="AC10" s="158">
        <f t="shared" si="12"/>
        <v>19.584683347012472</v>
      </c>
      <c r="AD10" s="175">
        <f t="shared" ref="AD10:AD14" si="41">AC10*1/1.6/1000*3600</f>
        <v>44.065537530778059</v>
      </c>
      <c r="AE10" s="175">
        <f t="shared" si="14"/>
        <v>62.831853071795855</v>
      </c>
      <c r="AF10" s="165">
        <f t="shared" ref="AF10:AF13" si="42">AE10/AC10</f>
        <v>3.208213886255173</v>
      </c>
      <c r="AG10" s="151"/>
      <c r="AH10" s="228">
        <f t="shared" si="15"/>
        <v>1.9444444444444444</v>
      </c>
      <c r="AI10" s="228">
        <f t="shared" si="16"/>
        <v>70</v>
      </c>
      <c r="AJ10" s="229">
        <f t="shared" si="26"/>
        <v>29305.513274460649</v>
      </c>
      <c r="AK10" s="229">
        <f t="shared" si="17"/>
        <v>63.597034015756613</v>
      </c>
      <c r="AL10" s="229">
        <f t="shared" si="18"/>
        <v>49.593072877124065</v>
      </c>
      <c r="AM10" s="229">
        <f t="shared" si="19"/>
        <v>63.589390139172011</v>
      </c>
      <c r="AN10" s="2">
        <f t="shared" si="32"/>
        <v>49.593072877124065</v>
      </c>
      <c r="AO10" s="3">
        <f t="shared" si="20"/>
        <v>22852.48798177877</v>
      </c>
      <c r="AP10" s="227">
        <f t="shared" si="27"/>
        <v>1.1536767392473356E-2</v>
      </c>
      <c r="AQ10" s="227">
        <f t="shared" ref="AQ10:AQ13" si="43">AJ10*AP10/5252</f>
        <v>6.4373741425074765E-2</v>
      </c>
      <c r="AR10" s="231">
        <f t="shared" si="28"/>
        <v>7.441790079399805E-7</v>
      </c>
      <c r="AS10" s="228">
        <f t="shared" si="34"/>
        <v>5.0292761695066343E-2</v>
      </c>
      <c r="AT10" s="232">
        <f t="shared" si="35"/>
        <v>-3.5227686291709615E-7</v>
      </c>
      <c r="AU10" s="165">
        <f t="shared" si="36"/>
        <v>0.10624262176878828</v>
      </c>
      <c r="AV10">
        <f t="shared" si="21"/>
        <v>1.6519999999999999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1.4388888888888889</v>
      </c>
      <c r="D11" s="73">
        <v>79</v>
      </c>
      <c r="E11" s="73">
        <v>1.786</v>
      </c>
      <c r="F11" s="73">
        <v>12.09</v>
      </c>
      <c r="G11" s="73">
        <v>5.32</v>
      </c>
      <c r="H11" s="73">
        <v>2020</v>
      </c>
      <c r="I11" s="78">
        <v>2560</v>
      </c>
      <c r="J11" s="61"/>
      <c r="K11" s="2">
        <f t="shared" si="2"/>
        <v>64.318799999999996</v>
      </c>
      <c r="L11" s="1">
        <f t="shared" si="3"/>
        <v>79</v>
      </c>
      <c r="M11" s="234">
        <f t="shared" si="37"/>
        <v>4.3694478524670215</v>
      </c>
      <c r="N11" s="3">
        <f t="shared" si="5"/>
        <v>495.04950495049508</v>
      </c>
      <c r="O11" s="3">
        <f t="shared" si="5"/>
        <v>390.62500000000006</v>
      </c>
      <c r="P11" s="3">
        <f t="shared" si="6"/>
        <v>29702.970297029704</v>
      </c>
      <c r="Q11" s="3">
        <f t="shared" si="22"/>
        <v>23437.500000000004</v>
      </c>
      <c r="R11" s="3">
        <f t="shared" si="7"/>
        <v>64.459570957095707</v>
      </c>
      <c r="S11" s="3">
        <f t="shared" si="8"/>
        <v>50.862630208333343</v>
      </c>
      <c r="T11" s="3">
        <f t="shared" si="38"/>
        <v>79</v>
      </c>
      <c r="U11" s="158">
        <f t="shared" si="39"/>
        <v>64.318799999999996</v>
      </c>
      <c r="V11" s="229">
        <f t="shared" si="23"/>
        <v>64.086239999999989</v>
      </c>
      <c r="W11" s="234">
        <f t="shared" si="24"/>
        <v>8.5941057737279988E-2</v>
      </c>
      <c r="X11" s="230">
        <f t="shared" si="29"/>
        <v>1.5195868652951881E-2</v>
      </c>
      <c r="Y11" s="230">
        <f t="shared" si="40"/>
        <v>1.2232952458491667E-2</v>
      </c>
      <c r="Z11" s="228">
        <f t="shared" si="10"/>
        <v>1.1851433231911994</v>
      </c>
      <c r="AA11" s="229">
        <f t="shared" si="11"/>
        <v>12.654676236558226</v>
      </c>
      <c r="AB11" s="2">
        <f t="shared" si="31"/>
        <v>19.674925895007721</v>
      </c>
      <c r="AC11" s="158">
        <f t="shared" si="12"/>
        <v>21.355520448756128</v>
      </c>
      <c r="AD11" s="175">
        <f t="shared" si="41"/>
        <v>48.049921009701286</v>
      </c>
      <c r="AE11" s="175">
        <f t="shared" si="14"/>
        <v>67.495154666968219</v>
      </c>
      <c r="AF11" s="163">
        <f t="shared" si="42"/>
        <v>3.1605483382588102</v>
      </c>
      <c r="AG11" s="159">
        <f>$M$42/($Q$28*$Q$37*$Q$34*($AC11-$Q$47)^2/4/$AF11)/(PI()*$Q$37/60/($AC11-$Q$47))</f>
        <v>-0.7892387267497728</v>
      </c>
      <c r="AH11" s="228">
        <f t="shared" si="15"/>
        <v>2.1944444444444446</v>
      </c>
      <c r="AI11" s="228">
        <f t="shared" si="16"/>
        <v>79.000000000000014</v>
      </c>
      <c r="AJ11" s="229">
        <f t="shared" si="26"/>
        <v>30685.647869613345</v>
      </c>
      <c r="AK11" s="229">
        <f t="shared" si="17"/>
        <v>66.592117772598399</v>
      </c>
      <c r="AL11" s="229">
        <f t="shared" si="18"/>
        <v>52.520946245064685</v>
      </c>
      <c r="AM11" s="229">
        <f t="shared" si="19"/>
        <v>66.582152677443091</v>
      </c>
      <c r="AN11" s="2">
        <f t="shared" si="32"/>
        <v>52.520946245064692</v>
      </c>
      <c r="AO11" s="3">
        <f t="shared" si="20"/>
        <v>24201.65202972581</v>
      </c>
      <c r="AP11" s="227">
        <f t="shared" si="27"/>
        <v>1.2581492065707436E-2</v>
      </c>
      <c r="AQ11" s="227">
        <f t="shared" si="43"/>
        <v>7.3509374562572838E-2</v>
      </c>
      <c r="AR11" s="231">
        <f t="shared" si="28"/>
        <v>7.6976706210761636E-7</v>
      </c>
      <c r="AS11" s="228">
        <f t="shared" si="34"/>
        <v>4.8620965155773209E-2</v>
      </c>
      <c r="AT11" s="232">
        <f t="shared" si="35"/>
        <v>-3.8584347943088994E-7</v>
      </c>
      <c r="AU11" s="165">
        <f t="shared" si="36"/>
        <v>9.7000000000000003E-2</v>
      </c>
      <c r="AV11">
        <f t="shared" si="21"/>
        <v>1.786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1.4666666666666668</v>
      </c>
      <c r="D12" s="73">
        <v>84</v>
      </c>
      <c r="E12" s="73">
        <v>1.8420000000000001</v>
      </c>
      <c r="F12" s="73">
        <v>12.08</v>
      </c>
      <c r="G12" s="73">
        <v>5.63</v>
      </c>
      <c r="H12" s="73">
        <v>1970</v>
      </c>
      <c r="I12" s="78">
        <v>2480</v>
      </c>
      <c r="J12" s="61"/>
      <c r="K12" s="2">
        <f t="shared" si="2"/>
        <v>68.010400000000004</v>
      </c>
      <c r="L12" s="1">
        <f t="shared" si="3"/>
        <v>84</v>
      </c>
      <c r="M12" s="234">
        <f t="shared" si="37"/>
        <v>4.4308167988433134</v>
      </c>
      <c r="N12" s="3">
        <f t="shared" si="5"/>
        <v>507.6142131979696</v>
      </c>
      <c r="O12" s="3">
        <f t="shared" si="5"/>
        <v>403.22580645161293</v>
      </c>
      <c r="P12" s="3">
        <f t="shared" si="6"/>
        <v>30456.852791878177</v>
      </c>
      <c r="Q12" s="3">
        <f t="shared" si="22"/>
        <v>24193.548387096776</v>
      </c>
      <c r="R12" s="3">
        <f t="shared" si="7"/>
        <v>66.095600676818961</v>
      </c>
      <c r="S12" s="3">
        <f t="shared" si="8"/>
        <v>52.503360215053767</v>
      </c>
      <c r="T12" s="3">
        <f t="shared" si="38"/>
        <v>84</v>
      </c>
      <c r="U12" s="158">
        <f t="shared" si="39"/>
        <v>68.010400000000004</v>
      </c>
      <c r="V12" s="229">
        <f t="shared" si="23"/>
        <v>67.777839999999998</v>
      </c>
      <c r="W12" s="234">
        <f t="shared" si="24"/>
        <v>9.0891574552480009E-2</v>
      </c>
      <c r="X12" s="230">
        <f t="shared" si="29"/>
        <v>1.5673403710212686E-2</v>
      </c>
      <c r="Y12" s="230">
        <f t="shared" si="40"/>
        <v>1.2710487515752471E-2</v>
      </c>
      <c r="Z12" s="228">
        <f t="shared" si="10"/>
        <v>1.2776923778889189</v>
      </c>
      <c r="AA12" s="229">
        <f t="shared" si="11"/>
        <v>14.165574197505515</v>
      </c>
      <c r="AB12" s="2">
        <f t="shared" si="31"/>
        <v>20.828541219439252</v>
      </c>
      <c r="AC12" s="158">
        <f t="shared" si="12"/>
        <v>22.173685063239933</v>
      </c>
      <c r="AD12" s="175">
        <f t="shared" si="41"/>
        <v>49.890791392289849</v>
      </c>
      <c r="AE12" s="175">
        <f t="shared" si="14"/>
        <v>69.672417720741393</v>
      </c>
      <c r="AF12" s="165">
        <f t="shared" si="42"/>
        <v>3.1421217322260069</v>
      </c>
      <c r="AG12" s="151"/>
      <c r="AH12" s="228">
        <f t="shared" si="15"/>
        <v>2.3333333333333335</v>
      </c>
      <c r="AI12" s="228">
        <f t="shared" si="16"/>
        <v>84</v>
      </c>
      <c r="AJ12" s="229">
        <f t="shared" si="26"/>
        <v>31385.900684906232</v>
      </c>
      <c r="AK12" s="229">
        <f t="shared" si="17"/>
        <v>68.111763639119431</v>
      </c>
      <c r="AL12" s="229">
        <f t="shared" si="18"/>
        <v>54.006490898406739</v>
      </c>
      <c r="AM12" s="229">
        <f t="shared" si="19"/>
        <v>68.100620803876481</v>
      </c>
      <c r="AN12" s="2">
        <f t="shared" si="32"/>
        <v>54.006490898406739</v>
      </c>
      <c r="AO12" s="3">
        <f t="shared" si="20"/>
        <v>24886.191005985827</v>
      </c>
      <c r="AP12" s="227">
        <f t="shared" si="27"/>
        <v>1.3125069263432491E-2</v>
      </c>
      <c r="AQ12" s="227">
        <f t="shared" si="43"/>
        <v>7.8435285678714314E-2</v>
      </c>
      <c r="AR12" s="231">
        <f t="shared" si="28"/>
        <v>7.8274993133767964E-7</v>
      </c>
      <c r="AS12" s="228">
        <f t="shared" si="34"/>
        <v>4.7814526717154492E-2</v>
      </c>
      <c r="AT12" s="232">
        <f t="shared" si="35"/>
        <v>-4.0135197416058161E-7</v>
      </c>
      <c r="AU12" s="165">
        <f t="shared" si="36"/>
        <v>9.3251858504181148E-2</v>
      </c>
      <c r="AV12">
        <f t="shared" si="21"/>
        <v>1.8420000000000001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ref="C13" si="44">D13/180+1</f>
        <v>1.6722222222222223</v>
      </c>
      <c r="D13" s="73">
        <v>121</v>
      </c>
      <c r="E13" s="73">
        <v>2.19</v>
      </c>
      <c r="F13" s="73">
        <v>11.97</v>
      </c>
      <c r="G13" s="73">
        <v>8.66</v>
      </c>
      <c r="H13" s="73">
        <v>1650</v>
      </c>
      <c r="I13" s="78">
        <v>2040</v>
      </c>
      <c r="J13" s="61"/>
      <c r="K13" s="2">
        <f t="shared" ref="K13" si="45">F13*G13</f>
        <v>103.6602</v>
      </c>
      <c r="L13" s="1">
        <f t="shared" ref="L13" si="46">D13</f>
        <v>121</v>
      </c>
      <c r="M13" s="234">
        <f t="shared" si="37"/>
        <v>4.7957905455967413</v>
      </c>
      <c r="N13" s="3">
        <f t="shared" ref="N13" si="47">1/H13/0.000001</f>
        <v>606.06060606060612</v>
      </c>
      <c r="O13" s="3">
        <f t="shared" ref="O13" si="48">1/I13/0.000001</f>
        <v>490.19607843137254</v>
      </c>
      <c r="P13" s="3">
        <f t="shared" si="6"/>
        <v>36363.636363636368</v>
      </c>
      <c r="Q13" s="3">
        <f t="shared" si="22"/>
        <v>29411.764705882353</v>
      </c>
      <c r="R13" s="3">
        <f t="shared" si="7"/>
        <v>78.914141414141426</v>
      </c>
      <c r="S13" s="3">
        <f t="shared" si="8"/>
        <v>63.827614379084963</v>
      </c>
      <c r="T13" s="3">
        <f t="shared" si="38"/>
        <v>121</v>
      </c>
      <c r="U13" s="158">
        <f t="shared" si="39"/>
        <v>103.6602</v>
      </c>
      <c r="V13" s="229">
        <f t="shared" si="23"/>
        <v>103.42764</v>
      </c>
      <c r="W13" s="234">
        <f t="shared" si="24"/>
        <v>0.13869874064807999</v>
      </c>
      <c r="X13" s="230">
        <f t="shared" si="29"/>
        <v>2.0032259111802193E-2</v>
      </c>
      <c r="Y13" s="230">
        <f t="shared" si="40"/>
        <v>1.7069342917341978E-2</v>
      </c>
      <c r="Z13" s="228">
        <f t="shared" si="10"/>
        <v>2.174568786090711</v>
      </c>
      <c r="AA13" s="229">
        <f t="shared" si="11"/>
        <v>31.452447925513269</v>
      </c>
      <c r="AB13" s="2">
        <f t="shared" ref="AB13" si="49">AA13/U13*100</f>
        <v>30.341874630295202</v>
      </c>
      <c r="AC13" s="158">
        <f t="shared" si="12"/>
        <v>28.927526346091174</v>
      </c>
      <c r="AD13" s="175">
        <f t="shared" si="41"/>
        <v>65.086934278705144</v>
      </c>
      <c r="AE13" s="175">
        <f t="shared" si="14"/>
        <v>84.699801935018925</v>
      </c>
      <c r="AF13" s="165">
        <f t="shared" si="42"/>
        <v>2.9280001657128891</v>
      </c>
      <c r="AG13" s="151"/>
      <c r="AH13" s="228">
        <f t="shared" si="15"/>
        <v>3.3611111111111116</v>
      </c>
      <c r="AI13" s="228">
        <f t="shared" si="16"/>
        <v>121.00000000000001</v>
      </c>
      <c r="AJ13" s="229">
        <f t="shared" si="26"/>
        <v>35550.448208746602</v>
      </c>
      <c r="AK13" s="229">
        <f t="shared" si="17"/>
        <v>77.149410175231338</v>
      </c>
      <c r="AL13" s="229">
        <f t="shared" si="18"/>
        <v>62.841330505645359</v>
      </c>
      <c r="AM13" s="229">
        <f t="shared" si="19"/>
        <v>77.131263077444089</v>
      </c>
      <c r="AN13" s="2">
        <f t="shared" si="32"/>
        <v>62.841330505645359</v>
      </c>
      <c r="AO13" s="3">
        <f t="shared" si="20"/>
        <v>28957.285097001382</v>
      </c>
      <c r="AP13" s="227">
        <f t="shared" si="27"/>
        <v>1.6545644643880052E-2</v>
      </c>
      <c r="AQ13" s="227">
        <f t="shared" si="43"/>
        <v>0.11199639813263201</v>
      </c>
      <c r="AR13" s="231">
        <f t="shared" si="28"/>
        <v>8.5996172502649084E-7</v>
      </c>
      <c r="AS13" s="228">
        <f t="shared" si="34"/>
        <v>4.3521492196229319E-2</v>
      </c>
      <c r="AT13" s="232">
        <f t="shared" si="35"/>
        <v>-5.2937255838782245E-7</v>
      </c>
      <c r="AU13" s="165">
        <f t="shared" si="36"/>
        <v>7.0700335542094997E-2</v>
      </c>
      <c r="AV13">
        <f t="shared" si="21"/>
        <v>2.19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2.66</v>
      </c>
      <c r="F14" s="80">
        <v>11.7</v>
      </c>
      <c r="G14" s="80">
        <v>14.72</v>
      </c>
      <c r="H14" s="80">
        <v>1360</v>
      </c>
      <c r="I14" s="81">
        <v>1620</v>
      </c>
      <c r="J14" s="61"/>
      <c r="K14" s="2">
        <f t="shared" si="2"/>
        <v>172.22399999999999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617.28395061728395</v>
      </c>
      <c r="P14" s="3">
        <f t="shared" si="6"/>
        <v>44117.647058823532</v>
      </c>
      <c r="Q14" s="3">
        <f t="shared" si="22"/>
        <v>37037.037037037036</v>
      </c>
      <c r="R14" s="3">
        <f t="shared" si="7"/>
        <v>95.741421568627459</v>
      </c>
      <c r="S14" s="3">
        <f t="shared" si="8"/>
        <v>80.375514403292172</v>
      </c>
      <c r="T14" s="3">
        <f t="shared" si="9"/>
        <v>175</v>
      </c>
      <c r="U14" s="158">
        <f t="shared" si="0"/>
        <v>172.22399999999999</v>
      </c>
      <c r="V14" s="229">
        <f t="shared" si="23"/>
        <v>171.99143999999998</v>
      </c>
      <c r="W14" s="234">
        <f t="shared" si="24"/>
        <v>0.23064430485168</v>
      </c>
      <c r="X14" s="230">
        <f t="shared" si="29"/>
        <v>2.7457128152503195E-2</v>
      </c>
      <c r="Y14" s="230">
        <f t="shared" si="30"/>
        <v>2.449421195804298E-2</v>
      </c>
      <c r="Z14" s="163">
        <f>C34/0.224</f>
        <v>4.4249528005034611</v>
      </c>
      <c r="AA14" s="229">
        <f t="shared" si="11"/>
        <v>91.297248929319878</v>
      </c>
      <c r="AB14" s="2">
        <f>AA14/U14*100</f>
        <v>53.010758622096731</v>
      </c>
      <c r="AC14" s="158">
        <f t="shared" si="12"/>
        <v>41.264733453849395</v>
      </c>
      <c r="AD14" s="175">
        <f t="shared" si="41"/>
        <v>92.845650271161119</v>
      </c>
      <c r="AE14" s="175">
        <f t="shared" si="14"/>
        <v>106.65900984409792</v>
      </c>
      <c r="AF14" s="165">
        <f t="shared" si="25"/>
        <v>2.5847497588560868</v>
      </c>
      <c r="AG14" s="151"/>
      <c r="AH14" s="228">
        <f t="shared" si="15"/>
        <v>4.8611111111111107</v>
      </c>
      <c r="AI14" s="228">
        <f t="shared" si="16"/>
        <v>174.99999999999997</v>
      </c>
      <c r="AJ14" s="229">
        <f t="shared" si="26"/>
        <v>39760.88529090982</v>
      </c>
      <c r="AK14" s="229">
        <f t="shared" si="17"/>
        <v>86.286643426453608</v>
      </c>
      <c r="AL14" s="229">
        <f t="shared" si="18"/>
        <v>71.773522078519733</v>
      </c>
      <c r="AM14" s="229">
        <f t="shared" si="19"/>
        <v>86.261414885464902</v>
      </c>
      <c r="AN14" s="2">
        <f t="shared" si="32"/>
        <v>71.773522078519733</v>
      </c>
      <c r="AO14" s="3">
        <f t="shared" si="20"/>
        <v>33073.238973781896</v>
      </c>
      <c r="AP14" s="227">
        <f t="shared" si="27"/>
        <v>2.0330798208909043E-2</v>
      </c>
      <c r="AQ14" s="227">
        <f t="shared" si="33"/>
        <v>0.15391670515176453</v>
      </c>
      <c r="AR14" s="231">
        <f t="shared" si="28"/>
        <v>9.3802432305584826E-7</v>
      </c>
      <c r="AS14" s="228">
        <f t="shared" si="34"/>
        <v>3.9899623692986053E-2</v>
      </c>
      <c r="AT14" s="232">
        <f t="shared" si="35"/>
        <v>-7.6322710064335212E-7</v>
      </c>
      <c r="AU14" s="165">
        <f t="shared" si="36"/>
        <v>4.9037589825161987E-2</v>
      </c>
      <c r="AV14">
        <f t="shared" si="21"/>
        <v>2.66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E26" s="61"/>
      <c r="F26" s="189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E27" s="61"/>
      <c r="F27" s="189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E28" s="61"/>
      <c r="F28" s="61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E29" s="61"/>
      <c r="F29" s="61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E30" s="61"/>
      <c r="F30" s="61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E31" s="61"/>
      <c r="F31" s="6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E32" s="61"/>
      <c r="F32" s="61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E33" s="61"/>
      <c r="F33" s="61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E34" s="61"/>
      <c r="F34" s="61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E35" s="61"/>
      <c r="F35" s="61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E36" s="61"/>
      <c r="F36" s="61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298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 t="shared" ref="J40:J45" si="50">(I40*$Q$31*$R$44+$Q$44)/$Q$31</f>
        <v>82.678872733117615</v>
      </c>
      <c r="K40" s="242">
        <v>0</v>
      </c>
      <c r="L40" s="213"/>
      <c r="M40" s="216"/>
      <c r="P40" s="226" t="s">
        <v>302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50"/>
        <v>76.271286533659634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205">
        <f>INDEX(LINEST($Q$4:$Q$14,$E$4:$E$14^{1,2},FALSE,FALSE),2)</f>
        <v>12893.709749551415</v>
      </c>
      <c r="S41" s="205">
        <f>INDEX(LINEST($Q$4:$Q$14,$E$4:$E$14^{1,2},FALSE,FALSE),1)</f>
        <v>287.50205106228083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50"/>
        <v>61.961010688203459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291</v>
      </c>
      <c r="P42" s="65" t="s">
        <v>21</v>
      </c>
      <c r="Q42" s="205">
        <f>INDEX(LINEST($P$3:$P$14,$M$3:$M$14),2)</f>
        <v>-19172.11147995084</v>
      </c>
      <c r="R42" s="67">
        <f>INDEX(LINEST($P$3:$P$14,$M$3:$M$14),1)</f>
        <v>11410.539965916778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50"/>
        <v>38.451271799239713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-5795.4026336742536</v>
      </c>
      <c r="R43" s="69">
        <f>INDEX(LINEST($Q$4:$Q$14,$P$4:$P$14),1)</f>
        <v>0.97755976314597659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50"/>
        <v>29.251808755732167</v>
      </c>
      <c r="K44" s="243">
        <v>0.442</v>
      </c>
      <c r="L44" s="61"/>
      <c r="M44" s="250"/>
      <c r="P44" s="65" t="s">
        <v>123</v>
      </c>
      <c r="Q44" s="205">
        <f>INDEX(LINEST($P$4:$P$14,$Q$4:$Q$14),2)</f>
        <v>5943.0333494000006</v>
      </c>
      <c r="R44" s="69">
        <f>INDEX(LINEST($P$4:$P$14,$Q$4:$Q$14),1)</f>
        <v>1.0221625603897275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50"/>
        <v>25.809429036226117</v>
      </c>
      <c r="K45" s="246">
        <v>0.5</v>
      </c>
      <c r="L45" s="255"/>
      <c r="M45" s="256"/>
      <c r="P45" s="65" t="s">
        <v>180</v>
      </c>
      <c r="Q45" s="206">
        <f>AG11</f>
        <v>-0.7892387267497728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3.1605483382588102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1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-2.3104712629624284E-3</v>
      </c>
      <c r="K48" s="180">
        <f>INDEX(LINEST($Y$3:$Y$14,$P$3:$P$14^{1,2}),2)</f>
        <v>2.0084717370369411E-7</v>
      </c>
      <c r="L48" s="180">
        <f>INDEX(LINEST($Y$3:$Y$14,$P$3:$P$14^{1,2}),1)</f>
        <v>9.2701299777232133E-12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51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51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51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51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51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51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B25" zoomScale="70" zoomScaleNormal="70" workbookViewId="0">
      <selection activeCell="T19" sqref="T19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1.0441660832977144</v>
      </c>
      <c r="D2" s="262">
        <f>EXP((0-$Q$41)/$R$41)</f>
        <v>7.9498949935886039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7.9498949935886039</v>
      </c>
      <c r="M2" s="234">
        <f t="shared" ref="M2:M13" si="4">LN(L2)</f>
        <v>2.0731587202253747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7.9498949935886039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0.22083041648857232</v>
      </c>
      <c r="AI2" s="228">
        <f t="shared" ref="AI2:AI13" si="16">AH2/$Q$23*$Q$31</f>
        <v>7.9498949935886039</v>
      </c>
      <c r="AJ2" s="229">
        <f t="shared" ref="AJ2:AJ13" si="17">MAX(($Q$41+$R$41*LN($AI2)),0)</f>
        <v>3.637978807091713E-12</v>
      </c>
      <c r="AK2" s="229">
        <f t="shared" ref="AK2:AK13" si="18">MAX(($Q$41+$R$41*LN(AI2))/$Q$30,0)</f>
        <v>7.8949192862233357E-15</v>
      </c>
      <c r="AL2" s="229">
        <f t="shared" ref="AL2:AL13" si="19">($Q$42+$R$42*AK2*$Q$30)/$Q$30</f>
        <v>-13.201529283470483</v>
      </c>
      <c r="AM2" s="229">
        <f t="shared" ref="AM2:AM13" si="20">($Q$43+$R$43*AL2*$Q$30)/$Q$30</f>
        <v>0.11926731804567343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91.219531068171435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15314.253530953289</v>
      </c>
      <c r="S40" s="67">
        <f>INDEX(LINEST($Q$5:$Q$13,$E$5:$E$13^{1,2},FALSE,FALSE),1)</f>
        <v>-894.0414950797807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16" zoomScale="90" zoomScaleNormal="90" workbookViewId="0">
      <selection activeCell="K39" sqref="K39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34" zoomScale="90" zoomScaleNormal="90" workbookViewId="0">
      <selection activeCell="K39" sqref="K39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1.050360410369428</v>
      </c>
      <c r="D2" s="262">
        <f>EXP((0-$Q$42)/$R$42)</f>
        <v>9.0648738664970399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9.0648738664970399</v>
      </c>
      <c r="M2" s="234">
        <f t="shared" ref="M2:M14" si="4">LN(L2)</f>
        <v>2.2044069297688109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9.0648738664970399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0.25180205184714</v>
      </c>
      <c r="AI2" s="228">
        <f t="shared" ref="AI2:AI15" si="15">AH2/$Q$24*$Q$32</f>
        <v>9.0648738664970399</v>
      </c>
      <c r="AJ2" s="229">
        <f t="shared" ref="AJ2:AJ15" si="16">MAX(($Q$42+$R$42*LN($AI2)),0)</f>
        <v>0</v>
      </c>
      <c r="AK2" s="229">
        <f t="shared" ref="AK2:AK15" si="17">MAX(($Q$42+$R$42*LN(AI2))/$Q$31,0)</f>
        <v>0</v>
      </c>
      <c r="AL2" s="229">
        <f t="shared" ref="AL2:AL15" si="18">($Q$43+$R$43*AK2*$Q$31)/$Q$31</f>
        <v>-16.146309454223807</v>
      </c>
      <c r="AM2" s="229">
        <f t="shared" ref="AM2:AM15" si="19">($Q$44+$R$44*AL2*$Q$31)/$Q$31</f>
        <v>0.24761795835338773</v>
      </c>
      <c r="AN2" s="1"/>
      <c r="AO2" s="1">
        <f t="shared" ref="AO2:AO15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301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 t="shared" ref="J40:J45" si="34">(I40*$Q$31*$R$44+$Q$44)/$Q$31</f>
        <v>88.255918890989349</v>
      </c>
      <c r="K40" s="242">
        <v>0</v>
      </c>
      <c r="L40" s="213"/>
      <c r="M40" s="216"/>
      <c r="P40" s="226" t="s">
        <v>295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291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3320312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32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2017-01-05T09:50:18Z</dcterms:modified>
</cp:coreProperties>
</file>