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Turnigy" sheetId="3" r:id="rId1"/>
    <sheet name="CalArduinoHiTec" sheetId="1" r:id="rId2"/>
    <sheet name="CalPhotonHiTec" sheetId="2" r:id="rId3"/>
  </sheets>
  <calcPr calcId="152511"/>
</workbook>
</file>

<file path=xl/calcChain.xml><?xml version="1.0" encoding="utf-8"?>
<calcChain xmlns="http://schemas.openxmlformats.org/spreadsheetml/2006/main">
  <c r="W50" i="3" l="1"/>
  <c r="W49" i="3"/>
  <c r="AC11" i="3"/>
  <c r="AD11" i="3" s="1"/>
  <c r="N11" i="3"/>
  <c r="P11" i="3" s="1"/>
  <c r="M11" i="3"/>
  <c r="O11" i="3" s="1"/>
  <c r="K11" i="3"/>
  <c r="L11" i="3" s="1"/>
  <c r="J11" i="3"/>
  <c r="T11" i="3" s="1"/>
  <c r="U11" i="3" s="1"/>
  <c r="B11" i="3"/>
  <c r="AA35" i="3"/>
  <c r="M24" i="3"/>
  <c r="O24" i="3" s="1"/>
  <c r="L24" i="3"/>
  <c r="K24" i="3"/>
  <c r="S24" i="3" s="1"/>
  <c r="J24" i="3"/>
  <c r="T24" i="3" s="1"/>
  <c r="U24" i="3" s="1"/>
  <c r="M23" i="3"/>
  <c r="O23" i="3" s="1"/>
  <c r="K23" i="3"/>
  <c r="L23" i="3" s="1"/>
  <c r="J23" i="3"/>
  <c r="T23" i="3" s="1"/>
  <c r="U23" i="3" s="1"/>
  <c r="M22" i="3"/>
  <c r="O22" i="3" s="1"/>
  <c r="K22" i="3"/>
  <c r="L22" i="3" s="1"/>
  <c r="J22" i="3"/>
  <c r="T22" i="3" s="1"/>
  <c r="U22" i="3" s="1"/>
  <c r="M21" i="3"/>
  <c r="O21" i="3" s="1"/>
  <c r="K21" i="3"/>
  <c r="L21" i="3" s="1"/>
  <c r="J21" i="3"/>
  <c r="T21" i="3" s="1"/>
  <c r="U21" i="3" s="1"/>
  <c r="M20" i="3"/>
  <c r="O20" i="3" s="1"/>
  <c r="K20" i="3"/>
  <c r="S20" i="3" s="1"/>
  <c r="J20" i="3"/>
  <c r="T20" i="3" s="1"/>
  <c r="U20" i="3" s="1"/>
  <c r="M19" i="3"/>
  <c r="O19" i="3" s="1"/>
  <c r="K19" i="3"/>
  <c r="S19" i="3" s="1"/>
  <c r="J19" i="3"/>
  <c r="T19" i="3" s="1"/>
  <c r="U19" i="3" s="1"/>
  <c r="M18" i="3"/>
  <c r="O18" i="3" s="1"/>
  <c r="K18" i="3"/>
  <c r="L18" i="3" s="1"/>
  <c r="J18" i="3"/>
  <c r="T18" i="3" s="1"/>
  <c r="U18" i="3" s="1"/>
  <c r="M17" i="3"/>
  <c r="O17" i="3" s="1"/>
  <c r="K17" i="3"/>
  <c r="L17" i="3" s="1"/>
  <c r="J17" i="3"/>
  <c r="T17" i="3" s="1"/>
  <c r="U17" i="3" s="1"/>
  <c r="O16" i="3"/>
  <c r="M16" i="3"/>
  <c r="K16" i="3"/>
  <c r="L16" i="3" s="1"/>
  <c r="J16" i="3"/>
  <c r="T16" i="3" s="1"/>
  <c r="U16" i="3" s="1"/>
  <c r="B24" i="3"/>
  <c r="B23" i="3"/>
  <c r="B22" i="3"/>
  <c r="B21" i="3"/>
  <c r="B20" i="3"/>
  <c r="B19" i="3"/>
  <c r="B18" i="3"/>
  <c r="B17" i="3"/>
  <c r="B16" i="3"/>
  <c r="V11" i="3" l="1"/>
  <c r="W11" i="3" s="1"/>
  <c r="Y11" i="3" s="1"/>
  <c r="Z11" i="3" s="1"/>
  <c r="AA11" i="3" s="1"/>
  <c r="V20" i="3"/>
  <c r="W20" i="3" s="1"/>
  <c r="Y20" i="3" s="1"/>
  <c r="Z20" i="3" s="1"/>
  <c r="AA20" i="3" s="1"/>
  <c r="S11" i="3"/>
  <c r="L19" i="3"/>
  <c r="L20" i="3"/>
  <c r="V17" i="3"/>
  <c r="W17" i="3" s="1"/>
  <c r="Y17" i="3" s="1"/>
  <c r="Z17" i="3" s="1"/>
  <c r="AA17" i="3" s="1"/>
  <c r="V24" i="3"/>
  <c r="W24" i="3" s="1"/>
  <c r="Y24" i="3" s="1"/>
  <c r="Z24" i="3" s="1"/>
  <c r="AA24" i="3" s="1"/>
  <c r="V21" i="3"/>
  <c r="W21" i="3" s="1"/>
  <c r="Y21" i="3" s="1"/>
  <c r="Z21" i="3" s="1"/>
  <c r="AA21" i="3" s="1"/>
  <c r="V16" i="3"/>
  <c r="W16" i="3" s="1"/>
  <c r="Y16" i="3" s="1"/>
  <c r="Z16" i="3" s="1"/>
  <c r="AA16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V19" i="3"/>
  <c r="W19" i="3" s="1"/>
  <c r="Y19" i="3" s="1"/>
  <c r="Z19" i="3" s="1"/>
  <c r="AA19" i="3" s="1"/>
  <c r="V23" i="3"/>
  <c r="W23" i="3" s="1"/>
  <c r="Y23" i="3" s="1"/>
  <c r="Z23" i="3" s="1"/>
  <c r="AA23" i="3" s="1"/>
  <c r="S17" i="3"/>
  <c r="S21" i="3"/>
  <c r="S18" i="3"/>
  <c r="S22" i="3"/>
  <c r="S23" i="3"/>
  <c r="S16" i="3"/>
  <c r="AC9" i="3"/>
  <c r="AD9" i="3" s="1"/>
  <c r="N9" i="3"/>
  <c r="P9" i="3" s="1"/>
  <c r="M9" i="3"/>
  <c r="O9" i="3" s="1"/>
  <c r="K9" i="3"/>
  <c r="L9" i="3" s="1"/>
  <c r="J9" i="3"/>
  <c r="T9" i="3" s="1"/>
  <c r="U9" i="3" s="1"/>
  <c r="B9" i="3"/>
  <c r="V9" i="3" l="1"/>
  <c r="W9" i="3" s="1"/>
  <c r="Y9" i="3" s="1"/>
  <c r="Z9" i="3" s="1"/>
  <c r="AA9" i="3" s="1"/>
  <c r="S9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S6" i="3" l="1"/>
  <c r="L8" i="3"/>
  <c r="V8" i="3"/>
  <c r="W8" i="3" s="1"/>
  <c r="Y8" i="3" s="1"/>
  <c r="Z8" i="3" s="1"/>
  <c r="AA8" i="3" s="1"/>
  <c r="V6" i="3"/>
  <c r="W6" i="3" s="1"/>
  <c r="P14" i="3" l="1"/>
  <c r="T14" i="3"/>
  <c r="U14" i="3" s="1"/>
  <c r="K2" i="3"/>
  <c r="S2" i="3" s="1"/>
  <c r="B2" i="3"/>
  <c r="T3" i="3"/>
  <c r="U3" i="3" s="1"/>
  <c r="T2" i="3"/>
  <c r="U2" i="3" s="1"/>
  <c r="B14" i="3"/>
  <c r="K14" i="3"/>
  <c r="L14" i="3" s="1"/>
  <c r="J12" i="3"/>
  <c r="T12" i="3" s="1"/>
  <c r="U12" i="3" s="1"/>
  <c r="B5" i="3"/>
  <c r="B7" i="3"/>
  <c r="B10" i="3"/>
  <c r="B12" i="3"/>
  <c r="B13" i="3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D33" i="3"/>
  <c r="AD32" i="3"/>
  <c r="AD30" i="3"/>
  <c r="W35" i="3"/>
  <c r="AD29" i="3"/>
  <c r="AD28" i="3"/>
  <c r="AD27" i="3"/>
  <c r="AC5" i="3" s="1"/>
  <c r="AD5" i="3" s="1"/>
  <c r="N13" i="3"/>
  <c r="P13" i="3" s="1"/>
  <c r="M13" i="3"/>
  <c r="O13" i="3" s="1"/>
  <c r="K13" i="3"/>
  <c r="S13" i="3" s="1"/>
  <c r="J13" i="3"/>
  <c r="T13" i="3" s="1"/>
  <c r="U13" i="3" s="1"/>
  <c r="N12" i="3"/>
  <c r="P12" i="3" s="1"/>
  <c r="M12" i="3"/>
  <c r="O12" i="3" s="1"/>
  <c r="K12" i="3"/>
  <c r="S12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Q11" i="3" l="1"/>
  <c r="R11" i="3"/>
  <c r="Q21" i="3"/>
  <c r="Q20" i="3"/>
  <c r="Q24" i="3"/>
  <c r="Q23" i="3"/>
  <c r="Q22" i="3"/>
  <c r="Q16" i="3"/>
  <c r="Q19" i="3"/>
  <c r="Q18" i="3"/>
  <c r="Q17" i="3"/>
  <c r="Q9" i="3"/>
  <c r="R9" i="3"/>
  <c r="Z47" i="3"/>
  <c r="AD37" i="3" s="1"/>
  <c r="W46" i="3"/>
  <c r="Z46" i="3"/>
  <c r="W47" i="3"/>
  <c r="AE34" i="3" s="1"/>
  <c r="W48" i="3"/>
  <c r="AD34" i="3" s="1"/>
  <c r="Z48" i="3"/>
  <c r="AE36" i="3" s="1"/>
  <c r="Z49" i="3"/>
  <c r="V10" i="3"/>
  <c r="W10" i="3" s="1"/>
  <c r="Y10" i="3" s="1"/>
  <c r="Z10" i="3" s="1"/>
  <c r="AA10" i="3" s="1"/>
  <c r="AC14" i="3"/>
  <c r="AD14" i="3" s="1"/>
  <c r="AD31" i="3"/>
  <c r="Q6" i="3"/>
  <c r="R8" i="3"/>
  <c r="Q8" i="3"/>
  <c r="R6" i="3"/>
  <c r="AC10" i="3"/>
  <c r="AD10" i="3" s="1"/>
  <c r="AC8" i="3"/>
  <c r="AD8" i="3" s="1"/>
  <c r="AC6" i="3"/>
  <c r="AD6" i="3" s="1"/>
  <c r="AC7" i="3"/>
  <c r="AD7" i="3" s="1"/>
  <c r="Q10" i="3"/>
  <c r="Q2" i="3"/>
  <c r="R14" i="3"/>
  <c r="AC13" i="3"/>
  <c r="AD13" i="3" s="1"/>
  <c r="R3" i="3"/>
  <c r="AC12" i="3"/>
  <c r="AD12" i="3" s="1"/>
  <c r="Q3" i="3"/>
  <c r="R2" i="3"/>
  <c r="L2" i="3"/>
  <c r="AC4" i="3"/>
  <c r="AD4" i="3" s="1"/>
  <c r="AC2" i="3"/>
  <c r="AD2" i="3" s="1"/>
  <c r="S14" i="3"/>
  <c r="L13" i="3"/>
  <c r="L12" i="3"/>
  <c r="L10" i="3"/>
  <c r="L4" i="3"/>
  <c r="L7" i="3"/>
  <c r="R4" i="3"/>
  <c r="R10" i="3"/>
  <c r="V7" i="3"/>
  <c r="W7" i="3" s="1"/>
  <c r="Y7" i="3" s="1"/>
  <c r="Z7" i="3" s="1"/>
  <c r="V12" i="3"/>
  <c r="W12" i="3" s="1"/>
  <c r="Y12" i="3" s="1"/>
  <c r="Z12" i="3" s="1"/>
  <c r="AA12" i="3" s="1"/>
  <c r="V5" i="3"/>
  <c r="W5" i="3" s="1"/>
  <c r="V13" i="3"/>
  <c r="W13" i="3" s="1"/>
  <c r="V4" i="3"/>
  <c r="W4" i="3" s="1"/>
  <c r="Q5" i="3"/>
  <c r="R7" i="3"/>
  <c r="Q12" i="3"/>
  <c r="Q7" i="3"/>
  <c r="R12" i="3"/>
  <c r="R13" i="3"/>
  <c r="S5" i="3"/>
  <c r="Q4" i="3"/>
  <c r="R5" i="3"/>
  <c r="Q13" i="3"/>
  <c r="B2" i="2"/>
  <c r="N3" i="2"/>
  <c r="P3" i="2" s="1"/>
  <c r="M3" i="2"/>
  <c r="O3" i="2" s="1"/>
  <c r="L3" i="2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AF34" i="3" l="1"/>
  <c r="AD36" i="3"/>
  <c r="Z39" i="3"/>
  <c r="Z41" i="3" s="1"/>
  <c r="AE37" i="3"/>
  <c r="AA7" i="3"/>
  <c r="Q3" i="2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2" i="3" l="1"/>
  <c r="AD35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AH22" i="2" s="1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E35" i="3" l="1"/>
  <c r="AF14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F11" i="3" l="1"/>
  <c r="AE11" i="3"/>
  <c r="AF9" i="3"/>
  <c r="AE9" i="3"/>
  <c r="AE4" i="3"/>
  <c r="AF2" i="3"/>
  <c r="AG2" i="3" s="1"/>
  <c r="AH2" i="3" s="1"/>
  <c r="AE12" i="3"/>
  <c r="AE8" i="3"/>
  <c r="AE10" i="3"/>
  <c r="AE14" i="3"/>
  <c r="AE7" i="3"/>
  <c r="AE13" i="3"/>
  <c r="AE2" i="3"/>
  <c r="AE6" i="3"/>
  <c r="AE5" i="3"/>
  <c r="AF6" i="3"/>
  <c r="AF8" i="3"/>
  <c r="AF10" i="3"/>
  <c r="AG10" i="3" s="1"/>
  <c r="AH10" i="3" s="1"/>
  <c r="AF4" i="3"/>
  <c r="AG4" i="3" s="1"/>
  <c r="AH4" i="3" s="1"/>
  <c r="AF12" i="3"/>
  <c r="AG12" i="3" s="1"/>
  <c r="AH12" i="3" s="1"/>
  <c r="C3" i="3"/>
  <c r="AC3" i="3" s="1"/>
  <c r="AD3" i="3" s="1"/>
  <c r="AF7" i="3"/>
  <c r="AG7" i="3" s="1"/>
  <c r="AH7" i="3" s="1"/>
  <c r="AF5" i="3"/>
  <c r="AG5" i="3" s="1"/>
  <c r="AH5" i="3" s="1"/>
  <c r="AF13" i="3"/>
  <c r="AG13" i="3" s="1"/>
  <c r="AH13" i="3" s="1"/>
  <c r="AG14" i="3"/>
  <c r="AH14" i="3" s="1"/>
  <c r="W52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I11" i="3" l="1"/>
  <c r="AG11" i="3"/>
  <c r="AH11" i="3" s="1"/>
  <c r="AI2" i="3"/>
  <c r="AI9" i="3"/>
  <c r="AG9" i="3"/>
  <c r="AH9" i="3" s="1"/>
  <c r="AI13" i="3"/>
  <c r="AF3" i="3"/>
  <c r="AG3" i="3" s="1"/>
  <c r="AH3" i="3" s="1"/>
  <c r="AE3" i="3"/>
  <c r="AI10" i="3"/>
  <c r="AI8" i="3"/>
  <c r="AG8" i="3"/>
  <c r="AH8" i="3" s="1"/>
  <c r="AG6" i="3"/>
  <c r="AH6" i="3" s="1"/>
  <c r="AI6" i="3"/>
  <c r="K3" i="3"/>
  <c r="S3" i="3" s="1"/>
  <c r="B3" i="3"/>
  <c r="AI12" i="3"/>
  <c r="AI5" i="3"/>
  <c r="AI4" i="3"/>
  <c r="AI7" i="3"/>
  <c r="O14" i="3"/>
  <c r="Q14" i="3" s="1"/>
  <c r="AI14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I3" i="3" l="1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U2" i="1" s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AF7" i="1" l="1"/>
  <c r="AF9" i="1"/>
  <c r="AF6" i="1"/>
  <c r="AF5" i="1"/>
  <c r="AF4" i="1"/>
  <c r="AI29" i="1"/>
  <c r="AF2" i="1" s="1"/>
  <c r="AD28" i="2"/>
  <c r="AH27" i="2" s="1"/>
  <c r="AI27" i="2"/>
  <c r="T2" i="2"/>
  <c r="AA35" i="2"/>
  <c r="U3" i="2" s="1"/>
  <c r="AA36" i="2"/>
  <c r="AH26" i="2" s="1"/>
  <c r="U5" i="1"/>
  <c r="U7" i="1"/>
  <c r="U3" i="1"/>
  <c r="U6" i="1"/>
  <c r="U8" i="1"/>
  <c r="U9" i="1"/>
  <c r="U4" i="1"/>
  <c r="AF3" i="1" l="1"/>
  <c r="AF8" i="1"/>
  <c r="AI26" i="2"/>
  <c r="U7" i="2"/>
  <c r="U8" i="2"/>
  <c r="U5" i="2"/>
  <c r="U9" i="2"/>
  <c r="U4" i="2"/>
  <c r="U6" i="2"/>
  <c r="U2" i="2"/>
</calcChain>
</file>

<file path=xl/sharedStrings.xml><?xml version="1.0" encoding="utf-8"?>
<sst xmlns="http://schemas.openxmlformats.org/spreadsheetml/2006/main" count="248" uniqueCount="89">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</sst>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E+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7168"/>
        <c:axId val="137647560"/>
      </c:scatterChart>
      <c:valAx>
        <c:axId val="1376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7560"/>
        <c:crosses val="autoZero"/>
        <c:crossBetween val="midCat"/>
      </c:valAx>
      <c:valAx>
        <c:axId val="1376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1008"/>
        <c:axId val="208967784"/>
      </c:scatterChart>
      <c:valAx>
        <c:axId val="20916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8967784"/>
        <c:crosses val="autoZero"/>
        <c:crossBetween val="midCat"/>
      </c:valAx>
      <c:valAx>
        <c:axId val="20896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1312"/>
        <c:axId val="208970920"/>
      </c:scatterChart>
      <c:valAx>
        <c:axId val="20897131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0920"/>
        <c:crosses val="autoZero"/>
        <c:crossBetween val="midCat"/>
      </c:valAx>
      <c:valAx>
        <c:axId val="2089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131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9352"/>
        <c:axId val="208963864"/>
      </c:scatterChart>
      <c:valAx>
        <c:axId val="2089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3864"/>
        <c:crosses val="autoZero"/>
        <c:crossBetween val="midCat"/>
      </c:valAx>
      <c:valAx>
        <c:axId val="2089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4648"/>
        <c:axId val="208968568"/>
      </c:scatterChart>
      <c:valAx>
        <c:axId val="20896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8568"/>
        <c:crosses val="autoZero"/>
        <c:crossBetween val="midCat"/>
      </c:valAx>
      <c:valAx>
        <c:axId val="2089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5040"/>
        <c:axId val="208967392"/>
      </c:scatterChart>
      <c:valAx>
        <c:axId val="2089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7392"/>
        <c:crosses val="autoZero"/>
        <c:crossBetween val="midCat"/>
      </c:valAx>
      <c:valAx>
        <c:axId val="208967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6384"/>
        <c:axId val="13765187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0696"/>
        <c:axId val="137651088"/>
      </c:scatterChart>
      <c:valAx>
        <c:axId val="1376463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1872"/>
        <c:crossesAt val="-40"/>
        <c:crossBetween val="midCat"/>
        <c:majorUnit val="20"/>
      </c:valAx>
      <c:valAx>
        <c:axId val="1376518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6384"/>
        <c:crosses val="autoZero"/>
        <c:crossBetween val="midCat"/>
      </c:valAx>
      <c:valAx>
        <c:axId val="13765108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0696"/>
        <c:crosses val="max"/>
        <c:crossBetween val="midCat"/>
        <c:majorUnit val="40"/>
      </c:valAx>
      <c:valAx>
        <c:axId val="137650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5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1480"/>
        <c:axId val="137648736"/>
      </c:scatterChart>
      <c:valAx>
        <c:axId val="1376514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7648736"/>
        <c:crosses val="autoZero"/>
        <c:crossBetween val="midCat"/>
      </c:valAx>
      <c:valAx>
        <c:axId val="13764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5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CalArduinoTurnigy!$X$1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CalArduinoTurnigy!$Q$5:$Q$13</c:f>
              <c:numCache>
                <c:formatCode>0</c:formatCode>
                <c:ptCount val="9"/>
                <c:pt idx="0">
                  <c:v>28.183621933621932</c:v>
                </c:pt>
                <c:pt idx="1">
                  <c:v>39.941206543967276</c:v>
                </c:pt>
                <c:pt idx="2">
                  <c:v>48.585199004975124</c:v>
                </c:pt>
                <c:pt idx="3">
                  <c:v>60.562015503875976</c:v>
                </c:pt>
                <c:pt idx="4">
                  <c:v>64.459570957095707</c:v>
                </c:pt>
                <c:pt idx="5">
                  <c:v>73.56403013182674</c:v>
                </c:pt>
                <c:pt idx="6">
                  <c:v>85.663377192982466</c:v>
                </c:pt>
                <c:pt idx="7">
                  <c:v>95.460654936461381</c:v>
                </c:pt>
                <c:pt idx="8">
                  <c:v>98.942502532928074</c:v>
                </c:pt>
              </c:numCache>
            </c:numRef>
          </c:xVal>
          <c:yVal>
            <c:numRef>
              <c:f>CalArduinoTurnigy!$X$5:$X$13</c:f>
              <c:numCache>
                <c:formatCode>General</c:formatCode>
                <c:ptCount val="9"/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0.14000000000000001</c:v>
                </c:pt>
                <c:pt idx="7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2656"/>
        <c:axId val="137649912"/>
      </c:scatterChart>
      <c:valAx>
        <c:axId val="13765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7649912"/>
        <c:crosses val="autoZero"/>
        <c:crossBetween val="midCat"/>
      </c:valAx>
      <c:valAx>
        <c:axId val="13764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5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CalArduinoTurnigy!$AE$1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CalArduinoTurnigy!$AE$4:$AE$13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30687.589084978204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7088"/>
        <c:axId val="209156304"/>
      </c:scatterChart>
      <c:valAx>
        <c:axId val="2091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6304"/>
        <c:crosses val="autoZero"/>
        <c:crossBetween val="midCat"/>
      </c:valAx>
      <c:valAx>
        <c:axId val="20915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2576"/>
        <c:axId val="209158656"/>
      </c:scatterChart>
      <c:valAx>
        <c:axId val="2091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8656"/>
        <c:crosses val="autoZero"/>
        <c:crossBetween val="midCat"/>
      </c:valAx>
      <c:valAx>
        <c:axId val="2091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1792"/>
        <c:axId val="209157872"/>
      </c:scatterChart>
      <c:valAx>
        <c:axId val="2091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7872"/>
        <c:crosses val="autoZero"/>
        <c:crossBetween val="midCat"/>
      </c:valAx>
      <c:valAx>
        <c:axId val="2091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1400"/>
        <c:axId val="20915904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5520"/>
        <c:axId val="209160616"/>
      </c:scatterChart>
      <c:valAx>
        <c:axId val="2091614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9048"/>
        <c:crosses val="autoZero"/>
        <c:crossBetween val="midCat"/>
      </c:valAx>
      <c:valAx>
        <c:axId val="2091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1400"/>
        <c:crosses val="autoZero"/>
        <c:crossBetween val="midCat"/>
      </c:valAx>
      <c:valAx>
        <c:axId val="209160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520"/>
        <c:crosses val="max"/>
        <c:crossBetween val="midCat"/>
      </c:valAx>
      <c:valAx>
        <c:axId val="20915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6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6696"/>
        <c:axId val="209158264"/>
      </c:scatterChart>
      <c:valAx>
        <c:axId val="2091566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9158264"/>
        <c:crosses val="autoZero"/>
        <c:crossBetween val="midCat"/>
      </c:valAx>
      <c:valAx>
        <c:axId val="209158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5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634365</xdr:colOff>
      <xdr:row>0</xdr:row>
      <xdr:rowOff>510541</xdr:rowOff>
    </xdr:from>
    <xdr:to>
      <xdr:col>41</xdr:col>
      <xdr:colOff>7620</xdr:colOff>
      <xdr:row>24</xdr:row>
      <xdr:rowOff>144781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tabSelected="1" topLeftCell="M1" workbookViewId="0">
      <pane ySplit="1" topLeftCell="A22" activePane="bottomLeft" state="frozen"/>
      <selection pane="bottomLeft" activeCell="AE42" sqref="AE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7773437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7" max="37" width="9.6640625" customWidth="1"/>
  </cols>
  <sheetData>
    <row r="1" spans="1:35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61</v>
      </c>
      <c r="Y1" s="4" t="s">
        <v>62</v>
      </c>
      <c r="Z1" s="4" t="s">
        <v>63</v>
      </c>
      <c r="AA1" s="4" t="s">
        <v>64</v>
      </c>
      <c r="AB1" s="4"/>
      <c r="AC1" s="4" t="s">
        <v>87</v>
      </c>
      <c r="AD1" s="4" t="s">
        <v>83</v>
      </c>
      <c r="AE1" s="4" t="s">
        <v>88</v>
      </c>
      <c r="AF1" s="4" t="s">
        <v>84</v>
      </c>
      <c r="AG1" s="4" t="s">
        <v>85</v>
      </c>
      <c r="AH1" s="4" t="s">
        <v>82</v>
      </c>
      <c r="AI1" s="4" t="s">
        <v>81</v>
      </c>
    </row>
    <row r="2" spans="1:35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Q14" si="4">O2/$W$35*100</f>
        <v>0</v>
      </c>
      <c r="R2" s="3">
        <f t="shared" ref="R2:R14" si="5">P2/$W$35*100</f>
        <v>0</v>
      </c>
      <c r="S2" s="3">
        <f t="shared" ref="S2:S14" si="6">K2</f>
        <v>1E-3</v>
      </c>
      <c r="T2" s="4">
        <f t="shared" si="0"/>
        <v>0</v>
      </c>
      <c r="U2">
        <f t="shared" ref="U2:U3" si="7">T2*0.001341022</f>
        <v>0</v>
      </c>
      <c r="X2" s="4"/>
      <c r="Y2" s="4"/>
      <c r="Z2" s="4"/>
      <c r="AA2" s="4"/>
      <c r="AB2" s="97"/>
      <c r="AC2" s="95">
        <f t="shared" ref="AC2:AC14" si="8">C2/$AD$32*$AD$27</f>
        <v>2.7777777777777779E-5</v>
      </c>
      <c r="AD2" s="95">
        <f t="shared" ref="AD2:AD14" si="9">AC2/$AD$27*$AD$32</f>
        <v>1E-3</v>
      </c>
      <c r="AE2" s="96">
        <f t="shared" ref="AE2:AE14" si="10">MAX(($AD$35+$AE$35*LN($AD2)),0)</f>
        <v>0</v>
      </c>
      <c r="AF2" s="96">
        <f>MAX(($AD$35+$AE$35*LN($AD2))/$AD$31,0)</f>
        <v>0</v>
      </c>
      <c r="AG2" s="96">
        <f t="shared" ref="AG2:AG14" si="11">($AD$36+$AE$36*AF2*$AD$31)/$AD$31</f>
        <v>-22.202069774198112</v>
      </c>
      <c r="AH2" s="96">
        <f t="shared" ref="AH2:AH14" si="12">($AD$37+$AE$37*AG2*$AD$31)/$AD$31</f>
        <v>0.53820371820708912</v>
      </c>
      <c r="AI2">
        <f t="shared" ref="AI2:AI14" si="13">MAX(($AD$36+$AE$36*AF2*$AD$31)/$AD$31, 0)</f>
        <v>0</v>
      </c>
    </row>
    <row r="3" spans="1:3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5"/>
        <v>0</v>
      </c>
      <c r="S3" s="3">
        <f t="shared" si="6"/>
        <v>7.361501228839896</v>
      </c>
      <c r="T3" s="4">
        <f t="shared" si="0"/>
        <v>0</v>
      </c>
      <c r="U3">
        <f t="shared" si="7"/>
        <v>0</v>
      </c>
      <c r="X3" s="4"/>
      <c r="Y3" s="4"/>
      <c r="Z3" s="4"/>
      <c r="AA3" s="4"/>
      <c r="AB3" s="97"/>
      <c r="AC3" s="95">
        <f t="shared" si="8"/>
        <v>0.20448614524555267</v>
      </c>
      <c r="AD3" s="95">
        <f t="shared" si="9"/>
        <v>7.361501228839896</v>
      </c>
      <c r="AE3" s="96">
        <f t="shared" si="10"/>
        <v>0</v>
      </c>
      <c r="AF3" s="96">
        <f t="shared" ref="AF3:AF14" si="14">MAX(($AD$35+$AE$35*LN(AD3))/$AD$31,0)</f>
        <v>0</v>
      </c>
      <c r="AG3" s="96">
        <f t="shared" si="11"/>
        <v>-22.202069774198112</v>
      </c>
      <c r="AH3" s="96">
        <f t="shared" si="12"/>
        <v>0.53820371820708912</v>
      </c>
      <c r="AI3">
        <f t="shared" si="13"/>
        <v>0</v>
      </c>
    </row>
    <row r="4" spans="1:3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5">1/G4/0.000001</f>
        <v>149.25373134328359</v>
      </c>
      <c r="N4" s="3">
        <f t="shared" si="15"/>
        <v>0.01</v>
      </c>
      <c r="O4" s="3">
        <f t="shared" ref="O4:O13" si="16">M4*60/$W$27</f>
        <v>8955.2238805970155</v>
      </c>
      <c r="P4" s="3">
        <f t="shared" ref="P4:P13" si="17">N4*60/$W$27</f>
        <v>0.6</v>
      </c>
      <c r="Q4" s="3">
        <f t="shared" si="4"/>
        <v>19.434079601990049</v>
      </c>
      <c r="R4" s="3">
        <f t="shared" si="5"/>
        <v>1.3020833333333333E-3</v>
      </c>
      <c r="S4" s="3">
        <f t="shared" si="6"/>
        <v>8</v>
      </c>
      <c r="T4" s="4">
        <f t="shared" si="0"/>
        <v>5.9340000000000002</v>
      </c>
      <c r="U4">
        <f>T4*0.001341022</f>
        <v>7.9576245480000012E-3</v>
      </c>
      <c r="V4">
        <f t="shared" ref="V4:V13" si="18">U4/O4*5252</f>
        <v>4.6669345940807206E-3</v>
      </c>
      <c r="W4">
        <f t="shared" ref="W4:W13" si="19">-V4/2/O4</f>
        <v>-2.6057051483617353E-7</v>
      </c>
      <c r="X4" s="4"/>
      <c r="Y4" s="4"/>
      <c r="Z4" s="4"/>
      <c r="AA4" s="4"/>
      <c r="AB4" s="97"/>
      <c r="AC4" s="95">
        <f t="shared" si="8"/>
        <v>0.22222222222222224</v>
      </c>
      <c r="AD4" s="95">
        <f t="shared" si="9"/>
        <v>8</v>
      </c>
      <c r="AE4" s="96">
        <f t="shared" si="10"/>
        <v>1180.2918436956534</v>
      </c>
      <c r="AF4" s="96">
        <f t="shared" si="14"/>
        <v>2.5613972302423034</v>
      </c>
      <c r="AG4" s="96">
        <f t="shared" si="11"/>
        <v>-19.579847910331843</v>
      </c>
      <c r="AH4" s="96">
        <f t="shared" si="12"/>
        <v>3.0771780157392215</v>
      </c>
      <c r="AI4">
        <f t="shared" si="13"/>
        <v>0</v>
      </c>
    </row>
    <row r="5" spans="1:35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1">LN(K5)</f>
        <v>2.5649493574615367</v>
      </c>
      <c r="M5" s="3">
        <f t="shared" si="15"/>
        <v>216.45021645021646</v>
      </c>
      <c r="N5" s="3">
        <f t="shared" si="15"/>
        <v>0.01</v>
      </c>
      <c r="O5" s="3">
        <f t="shared" si="16"/>
        <v>12987.012987012988</v>
      </c>
      <c r="P5" s="3">
        <f t="shared" si="17"/>
        <v>0.6</v>
      </c>
      <c r="Q5" s="3">
        <f t="shared" si="4"/>
        <v>28.183621933621932</v>
      </c>
      <c r="R5" s="3">
        <f t="shared" si="5"/>
        <v>1.3020833333333333E-3</v>
      </c>
      <c r="S5" s="3">
        <f t="shared" si="6"/>
        <v>13</v>
      </c>
      <c r="T5" s="4">
        <f t="shared" si="0"/>
        <v>7.3968000000000007</v>
      </c>
      <c r="U5">
        <f>T5*0.001341022</f>
        <v>9.9192715296000013E-3</v>
      </c>
      <c r="V5">
        <f t="shared" si="18"/>
        <v>4.011393083656359E-3</v>
      </c>
      <c r="W5">
        <f t="shared" si="19"/>
        <v>-1.5443863372076981E-7</v>
      </c>
      <c r="AB5" s="97"/>
      <c r="AC5" s="95">
        <f t="shared" si="8"/>
        <v>0.36111111111111105</v>
      </c>
      <c r="AD5" s="95">
        <f t="shared" si="9"/>
        <v>12.999999999999998</v>
      </c>
      <c r="AE5" s="96">
        <f t="shared" si="10"/>
        <v>8069.6528312921109</v>
      </c>
      <c r="AF5" s="96">
        <f t="shared" si="14"/>
        <v>17.512267429019339</v>
      </c>
      <c r="AG5" s="96">
        <f t="shared" si="11"/>
        <v>-4.2739444541345701</v>
      </c>
      <c r="AH5" s="96">
        <f t="shared" si="12"/>
        <v>17.897165603858483</v>
      </c>
      <c r="AI5">
        <f t="shared" si="13"/>
        <v>0</v>
      </c>
    </row>
    <row r="6" spans="1:35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2">C6</f>
        <v>25</v>
      </c>
      <c r="L6" s="1">
        <f t="shared" ref="L6" si="23">LN(K6)</f>
        <v>3.2188758248682006</v>
      </c>
      <c r="M6" s="3">
        <f t="shared" ref="M6" si="24">1/G6/0.000001</f>
        <v>306.74846625766872</v>
      </c>
      <c r="N6" s="3">
        <f t="shared" ref="N6" si="25">1/H6/0.000001</f>
        <v>156.00624024960999</v>
      </c>
      <c r="O6" s="3">
        <f t="shared" si="16"/>
        <v>18404.907975460123</v>
      </c>
      <c r="P6" s="3">
        <f t="shared" si="17"/>
        <v>9360.3744149765989</v>
      </c>
      <c r="Q6" s="3">
        <f t="shared" si="4"/>
        <v>39.941206543967276</v>
      </c>
      <c r="R6" s="3">
        <f t="shared" si="5"/>
        <v>20.3133125325013</v>
      </c>
      <c r="S6" s="3">
        <f t="shared" si="6"/>
        <v>25</v>
      </c>
      <c r="T6" s="4">
        <f t="shared" si="0"/>
        <v>20.3796</v>
      </c>
      <c r="U6">
        <f>T6*0.001341022</f>
        <v>2.7329491951200002E-2</v>
      </c>
      <c r="V6">
        <f t="shared" si="18"/>
        <v>7.7987073838718312E-3</v>
      </c>
      <c r="W6">
        <f t="shared" si="19"/>
        <v>-2.118648839285181E-7</v>
      </c>
      <c r="AB6" s="97"/>
      <c r="AC6" s="95">
        <f t="shared" si="8"/>
        <v>0.69444444444444442</v>
      </c>
      <c r="AD6" s="95">
        <f t="shared" si="9"/>
        <v>25</v>
      </c>
      <c r="AE6" s="96">
        <f t="shared" si="10"/>
        <v>17348.876248230645</v>
      </c>
      <c r="AF6" s="96">
        <f t="shared" si="14"/>
        <v>37.649471024806083</v>
      </c>
      <c r="AG6" s="96">
        <f t="shared" si="11"/>
        <v>16.341450503953713</v>
      </c>
      <c r="AH6" s="96">
        <f t="shared" si="12"/>
        <v>37.858084492272184</v>
      </c>
      <c r="AI6">
        <f t="shared" si="13"/>
        <v>16.341450503953713</v>
      </c>
    </row>
    <row r="7" spans="1:35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2"/>
        <v>35</v>
      </c>
      <c r="L7" s="1">
        <f t="shared" si="21"/>
        <v>3.5553480614894135</v>
      </c>
      <c r="M7" s="3">
        <f t="shared" si="15"/>
        <v>373.13432835820896</v>
      </c>
      <c r="N7" s="3">
        <f t="shared" si="15"/>
        <v>220.65313327449252</v>
      </c>
      <c r="O7" s="3">
        <f t="shared" si="16"/>
        <v>22388.059701492537</v>
      </c>
      <c r="P7" s="3">
        <f t="shared" si="17"/>
        <v>13239.187996469551</v>
      </c>
      <c r="Q7" s="3">
        <f t="shared" si="4"/>
        <v>48.585199004975124</v>
      </c>
      <c r="R7" s="3">
        <f t="shared" si="5"/>
        <v>28.730876728449545</v>
      </c>
      <c r="S7" s="3">
        <f t="shared" si="6"/>
        <v>35</v>
      </c>
      <c r="T7" s="4">
        <f t="shared" si="0"/>
        <v>29.981099999999998</v>
      </c>
      <c r="U7">
        <f t="shared" ref="U7:U13" si="27">T7*0.001341022</f>
        <v>4.0205314684200001E-2</v>
      </c>
      <c r="V7">
        <f t="shared" si="18"/>
        <v>9.4317379682233565E-3</v>
      </c>
      <c r="W7">
        <f t="shared" si="19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C7" s="95">
        <f t="shared" si="8"/>
        <v>0.97222222222222221</v>
      </c>
      <c r="AD7" s="95">
        <f t="shared" si="9"/>
        <v>35</v>
      </c>
      <c r="AE7" s="96">
        <f t="shared" si="10"/>
        <v>22123.420807632323</v>
      </c>
      <c r="AF7" s="96">
        <f t="shared" si="14"/>
        <v>48.010895849896535</v>
      </c>
      <c r="AG7" s="96">
        <f t="shared" si="11"/>
        <v>26.948924579573251</v>
      </c>
      <c r="AH7" s="96">
        <f t="shared" si="12"/>
        <v>48.128803538153008</v>
      </c>
      <c r="AI7">
        <f t="shared" si="13"/>
        <v>26.948924579573251</v>
      </c>
    </row>
    <row r="8" spans="1:35" ht="13.95" customHeight="1" x14ac:dyDescent="0.3">
      <c r="B8" s="113">
        <f t="shared" ref="B8:B9" si="31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32">E8*F8</f>
        <v>53.526600000000002</v>
      </c>
      <c r="K8" s="1">
        <f t="shared" ref="K8:K9" si="33">C8</f>
        <v>54</v>
      </c>
      <c r="L8" s="1">
        <f t="shared" ref="L8:L9" si="34">LN(K8)</f>
        <v>3.9889840465642745</v>
      </c>
      <c r="M8" s="3">
        <f t="shared" ref="M8:M9" si="35">1/G8/0.000001</f>
        <v>465.11627906976747</v>
      </c>
      <c r="N8" s="3">
        <f t="shared" ref="N8:N9" si="36">1/H8/0.000001</f>
        <v>314.46540880503147</v>
      </c>
      <c r="O8" s="3">
        <f t="shared" si="16"/>
        <v>27906.976744186049</v>
      </c>
      <c r="P8" s="3">
        <f t="shared" si="17"/>
        <v>18867.92452830189</v>
      </c>
      <c r="Q8" s="3">
        <f t="shared" si="4"/>
        <v>60.562015503875976</v>
      </c>
      <c r="R8" s="3">
        <f t="shared" si="5"/>
        <v>40.946016771488473</v>
      </c>
      <c r="S8" s="3">
        <f t="shared" si="6"/>
        <v>54</v>
      </c>
      <c r="T8" s="4">
        <f t="shared" si="0"/>
        <v>53.526600000000002</v>
      </c>
      <c r="U8">
        <f t="shared" ref="U8:U9" si="37">T8*0.001341022</f>
        <v>7.1780348185200002E-2</v>
      </c>
      <c r="V8">
        <f t="shared" si="18"/>
        <v>1.3508822260627353E-2</v>
      </c>
      <c r="W8">
        <f t="shared" si="19"/>
        <v>-2.4203306550290671E-7</v>
      </c>
      <c r="X8">
        <v>0.18</v>
      </c>
      <c r="Y8">
        <f t="shared" ref="Y8:Y9" si="38">-X8*W8</f>
        <v>4.3565951790523206E-8</v>
      </c>
      <c r="Z8">
        <f t="shared" ref="Z8:Z9" si="39">Y8/6.66*2048.5</f>
        <v>1.3400127964397415E-5</v>
      </c>
      <c r="AA8">
        <f t="shared" ref="AA8:AA9" si="40">Z8*144</f>
        <v>1.9296184268732279E-3</v>
      </c>
      <c r="AB8" s="97"/>
      <c r="AC8" s="95">
        <f t="shared" si="8"/>
        <v>1.5</v>
      </c>
      <c r="AD8" s="95">
        <f t="shared" si="9"/>
        <v>54</v>
      </c>
      <c r="AE8" s="96">
        <f t="shared" si="10"/>
        <v>28276.719974572956</v>
      </c>
      <c r="AF8" s="96">
        <f t="shared" si="14"/>
        <v>61.364409667042004</v>
      </c>
      <c r="AG8" s="96">
        <f t="shared" si="11"/>
        <v>40.619539772456378</v>
      </c>
      <c r="AH8" s="96">
        <f t="shared" si="12"/>
        <v>61.365418290119948</v>
      </c>
      <c r="AI8">
        <f t="shared" si="13"/>
        <v>40.619539772456378</v>
      </c>
    </row>
    <row r="9" spans="1:35" ht="13.95" customHeight="1" x14ac:dyDescent="0.3">
      <c r="B9" s="113">
        <f t="shared" si="31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32"/>
        <v>62.419400000000003</v>
      </c>
      <c r="K9" s="1">
        <f t="shared" si="33"/>
        <v>64</v>
      </c>
      <c r="L9" s="1">
        <f t="shared" si="34"/>
        <v>4.1588830833596715</v>
      </c>
      <c r="M9" s="3">
        <f t="shared" si="35"/>
        <v>495.04950495049508</v>
      </c>
      <c r="N9" s="3">
        <f t="shared" si="36"/>
        <v>350.87719298245611</v>
      </c>
      <c r="O9" s="3">
        <f t="shared" si="16"/>
        <v>29702.970297029704</v>
      </c>
      <c r="P9" s="3">
        <f t="shared" si="17"/>
        <v>21052.631578947367</v>
      </c>
      <c r="Q9" s="3">
        <f t="shared" si="4"/>
        <v>64.459570957095707</v>
      </c>
      <c r="R9" s="3">
        <f t="shared" si="5"/>
        <v>45.687134502923968</v>
      </c>
      <c r="S9" s="3">
        <f t="shared" si="6"/>
        <v>64</v>
      </c>
      <c r="T9" s="4">
        <f t="shared" si="0"/>
        <v>62.419400000000003</v>
      </c>
      <c r="U9">
        <f t="shared" si="37"/>
        <v>8.3705788626800004E-2</v>
      </c>
      <c r="V9">
        <f t="shared" si="18"/>
        <v>1.4800634329554439E-2</v>
      </c>
      <c r="W9">
        <f t="shared" si="19"/>
        <v>-2.4914401121416636E-7</v>
      </c>
      <c r="X9">
        <v>0.18</v>
      </c>
      <c r="Y9">
        <f t="shared" si="38"/>
        <v>4.484592201854994E-8</v>
      </c>
      <c r="Z9">
        <f t="shared" si="39"/>
        <v>1.3793824512762695E-5</v>
      </c>
      <c r="AA9">
        <f t="shared" si="40"/>
        <v>1.986310729837828E-3</v>
      </c>
      <c r="AB9" s="97"/>
      <c r="AC9" s="95">
        <f t="shared" si="8"/>
        <v>1.7777777777777779</v>
      </c>
      <c r="AD9" s="95">
        <f t="shared" si="9"/>
        <v>64</v>
      </c>
      <c r="AE9" s="96">
        <f t="shared" si="10"/>
        <v>30687.589084978204</v>
      </c>
      <c r="AF9" s="96">
        <f t="shared" si="14"/>
        <v>66.596330479553387</v>
      </c>
      <c r="AG9" s="96">
        <f t="shared" si="11"/>
        <v>45.975701238784858</v>
      </c>
      <c r="AH9" s="96">
        <f t="shared" si="12"/>
        <v>66.551537925469589</v>
      </c>
      <c r="AI9">
        <f t="shared" si="13"/>
        <v>45.975701238784858</v>
      </c>
    </row>
    <row r="10" spans="1:35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2"/>
        <v>89</v>
      </c>
      <c r="L10" s="1">
        <f t="shared" si="21"/>
        <v>4.4886363697321396</v>
      </c>
      <c r="M10" s="3">
        <f t="shared" si="15"/>
        <v>564.9717514124294</v>
      </c>
      <c r="N10" s="3">
        <f t="shared" si="15"/>
        <v>416.66666666666669</v>
      </c>
      <c r="O10" s="3">
        <f t="shared" si="16"/>
        <v>33898.305084745763</v>
      </c>
      <c r="P10" s="3">
        <f t="shared" si="17"/>
        <v>25000</v>
      </c>
      <c r="Q10" s="3">
        <f t="shared" si="4"/>
        <v>73.56403013182674</v>
      </c>
      <c r="R10" s="3">
        <f t="shared" si="5"/>
        <v>54.253472222222221</v>
      </c>
      <c r="S10" s="3">
        <f t="shared" si="6"/>
        <v>89</v>
      </c>
      <c r="T10" s="4">
        <f t="shared" si="0"/>
        <v>88.904499999999999</v>
      </c>
      <c r="U10">
        <f t="shared" si="27"/>
        <v>0.11922289039900001</v>
      </c>
      <c r="V10">
        <f t="shared" si="18"/>
        <v>1.8471679301078667E-2</v>
      </c>
      <c r="W10">
        <f t="shared" si="19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C10" s="95">
        <f t="shared" si="8"/>
        <v>2.4722222222222223</v>
      </c>
      <c r="AD10" s="95">
        <f t="shared" si="9"/>
        <v>89</v>
      </c>
      <c r="AE10" s="96">
        <f t="shared" si="10"/>
        <v>35366.791670025093</v>
      </c>
      <c r="AF10" s="96">
        <f t="shared" si="14"/>
        <v>76.75084997835306</v>
      </c>
      <c r="AG10" s="96">
        <f t="shared" si="11"/>
        <v>56.37135667731674</v>
      </c>
      <c r="AH10" s="96">
        <f t="shared" si="12"/>
        <v>76.617162931553622</v>
      </c>
      <c r="AI10">
        <f t="shared" si="13"/>
        <v>56.37135667731674</v>
      </c>
    </row>
    <row r="11" spans="1:35" ht="13.95" customHeight="1" x14ac:dyDescent="0.3">
      <c r="B11" s="113">
        <f t="shared" ref="B11" si="41"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ref="J11" si="42">E11*F11</f>
        <v>135.96</v>
      </c>
      <c r="K11" s="1">
        <f t="shared" ref="K11" si="43">C11</f>
        <v>125</v>
      </c>
      <c r="L11" s="1">
        <f t="shared" ref="L11" si="44">LN(K11)</f>
        <v>4.8283137373023015</v>
      </c>
      <c r="M11" s="3">
        <f t="shared" ref="M11" si="45">1/G11/0.000001</f>
        <v>657.89473684210532</v>
      </c>
      <c r="N11" s="3">
        <f t="shared" ref="N11" si="46">1/H11/0.000001</f>
        <v>500.00000000000006</v>
      </c>
      <c r="O11" s="3">
        <f t="shared" ref="O11" si="47">M11*60/$W$27</f>
        <v>39473.68421052632</v>
      </c>
      <c r="P11" s="3">
        <f t="shared" ref="P11" si="48">N11*60/$W$27</f>
        <v>30000.000000000004</v>
      </c>
      <c r="Q11" s="3">
        <f t="shared" ref="Q11" si="49">O11/$W$35*100</f>
        <v>85.663377192982466</v>
      </c>
      <c r="R11" s="3">
        <f t="shared" ref="R11" si="50">P11/$W$35*100</f>
        <v>65.104166666666671</v>
      </c>
      <c r="S11" s="3">
        <f t="shared" ref="S11" si="51">K11</f>
        <v>125</v>
      </c>
      <c r="T11" s="4">
        <f t="shared" ref="T11" si="52">J11</f>
        <v>135.96</v>
      </c>
      <c r="U11">
        <f t="shared" ref="U11" si="53">T11*0.001341022</f>
        <v>0.18232535112000003</v>
      </c>
      <c r="V11">
        <f t="shared" ref="V11" si="54">U11/O11*5252</f>
        <v>2.4258509516750081E-2</v>
      </c>
      <c r="W11">
        <f t="shared" ref="W11" si="55">-V11/2/O11</f>
        <v>-3.072744538788343E-7</v>
      </c>
      <c r="X11">
        <v>0.14000000000000001</v>
      </c>
      <c r="Y11">
        <f t="shared" ref="Y11" si="56">-X11*W11</f>
        <v>4.3018423543036807E-8</v>
      </c>
      <c r="Z11">
        <f t="shared" ref="Z11" si="57">Y11/6.66*2048.5</f>
        <v>1.3231717811998633E-5</v>
      </c>
      <c r="AA11">
        <f t="shared" ref="AA11" si="58">Z11*144</f>
        <v>1.9053673649278033E-3</v>
      </c>
      <c r="AB11" s="97"/>
      <c r="AC11" s="95">
        <f t="shared" ref="AC11" si="59">C11/$AD$32*$AD$27</f>
        <v>3.4722222222222223</v>
      </c>
      <c r="AD11" s="95">
        <f t="shared" si="9"/>
        <v>125</v>
      </c>
      <c r="AE11" s="96">
        <f t="shared" si="10"/>
        <v>40186.817071139434</v>
      </c>
      <c r="AF11" s="96">
        <f t="shared" ref="AF11" si="60">MAX(($AD$35+$AE$35*LN(AD11))/$AD$31,0)</f>
        <v>87.210974546743557</v>
      </c>
      <c r="AG11" s="96">
        <f t="shared" si="11"/>
        <v>67.079874285654896</v>
      </c>
      <c r="AH11" s="96">
        <f t="shared" si="12"/>
        <v>86.985717685403912</v>
      </c>
      <c r="AI11">
        <f t="shared" ref="AI11" si="61">MAX(($AD$36+$AE$36*AF11*$AD$31)/$AD$31, 0)</f>
        <v>67.079874285654896</v>
      </c>
    </row>
    <row r="12" spans="1:35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2"/>
        <v>155</v>
      </c>
      <c r="L12" s="1">
        <f t="shared" si="21"/>
        <v>5.0434251169192468</v>
      </c>
      <c r="M12" s="3">
        <f t="shared" si="15"/>
        <v>733.13782991202345</v>
      </c>
      <c r="N12" s="3">
        <f t="shared" si="15"/>
        <v>574.71264367816093</v>
      </c>
      <c r="O12" s="3">
        <f t="shared" si="16"/>
        <v>43988.269794721404</v>
      </c>
      <c r="P12" s="3">
        <f t="shared" si="17"/>
        <v>34482.758620689652</v>
      </c>
      <c r="Q12" s="3">
        <f t="shared" si="4"/>
        <v>95.460654936461381</v>
      </c>
      <c r="R12" s="3">
        <f t="shared" si="5"/>
        <v>74.83237547892719</v>
      </c>
      <c r="S12" s="3">
        <f t="shared" si="6"/>
        <v>155</v>
      </c>
      <c r="T12" s="4">
        <f t="shared" si="0"/>
        <v>192.75</v>
      </c>
      <c r="U12">
        <f t="shared" si="27"/>
        <v>0.25848199050000004</v>
      </c>
      <c r="V12">
        <f t="shared" si="18"/>
        <v>3.0861577880676404E-2</v>
      </c>
      <c r="W12">
        <f t="shared" si="19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C12" s="95">
        <f t="shared" si="8"/>
        <v>4.3055555555555554</v>
      </c>
      <c r="AD12" s="95">
        <f t="shared" si="9"/>
        <v>155</v>
      </c>
      <c r="AE12" s="96">
        <f t="shared" si="10"/>
        <v>43239.249799405501</v>
      </c>
      <c r="AF12" s="96">
        <f t="shared" si="14"/>
        <v>93.835177516070971</v>
      </c>
      <c r="AG12" s="96">
        <f t="shared" si="11"/>
        <v>73.861379962232448</v>
      </c>
      <c r="AH12" s="96">
        <f t="shared" si="12"/>
        <v>93.551931188792182</v>
      </c>
      <c r="AI12">
        <f t="shared" si="13"/>
        <v>73.861379962232448</v>
      </c>
    </row>
    <row r="13" spans="1:35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2"/>
        <v>165</v>
      </c>
      <c r="L13" s="1">
        <f t="shared" si="21"/>
        <v>5.1059454739005803</v>
      </c>
      <c r="M13" s="3">
        <f t="shared" si="15"/>
        <v>759.87841945288756</v>
      </c>
      <c r="N13" s="3">
        <f t="shared" si="15"/>
        <v>595.2380952380953</v>
      </c>
      <c r="O13" s="3">
        <f t="shared" si="16"/>
        <v>45592.705167173255</v>
      </c>
      <c r="P13" s="3">
        <f t="shared" si="17"/>
        <v>35714.285714285717</v>
      </c>
      <c r="Q13" s="3">
        <f t="shared" si="4"/>
        <v>98.942502532928074</v>
      </c>
      <c r="R13" s="3">
        <f t="shared" si="5"/>
        <v>77.504960317460331</v>
      </c>
      <c r="S13" s="3">
        <f t="shared" si="6"/>
        <v>165</v>
      </c>
      <c r="T13" s="4">
        <f t="shared" si="0"/>
        <v>209.1</v>
      </c>
      <c r="U13">
        <f t="shared" si="27"/>
        <v>0.2804077002</v>
      </c>
      <c r="V13">
        <f t="shared" si="18"/>
        <v>3.2301247229145437E-2</v>
      </c>
      <c r="W13">
        <f t="shared" si="19"/>
        <v>-3.5423701127962827E-7</v>
      </c>
      <c r="AB13" s="97"/>
      <c r="AC13" s="95">
        <f t="shared" si="8"/>
        <v>4.583333333333333</v>
      </c>
      <c r="AD13" s="95">
        <f t="shared" si="9"/>
        <v>165</v>
      </c>
      <c r="AE13" s="96">
        <f t="shared" si="10"/>
        <v>44126.414319351083</v>
      </c>
      <c r="AF13" s="96">
        <f t="shared" si="14"/>
        <v>95.760447741647312</v>
      </c>
      <c r="AG13" s="96">
        <f t="shared" si="11"/>
        <v>75.832368928625399</v>
      </c>
      <c r="AH13" s="96">
        <f t="shared" si="12"/>
        <v>95.460347252035845</v>
      </c>
      <c r="AI13">
        <f t="shared" si="13"/>
        <v>75.832368928625399</v>
      </c>
    </row>
    <row r="14" spans="1:35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1"/>
        <v>5.1929568508902104</v>
      </c>
      <c r="O14" s="3">
        <f>AF14*$AD$31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5"/>
        <v>0</v>
      </c>
      <c r="S14" s="1">
        <f t="shared" si="6"/>
        <v>180</v>
      </c>
      <c r="T14" s="4">
        <f t="shared" si="0"/>
        <v>0</v>
      </c>
      <c r="U14">
        <f t="shared" ref="U14" si="62">T14*0.001341022</f>
        <v>0</v>
      </c>
      <c r="AB14" s="97"/>
      <c r="AC14" s="95">
        <f t="shared" si="8"/>
        <v>5</v>
      </c>
      <c r="AD14" s="95">
        <f t="shared" si="9"/>
        <v>180</v>
      </c>
      <c r="AE14" s="96">
        <f t="shared" si="10"/>
        <v>45361.106669554021</v>
      </c>
      <c r="AF14" s="96">
        <f t="shared" si="14"/>
        <v>98.439901626636328</v>
      </c>
      <c r="AG14" s="96">
        <f t="shared" si="11"/>
        <v>78.575450898685531</v>
      </c>
      <c r="AH14" s="96">
        <f t="shared" si="12"/>
        <v>98.116344715094769</v>
      </c>
      <c r="AI14">
        <f t="shared" si="13"/>
        <v>78.575450898685531</v>
      </c>
    </row>
    <row r="15" spans="1:35" ht="13.95" customHeight="1" x14ac:dyDescent="0.3"/>
    <row r="16" spans="1:35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" si="63">E16*F16</f>
        <v>5.8512000000000004</v>
      </c>
      <c r="K16" s="1">
        <f t="shared" ref="K16" si="64">C16</f>
        <v>9</v>
      </c>
      <c r="L16" s="1">
        <f t="shared" ref="L16" si="65">LN(K16)</f>
        <v>2.1972245773362196</v>
      </c>
      <c r="M16" s="3">
        <f t="shared" ref="M16" si="66">1/G16/0.000001</f>
        <v>162.33766233766235</v>
      </c>
      <c r="N16" s="3"/>
      <c r="O16" s="3">
        <f t="shared" ref="O16" si="67">M16*60/$W$27</f>
        <v>9740.2597402597403</v>
      </c>
      <c r="P16" s="3"/>
      <c r="Q16" s="3">
        <f t="shared" ref="Q16" si="68">O16/$W$35*100</f>
        <v>21.137716450216452</v>
      </c>
      <c r="R16" s="3"/>
      <c r="S16" s="3">
        <f t="shared" ref="S16" si="69">K16</f>
        <v>9</v>
      </c>
      <c r="T16" s="4">
        <f t="shared" ref="T16" si="70">J16</f>
        <v>5.8512000000000004</v>
      </c>
      <c r="U16">
        <f t="shared" ref="U16" si="71">T16*0.001341022</f>
        <v>7.8465879264000005E-3</v>
      </c>
      <c r="V16">
        <f t="shared" ref="V16" si="72">U16/O16*5252</f>
        <v>4.230922058383821E-3</v>
      </c>
      <c r="W16">
        <f t="shared" ref="W16" si="73">-V16/2/O16</f>
        <v>-2.1718733233036949E-7</v>
      </c>
      <c r="X16">
        <v>0.18</v>
      </c>
      <c r="Y16">
        <f t="shared" ref="Y16" si="74">-X16*W16</f>
        <v>3.9093719819466504E-8</v>
      </c>
      <c r="Z16">
        <f t="shared" ref="Z16" si="75">Y16/6.66*2048.5</f>
        <v>1.2024547304831401E-5</v>
      </c>
      <c r="AA16">
        <f t="shared" ref="AA16" si="76"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77">E17*F17</f>
        <v>7.7969999999999997</v>
      </c>
      <c r="K17" s="1">
        <f t="shared" ref="K17:K24" si="78">C17</f>
        <v>13</v>
      </c>
      <c r="L17" s="1">
        <f t="shared" ref="L17:L24" si="79">LN(K17)</f>
        <v>2.5649493574615367</v>
      </c>
      <c r="M17" s="3">
        <f t="shared" ref="M17:M24" si="80">1/G17/0.000001</f>
        <v>196.85039370078741</v>
      </c>
      <c r="N17" s="3"/>
      <c r="O17" s="3">
        <f>M17*60/$W$27</f>
        <v>11811.023622047245</v>
      </c>
      <c r="P17" s="3"/>
      <c r="Q17" s="3">
        <f>O17/$W$35*100</f>
        <v>25.631561679790028</v>
      </c>
      <c r="R17" s="3"/>
      <c r="S17" s="3">
        <f t="shared" ref="S17:S24" si="81">K17</f>
        <v>13</v>
      </c>
      <c r="T17" s="4">
        <f t="shared" ref="T17:T24" si="82">J17</f>
        <v>7.7969999999999997</v>
      </c>
      <c r="U17">
        <f t="shared" ref="U17:U24" si="83">T17*0.001341022</f>
        <v>1.0455948534E-2</v>
      </c>
      <c r="V17">
        <f t="shared" ref="V17:V24" si="84">U17/O17*5252</f>
        <v>4.6494396639814237E-3</v>
      </c>
      <c r="W17">
        <f t="shared" ref="W17:W24" si="85">-V17/2/O17</f>
        <v>-1.9682627910854693E-7</v>
      </c>
      <c r="X17">
        <v>0.18</v>
      </c>
      <c r="Y17">
        <f t="shared" ref="Y17:Y24" si="86">-X17*W17</f>
        <v>3.5428730239538448E-8</v>
      </c>
      <c r="Z17">
        <f t="shared" ref="Z17:Z24" si="87">Y17/6.66*2048.5</f>
        <v>1.0897260344698876E-5</v>
      </c>
      <c r="AA17">
        <f t="shared" ref="AA17:AA24" si="88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77"/>
        <v>18.150000000000002</v>
      </c>
      <c r="K18" s="1">
        <f t="shared" si="78"/>
        <v>26</v>
      </c>
      <c r="L18" s="1">
        <f t="shared" si="79"/>
        <v>3.2580965380214821</v>
      </c>
      <c r="M18" s="3">
        <f t="shared" si="80"/>
        <v>314.46540880503147</v>
      </c>
      <c r="N18" s="3"/>
      <c r="O18" s="3">
        <f>M18*60/$W$27</f>
        <v>18867.92452830189</v>
      </c>
      <c r="P18" s="3"/>
      <c r="Q18" s="3">
        <f>O18/$W$35*100</f>
        <v>40.946016771488473</v>
      </c>
      <c r="R18" s="3"/>
      <c r="S18" s="3">
        <f t="shared" si="81"/>
        <v>26</v>
      </c>
      <c r="T18" s="4">
        <f t="shared" si="82"/>
        <v>18.150000000000002</v>
      </c>
      <c r="U18">
        <f t="shared" si="83"/>
        <v>2.4339549300000006E-2</v>
      </c>
      <c r="V18">
        <f t="shared" si="84"/>
        <v>6.7750595849508004E-3</v>
      </c>
      <c r="W18">
        <f t="shared" si="85"/>
        <v>-1.7953907900119617E-7</v>
      </c>
      <c r="X18">
        <v>0.18</v>
      </c>
      <c r="Y18">
        <f t="shared" si="86"/>
        <v>3.2317034220215307E-8</v>
      </c>
      <c r="Z18">
        <f t="shared" si="87"/>
        <v>9.9401568468635218E-6</v>
      </c>
      <c r="AA18">
        <f t="shared" si="88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77"/>
        <v>28.516800000000003</v>
      </c>
      <c r="K19" s="1">
        <f t="shared" si="78"/>
        <v>36</v>
      </c>
      <c r="L19" s="1">
        <f t="shared" si="79"/>
        <v>3.5835189384561099</v>
      </c>
      <c r="M19" s="3">
        <f t="shared" si="80"/>
        <v>377.35849056603774</v>
      </c>
      <c r="N19" s="3"/>
      <c r="O19" s="3">
        <f>M19*60/$W$27</f>
        <v>22641.509433962266</v>
      </c>
      <c r="P19" s="3"/>
      <c r="Q19" s="3">
        <f>O19/$W$35*100</f>
        <v>49.135220125786169</v>
      </c>
      <c r="R19" s="3"/>
      <c r="S19" s="3">
        <f t="shared" si="81"/>
        <v>36</v>
      </c>
      <c r="T19" s="4">
        <f t="shared" si="82"/>
        <v>28.516800000000003</v>
      </c>
      <c r="U19">
        <f t="shared" si="83"/>
        <v>3.8241656169600007E-2</v>
      </c>
      <c r="V19">
        <f t="shared" si="84"/>
        <v>8.8706620372876483E-3</v>
      </c>
      <c r="W19">
        <f t="shared" si="85"/>
        <v>-1.9589378665676887E-7</v>
      </c>
      <c r="X19">
        <v>0.18</v>
      </c>
      <c r="Y19">
        <f t="shared" si="86"/>
        <v>3.5260881598218394E-8</v>
      </c>
      <c r="Z19">
        <f t="shared" si="87"/>
        <v>1.0845633026118675E-5</v>
      </c>
      <c r="AA19">
        <f t="shared" si="88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77"/>
        <v>51.68</v>
      </c>
      <c r="K20" s="1">
        <f t="shared" si="78"/>
        <v>56</v>
      </c>
      <c r="L20" s="1">
        <f t="shared" si="79"/>
        <v>4.0253516907351496</v>
      </c>
      <c r="M20" s="3">
        <f t="shared" si="80"/>
        <v>483.09178743961354</v>
      </c>
      <c r="N20" s="3"/>
      <c r="O20" s="3">
        <f>M20*60/$W$27</f>
        <v>28985.507246376812</v>
      </c>
      <c r="P20" s="3"/>
      <c r="Q20" s="3">
        <f>O20/$W$35*100</f>
        <v>62.902576489533011</v>
      </c>
      <c r="R20" s="3"/>
      <c r="S20" s="3">
        <f t="shared" si="81"/>
        <v>56</v>
      </c>
      <c r="T20" s="4">
        <f t="shared" si="82"/>
        <v>51.68</v>
      </c>
      <c r="U20">
        <f t="shared" si="83"/>
        <v>6.9304016960000006E-2</v>
      </c>
      <c r="V20">
        <f t="shared" si="84"/>
        <v>1.255747204905024E-2</v>
      </c>
      <c r="W20">
        <f t="shared" si="85"/>
        <v>-2.1661639284611662E-7</v>
      </c>
      <c r="X20">
        <v>0.18</v>
      </c>
      <c r="Y20">
        <f t="shared" si="86"/>
        <v>3.8990950712300994E-8</v>
      </c>
      <c r="Z20">
        <f t="shared" si="87"/>
        <v>1.1992937317439727E-5</v>
      </c>
      <c r="AA20">
        <f t="shared" si="88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77"/>
        <v>59.349000000000004</v>
      </c>
      <c r="K21" s="1">
        <f t="shared" si="78"/>
        <v>64</v>
      </c>
      <c r="L21" s="1">
        <f t="shared" si="79"/>
        <v>4.1588830833596715</v>
      </c>
      <c r="M21" s="3">
        <f t="shared" si="80"/>
        <v>500.00000000000006</v>
      </c>
      <c r="N21" s="3"/>
      <c r="O21" s="3">
        <f>M21*60/$W$27</f>
        <v>30000.000000000004</v>
      </c>
      <c r="P21" s="3"/>
      <c r="Q21" s="3">
        <f>O21/$W$35*100</f>
        <v>65.104166666666671</v>
      </c>
      <c r="R21" s="3"/>
      <c r="S21" s="3">
        <f t="shared" si="81"/>
        <v>64</v>
      </c>
      <c r="T21" s="4">
        <f t="shared" si="82"/>
        <v>59.349000000000004</v>
      </c>
      <c r="U21">
        <f t="shared" si="83"/>
        <v>7.9588314678000011E-2</v>
      </c>
      <c r="V21">
        <f t="shared" si="84"/>
        <v>1.39332609562952E-2</v>
      </c>
      <c r="W21">
        <f t="shared" si="85"/>
        <v>-2.3222101593825331E-7</v>
      </c>
      <c r="X21">
        <v>0.18</v>
      </c>
      <c r="Y21">
        <f t="shared" si="86"/>
        <v>4.1799782868885597E-8</v>
      </c>
      <c r="Z21">
        <f t="shared" si="87"/>
        <v>1.2856885166203024E-5</v>
      </c>
      <c r="AA21">
        <f t="shared" si="88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77"/>
        <v>84.545999999999992</v>
      </c>
      <c r="K22" s="1">
        <f t="shared" si="78"/>
        <v>89</v>
      </c>
      <c r="L22" s="1">
        <f t="shared" si="79"/>
        <v>4.4886363697321396</v>
      </c>
      <c r="M22" s="3">
        <f t="shared" si="80"/>
        <v>568.18181818181813</v>
      </c>
      <c r="N22" s="3"/>
      <c r="O22" s="3">
        <f>M22*60/$W$27</f>
        <v>34090.909090909088</v>
      </c>
      <c r="P22" s="3"/>
      <c r="Q22" s="3">
        <f>O22/$W$35*100</f>
        <v>73.982007575757564</v>
      </c>
      <c r="R22" s="3"/>
      <c r="S22" s="3">
        <f t="shared" si="81"/>
        <v>89</v>
      </c>
      <c r="T22" s="4">
        <f t="shared" si="82"/>
        <v>84.545999999999992</v>
      </c>
      <c r="U22">
        <f t="shared" si="83"/>
        <v>0.11337804601199999</v>
      </c>
      <c r="V22">
        <f t="shared" si="84"/>
        <v>1.7466870597880702E-2</v>
      </c>
      <c r="W22">
        <f t="shared" si="85"/>
        <v>-2.5618076876891696E-7</v>
      </c>
      <c r="X22">
        <v>0.18</v>
      </c>
      <c r="Y22">
        <f t="shared" si="86"/>
        <v>4.611253837840505E-8</v>
      </c>
      <c r="Z22">
        <f t="shared" si="87"/>
        <v>1.4183413643868279E-5</v>
      </c>
      <c r="AA22">
        <f t="shared" si="88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77"/>
        <v>153.26999999999998</v>
      </c>
      <c r="K23" s="1">
        <f t="shared" si="78"/>
        <v>143</v>
      </c>
      <c r="L23" s="1">
        <f t="shared" si="79"/>
        <v>4.962844630259907</v>
      </c>
      <c r="M23" s="3">
        <f t="shared" si="80"/>
        <v>699.30069930069931</v>
      </c>
      <c r="N23" s="3"/>
      <c r="O23" s="3">
        <f>M23*60/$W$27</f>
        <v>41958.041958041955</v>
      </c>
      <c r="P23" s="3"/>
      <c r="Q23" s="3">
        <f>O23/$W$35*100</f>
        <v>91.054778554778551</v>
      </c>
      <c r="R23" s="3"/>
      <c r="S23" s="3">
        <f t="shared" si="81"/>
        <v>143</v>
      </c>
      <c r="T23" s="4">
        <f t="shared" si="82"/>
        <v>153.26999999999998</v>
      </c>
      <c r="U23">
        <f t="shared" si="83"/>
        <v>0.20553844193999998</v>
      </c>
      <c r="V23">
        <f t="shared" si="84"/>
        <v>2.5727794880141638E-2</v>
      </c>
      <c r="W23">
        <f t="shared" si="85"/>
        <v>-3.0658955565502124E-7</v>
      </c>
      <c r="X23">
        <v>0.18</v>
      </c>
      <c r="Y23">
        <f t="shared" si="86"/>
        <v>5.5186120017903822E-8</v>
      </c>
      <c r="Z23">
        <f t="shared" si="87"/>
        <v>1.6974289317819214E-5</v>
      </c>
      <c r="AA23">
        <f t="shared" si="88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77"/>
        <v>214.45920000000001</v>
      </c>
      <c r="K24" s="1">
        <f t="shared" si="78"/>
        <v>165</v>
      </c>
      <c r="L24" s="1">
        <f t="shared" si="79"/>
        <v>5.1059454739005803</v>
      </c>
      <c r="M24" s="3">
        <f t="shared" si="80"/>
        <v>781.25000000000011</v>
      </c>
      <c r="N24" s="3"/>
      <c r="O24" s="3">
        <f>M24*60/$W$27</f>
        <v>46875.000000000007</v>
      </c>
      <c r="P24" s="3"/>
      <c r="Q24" s="3">
        <f>O24/$W$35*100</f>
        <v>101.72526041666667</v>
      </c>
      <c r="R24" s="3"/>
      <c r="S24" s="3">
        <f t="shared" si="81"/>
        <v>165</v>
      </c>
      <c r="T24" s="4">
        <f t="shared" si="82"/>
        <v>214.45920000000001</v>
      </c>
      <c r="U24">
        <f t="shared" si="83"/>
        <v>0.28759450530240005</v>
      </c>
      <c r="V24">
        <f t="shared" si="84"/>
        <v>3.2222855292761705E-2</v>
      </c>
      <c r="W24">
        <f t="shared" si="85"/>
        <v>-3.4371045645612482E-7</v>
      </c>
      <c r="X24">
        <v>0.18</v>
      </c>
      <c r="Y24">
        <f t="shared" si="86"/>
        <v>6.1867882162102469E-8</v>
      </c>
      <c r="Z24">
        <f t="shared" si="87"/>
        <v>1.9029482974334368E-5</v>
      </c>
      <c r="AA24">
        <f t="shared" si="88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W40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Y28" s="24" t="s">
        <v>25</v>
      </c>
      <c r="Z28" s="25">
        <v>0</v>
      </c>
      <c r="AB28" s="30"/>
      <c r="AC28" s="65" t="s">
        <v>23</v>
      </c>
      <c r="AD28" s="66">
        <f>W39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21" t="s">
        <v>5</v>
      </c>
      <c r="W29" s="22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AB30" s="30"/>
      <c r="AC30" s="65" t="s">
        <v>25</v>
      </c>
      <c r="AD30" s="66">
        <f>Z28</f>
        <v>0</v>
      </c>
      <c r="AE30" s="30"/>
      <c r="AF30" s="31"/>
    </row>
    <row r="31" spans="1:32" ht="24" thickBot="1" x14ac:dyDescent="0.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t="s">
        <v>47</v>
      </c>
      <c r="AB31" s="94" t="s">
        <v>71</v>
      </c>
      <c r="AC31" s="65" t="s">
        <v>39</v>
      </c>
      <c r="AD31" s="66">
        <f>W35/100</f>
        <v>460.8</v>
      </c>
      <c r="AE31" s="30"/>
      <c r="AF31" s="31"/>
    </row>
    <row r="32" spans="1:32" ht="15" thickBot="1" x14ac:dyDescent="0.3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34">
        <v>240</v>
      </c>
      <c r="W32" s="35" t="s">
        <v>46</v>
      </c>
      <c r="X32" s="36"/>
      <c r="Y32" s="35"/>
      <c r="Z32" s="35"/>
      <c r="AA32" s="37"/>
      <c r="AC32" s="65" t="s">
        <v>27</v>
      </c>
      <c r="AD32" s="66">
        <f>Y40</f>
        <v>180</v>
      </c>
      <c r="AE32" s="30"/>
      <c r="AF32" s="31"/>
    </row>
    <row r="33" spans="2:41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8"/>
      <c r="X33" s="8"/>
      <c r="Y33" s="8"/>
      <c r="AC33" s="65" t="s">
        <v>22</v>
      </c>
      <c r="AD33" s="66">
        <f>Y39</f>
        <v>0</v>
      </c>
      <c r="AE33" s="30"/>
      <c r="AF33" s="31"/>
    </row>
    <row r="34" spans="2:41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t="s">
        <v>48</v>
      </c>
      <c r="AC34" s="65" t="s">
        <v>18</v>
      </c>
      <c r="AD34" s="66">
        <f>W48</f>
        <v>0</v>
      </c>
      <c r="AE34" s="67">
        <f>W47</f>
        <v>14097.688046345114</v>
      </c>
      <c r="AF34" s="68">
        <f>W46</f>
        <v>-170.6101401015417</v>
      </c>
    </row>
    <row r="35" spans="2:41" ht="15" thickBot="1" x14ac:dyDescent="0.35">
      <c r="V35" s="38" t="s">
        <v>6</v>
      </c>
      <c r="W35" s="39">
        <f>W28*W29/X35</f>
        <v>46080</v>
      </c>
      <c r="X35" s="40">
        <v>1.25</v>
      </c>
      <c r="Y35" s="35" t="s">
        <v>14</v>
      </c>
      <c r="Z35" s="41"/>
      <c r="AA35">
        <f>V32</f>
        <v>240</v>
      </c>
      <c r="AC35" s="65" t="s">
        <v>30</v>
      </c>
      <c r="AD35" s="66">
        <f>W50</f>
        <v>-28327.005397586898</v>
      </c>
      <c r="AE35" s="67">
        <f>W49</f>
        <v>14190.01046667831</v>
      </c>
      <c r="AF35" s="31"/>
    </row>
    <row r="36" spans="2:41" x14ac:dyDescent="0.3">
      <c r="AC36" s="65" t="s">
        <v>20</v>
      </c>
      <c r="AD36" s="66">
        <f>Z49</f>
        <v>-10230.71375195049</v>
      </c>
      <c r="AE36" s="69">
        <f>Z48</f>
        <v>1.0237466617461022</v>
      </c>
      <c r="AF36" s="31"/>
    </row>
    <row r="37" spans="2:41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t="s">
        <v>49</v>
      </c>
      <c r="AC37" s="70" t="s">
        <v>21</v>
      </c>
      <c r="AD37" s="71">
        <f>Z47</f>
        <v>10153.923989583083</v>
      </c>
      <c r="AE37" s="72">
        <f>Z46</f>
        <v>0.96825304239840437</v>
      </c>
      <c r="AF37" s="33"/>
    </row>
    <row r="38" spans="2:41" ht="28.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17"/>
      <c r="W38" s="42" t="s">
        <v>28</v>
      </c>
      <c r="X38" s="28"/>
      <c r="Y38" s="42" t="s">
        <v>29</v>
      </c>
      <c r="Z38" s="29" t="s">
        <v>50</v>
      </c>
    </row>
    <row r="39" spans="2:4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s="57" t="s">
        <v>23</v>
      </c>
      <c r="W39" s="58">
        <v>0</v>
      </c>
      <c r="X39" s="45" t="s">
        <v>22</v>
      </c>
      <c r="Y39" s="59">
        <v>0</v>
      </c>
      <c r="Z39" s="89">
        <f>Z49/W35*100</f>
        <v>-22.202069774198112</v>
      </c>
      <c r="AA39" t="s">
        <v>70</v>
      </c>
    </row>
    <row r="40" spans="2:41" x14ac:dyDescent="0.3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57" t="s">
        <v>24</v>
      </c>
      <c r="W40" s="58">
        <v>5</v>
      </c>
      <c r="X40" s="45" t="s">
        <v>27</v>
      </c>
      <c r="Y40" s="59">
        <v>180</v>
      </c>
      <c r="Z40" s="60">
        <v>77</v>
      </c>
    </row>
    <row r="41" spans="2:41" x14ac:dyDescent="0.3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V41" s="19"/>
      <c r="W41" s="30" t="s">
        <v>53</v>
      </c>
      <c r="X41" s="30"/>
      <c r="Y41" s="61"/>
      <c r="Z41" s="89">
        <f>(Z40-Z39)/(W40-W39)</f>
        <v>19.840413954839622</v>
      </c>
    </row>
    <row r="42" spans="2:4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s="19"/>
      <c r="W42" s="30"/>
      <c r="X42" s="30"/>
      <c r="Y42" s="61"/>
      <c r="Z42" s="89">
        <f>Z40-Z41*(W40-W39)</f>
        <v>-22.202069774198108</v>
      </c>
    </row>
    <row r="43" spans="2:41" ht="15" thickBot="1" x14ac:dyDescent="0.35">
      <c r="B43" s="73">
        <v>90</v>
      </c>
      <c r="C43" s="6">
        <f t="shared" ref="C43:C48" si="89">B43/180*(2.4-0.53)+0.53</f>
        <v>1.4649999999999999</v>
      </c>
      <c r="D43" s="88">
        <f t="shared" ref="D43:D48" si="90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21"/>
      <c r="W43" s="32"/>
      <c r="X43" s="32"/>
      <c r="Y43" s="47"/>
      <c r="Z43" s="48" t="s">
        <v>19</v>
      </c>
    </row>
    <row r="44" spans="2:41" x14ac:dyDescent="0.3">
      <c r="B44" s="73">
        <v>100</v>
      </c>
      <c r="C44" s="6">
        <f t="shared" si="89"/>
        <v>1.568888888888889</v>
      </c>
      <c r="D44" s="88">
        <f t="shared" si="90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</row>
    <row r="45" spans="2:41" ht="15" thickBot="1" x14ac:dyDescent="0.35">
      <c r="B45" s="73">
        <v>110</v>
      </c>
      <c r="C45" s="6">
        <f t="shared" si="89"/>
        <v>1.6727777777777779</v>
      </c>
      <c r="D45" s="88">
        <f t="shared" si="90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t="s">
        <v>51</v>
      </c>
    </row>
    <row r="46" spans="2:41" x14ac:dyDescent="0.3">
      <c r="B46" s="73">
        <v>114</v>
      </c>
      <c r="C46" s="6">
        <f t="shared" si="89"/>
        <v>1.7143333333333333</v>
      </c>
      <c r="D46" s="88">
        <f t="shared" si="90"/>
        <v>128.57999999999998</v>
      </c>
      <c r="V46" s="49" t="s">
        <v>18</v>
      </c>
      <c r="W46" s="50">
        <f>INDEX(LINEST($P$4:$P$13,$D$4:$D$13^{1,2},FALSE,FALSE),1)</f>
        <v>-170.6101401015417</v>
      </c>
      <c r="X46" s="28"/>
      <c r="Y46" s="51" t="s">
        <v>21</v>
      </c>
      <c r="Z46" s="52">
        <f>INDEX(LINEST($O$4:$O$13,$P$4:$P$13),1)</f>
        <v>0.96825304239840437</v>
      </c>
      <c r="AG46" s="104"/>
      <c r="AH46" s="104"/>
      <c r="AN46" s="3"/>
      <c r="AO46" s="3"/>
    </row>
    <row r="47" spans="2:41" x14ac:dyDescent="0.3">
      <c r="B47" s="73">
        <v>127.5</v>
      </c>
      <c r="C47" s="6">
        <f t="shared" si="89"/>
        <v>1.8545833333333333</v>
      </c>
      <c r="D47" s="88">
        <f t="shared" si="90"/>
        <v>153.82499999999999</v>
      </c>
      <c r="V47" s="43"/>
      <c r="W47" s="54">
        <f>INDEX(LINEST($P$4:$P$13,$D$4:$D$13^{1,2},FALSE,FALSE),2)</f>
        <v>14097.688046345114</v>
      </c>
      <c r="X47" s="30"/>
      <c r="Y47" s="44"/>
      <c r="Z47" s="46">
        <f>INDEX(LINEST($O$4:$O$13,$P$4:$P$13),2)</f>
        <v>10153.923989583083</v>
      </c>
    </row>
    <row r="48" spans="2:41" ht="15" thickBot="1" x14ac:dyDescent="0.35">
      <c r="B48" s="80">
        <v>136.4</v>
      </c>
      <c r="C48" s="6">
        <f t="shared" si="89"/>
        <v>1.9470444444444444</v>
      </c>
      <c r="D48" s="88">
        <f t="shared" si="90"/>
        <v>170.46799999999999</v>
      </c>
      <c r="V48" s="43"/>
      <c r="W48" s="54">
        <f>INDEX(LINEST($P$4:$P$13,$D$4:$D$13^{1,2},FALSE,FALSE),3)</f>
        <v>0</v>
      </c>
      <c r="X48" s="30"/>
      <c r="Y48" s="44" t="s">
        <v>20</v>
      </c>
      <c r="Z48" s="46">
        <f>INDEX(LINEST($P$4:$P$13,$O$4:$O$13),1)</f>
        <v>1.0237466617461022</v>
      </c>
    </row>
    <row r="49" spans="22:27" x14ac:dyDescent="0.3">
      <c r="V49" s="43" t="s">
        <v>30</v>
      </c>
      <c r="W49" s="54">
        <f>INDEX(LINEST($O$6:$O$13,$L$6:$L$13),1)</f>
        <v>14190.01046667831</v>
      </c>
      <c r="X49" s="30"/>
      <c r="Y49" s="44"/>
      <c r="Z49" s="46">
        <f>INDEX(LINEST($P$4:$P$13,$O$4:$O$13),2)</f>
        <v>-10230.71375195049</v>
      </c>
      <c r="AA49" t="s">
        <v>78</v>
      </c>
    </row>
    <row r="50" spans="22:27" x14ac:dyDescent="0.3">
      <c r="V50" s="43"/>
      <c r="W50" s="54">
        <f>INDEX(LINEST($O$6:$O$13,$L$6:$L$13),2)</f>
        <v>-28327.005397586898</v>
      </c>
      <c r="X50" s="30"/>
      <c r="Y50" s="30"/>
      <c r="Z50" s="31"/>
    </row>
    <row r="51" spans="22:27" x14ac:dyDescent="0.3">
      <c r="V51" s="19"/>
      <c r="W51" s="30"/>
      <c r="X51" s="30"/>
      <c r="Y51" s="30"/>
      <c r="Z51" s="31"/>
    </row>
    <row r="52" spans="22:27" ht="15" thickBot="1" x14ac:dyDescent="0.35">
      <c r="V52" s="107" t="s">
        <v>80</v>
      </c>
      <c r="W52" s="108">
        <f>EXP((0-$AD$35)/$AE$35)</f>
        <v>7.361501228839896</v>
      </c>
      <c r="X52" s="32"/>
      <c r="Y52" s="32"/>
      <c r="Z52" s="33"/>
      <c r="AA52" t="s">
        <v>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7773437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2016-10-19T21:24:15Z</dcterms:modified>
</cp:coreProperties>
</file>