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9656" windowHeight="8388"/>
  </bookViews>
  <sheets>
    <sheet name="CalPhotonTurnigy" sheetId="4" r:id="rId1"/>
    <sheet name="TauPhotonTurnigy" sheetId="5" r:id="rId2"/>
    <sheet name="CalArduinoTurnigy" sheetId="3" r:id="rId3"/>
    <sheet name="CalArduinoHiTec" sheetId="1" r:id="rId4"/>
    <sheet name="CalPhotonHiTec" sheetId="2" r:id="rId5"/>
  </sheets>
  <calcPr calcId="152511"/>
</workbook>
</file>

<file path=xl/calcChain.xml><?xml version="1.0" encoding="utf-8"?>
<calcChain xmlns="http://schemas.openxmlformats.org/spreadsheetml/2006/main">
  <c r="BA2" i="5" l="1"/>
  <c r="BB2" i="5"/>
  <c r="BC2" i="5"/>
  <c r="AF13" i="4"/>
  <c r="AE8" i="4" l="1"/>
  <c r="AE9" i="4"/>
  <c r="AE10" i="4"/>
  <c r="AE11" i="4"/>
  <c r="AE12" i="4"/>
  <c r="AE13" i="4"/>
  <c r="AE14" i="4"/>
  <c r="AE15" i="4"/>
  <c r="AE40" i="4" l="1"/>
  <c r="AU2" i="5" l="1"/>
  <c r="AX2" i="5"/>
  <c r="AZ2" i="5" s="1"/>
  <c r="BD2" i="5"/>
  <c r="BE2" i="5"/>
  <c r="BF2" i="5" s="1"/>
  <c r="BM2" i="5"/>
  <c r="BN2" i="5" s="1"/>
  <c r="BS2" i="5" s="1"/>
  <c r="BP2" i="5"/>
  <c r="BQ2" i="5" s="1"/>
  <c r="AU3" i="5"/>
  <c r="AX3" i="5"/>
  <c r="AZ3" i="5" s="1"/>
  <c r="BA3" i="5"/>
  <c r="BB3" i="5" s="1"/>
  <c r="BC3" i="5"/>
  <c r="BE3" i="5"/>
  <c r="BF3" i="5"/>
  <c r="BM3" i="5"/>
  <c r="BN3" i="5" s="1"/>
  <c r="BS3" i="5" s="1"/>
  <c r="BO3" i="5"/>
  <c r="BP3" i="5"/>
  <c r="BQ3" i="5" s="1"/>
  <c r="AU4" i="5"/>
  <c r="AX4" i="5"/>
  <c r="AZ4" i="5"/>
  <c r="BA4" i="5"/>
  <c r="BD4" i="5" s="1"/>
  <c r="BC4" i="5"/>
  <c r="BE4" i="5"/>
  <c r="BF4" i="5" s="1"/>
  <c r="BM4" i="5"/>
  <c r="BN4" i="5"/>
  <c r="BO4" i="5"/>
  <c r="BT4" i="5" s="1"/>
  <c r="BP4" i="5"/>
  <c r="BQ4" i="5" s="1"/>
  <c r="BR4" i="5"/>
  <c r="AU5" i="5"/>
  <c r="AX5" i="5"/>
  <c r="AZ5" i="5" s="1"/>
  <c r="BA5" i="5"/>
  <c r="BB5" i="5" s="1"/>
  <c r="BC5" i="5"/>
  <c r="BD5" i="5"/>
  <c r="BE5" i="5"/>
  <c r="BF5" i="5" s="1"/>
  <c r="BM5" i="5"/>
  <c r="BP5" i="5"/>
  <c r="BQ5" i="5"/>
  <c r="BR5" i="5"/>
  <c r="AU6" i="5"/>
  <c r="AX6" i="5"/>
  <c r="AZ6" i="5" s="1"/>
  <c r="BA6" i="5"/>
  <c r="BB6" i="5"/>
  <c r="BC6" i="5"/>
  <c r="BD6" i="5"/>
  <c r="BE6" i="5"/>
  <c r="BF6" i="5"/>
  <c r="BM6" i="5"/>
  <c r="BN6" i="5" s="1"/>
  <c r="BP6" i="5"/>
  <c r="BR6" i="5" s="1"/>
  <c r="BQ6" i="5"/>
  <c r="AU7" i="5"/>
  <c r="BB7" i="5" s="1"/>
  <c r="AX7" i="5"/>
  <c r="AZ7" i="5" s="1"/>
  <c r="BA7" i="5"/>
  <c r="BD7" i="5" s="1"/>
  <c r="BC7" i="5"/>
  <c r="BE7" i="5"/>
  <c r="BF7" i="5"/>
  <c r="BM7" i="5"/>
  <c r="BN7" i="5" s="1"/>
  <c r="BO7" i="5"/>
  <c r="BP7" i="5"/>
  <c r="AU8" i="5"/>
  <c r="AX8" i="5"/>
  <c r="AZ8" i="5"/>
  <c r="BA8" i="5"/>
  <c r="BD8" i="5" s="1"/>
  <c r="BC8" i="5"/>
  <c r="BE8" i="5"/>
  <c r="BF8" i="5" s="1"/>
  <c r="BM8" i="5"/>
  <c r="BN8" i="5"/>
  <c r="BO8" i="5"/>
  <c r="BP8" i="5"/>
  <c r="BQ8" i="5" s="1"/>
  <c r="BR8" i="5"/>
  <c r="BS8" i="5"/>
  <c r="M8" i="5" s="1"/>
  <c r="AU9" i="5"/>
  <c r="AX9" i="5"/>
  <c r="AZ9" i="5" s="1"/>
  <c r="BA9" i="5"/>
  <c r="BC9" i="5"/>
  <c r="BD9" i="5"/>
  <c r="BE9" i="5"/>
  <c r="BF9" i="5" s="1"/>
  <c r="BM9" i="5"/>
  <c r="BO9" i="5" s="1"/>
  <c r="BT9" i="5" s="1"/>
  <c r="AD9" i="5" s="1"/>
  <c r="BP9" i="5"/>
  <c r="BQ9" i="5"/>
  <c r="BR9" i="5"/>
  <c r="AU10" i="5"/>
  <c r="AX10" i="5"/>
  <c r="AZ10" i="5" s="1"/>
  <c r="BA10" i="5"/>
  <c r="BD10" i="5" s="1"/>
  <c r="BB10" i="5"/>
  <c r="BC10" i="5"/>
  <c r="BE10" i="5"/>
  <c r="BF10" i="5"/>
  <c r="BM10" i="5"/>
  <c r="BP10" i="5"/>
  <c r="BR10" i="5" s="1"/>
  <c r="BQ10" i="5"/>
  <c r="BM11" i="5"/>
  <c r="BP11" i="5"/>
  <c r="BR11" i="5" s="1"/>
  <c r="BM12" i="5"/>
  <c r="BP12" i="5"/>
  <c r="BR12" i="5" s="1"/>
  <c r="BM13" i="5"/>
  <c r="BP13" i="5"/>
  <c r="BR13" i="5" s="1"/>
  <c r="BM14" i="5"/>
  <c r="BP14" i="5"/>
  <c r="BR14" i="5" s="1"/>
  <c r="BM15" i="5"/>
  <c r="BP15" i="5"/>
  <c r="BR15" i="5" s="1"/>
  <c r="BM16" i="5"/>
  <c r="BP16" i="5"/>
  <c r="BR16" i="5" s="1"/>
  <c r="BM17" i="5"/>
  <c r="BP17" i="5"/>
  <c r="BR17" i="5" s="1"/>
  <c r="BM18" i="5"/>
  <c r="BP18" i="5"/>
  <c r="BR18" i="5" s="1"/>
  <c r="BM19" i="5"/>
  <c r="BP19" i="5"/>
  <c r="BR19" i="5" s="1"/>
  <c r="BM20" i="5"/>
  <c r="BP20" i="5"/>
  <c r="BR20" i="5" s="1"/>
  <c r="BM21" i="5"/>
  <c r="BP21" i="5"/>
  <c r="BR21" i="5" s="1"/>
  <c r="BM22" i="5"/>
  <c r="BP22" i="5"/>
  <c r="BR22" i="5" s="1"/>
  <c r="BM23" i="5"/>
  <c r="BP23" i="5"/>
  <c r="BR23" i="5" s="1"/>
  <c r="BM24" i="5"/>
  <c r="BP24" i="5"/>
  <c r="BR24" i="5" s="1"/>
  <c r="BM25" i="5"/>
  <c r="BP25" i="5"/>
  <c r="BR25" i="5" s="1"/>
  <c r="BM26" i="5"/>
  <c r="BP26" i="5"/>
  <c r="BR26" i="5" s="1"/>
  <c r="BM27" i="5"/>
  <c r="BP27" i="5"/>
  <c r="BR27" i="5" s="1"/>
  <c r="G28" i="5"/>
  <c r="X28" i="5"/>
  <c r="AB28" i="5"/>
  <c r="AM28" i="5"/>
  <c r="BM28" i="5"/>
  <c r="BP28" i="5"/>
  <c r="BR28" i="5" s="1"/>
  <c r="R29" i="5"/>
  <c r="AG29" i="5"/>
  <c r="AM29" i="5"/>
  <c r="BM29" i="5"/>
  <c r="BO29" i="5" s="1"/>
  <c r="BT29" i="5" s="1"/>
  <c r="BN29" i="5"/>
  <c r="BS29" i="5" s="1"/>
  <c r="BP29" i="5"/>
  <c r="BQ29" i="5"/>
  <c r="BR29" i="5"/>
  <c r="BM30" i="5"/>
  <c r="BO30" i="5" s="1"/>
  <c r="BN30" i="5"/>
  <c r="BP30" i="5"/>
  <c r="BQ30" i="5"/>
  <c r="BR30" i="5"/>
  <c r="BM31" i="5"/>
  <c r="BO31" i="5" s="1"/>
  <c r="BT31" i="5" s="1"/>
  <c r="BP31" i="5"/>
  <c r="BQ31" i="5"/>
  <c r="BR31" i="5"/>
  <c r="BM32" i="5"/>
  <c r="BN32" i="5"/>
  <c r="BO32" i="5"/>
  <c r="BP32" i="5"/>
  <c r="BQ32" i="5" s="1"/>
  <c r="BM33" i="5"/>
  <c r="BN33" i="5"/>
  <c r="BS33" i="5" s="1"/>
  <c r="BO33" i="5"/>
  <c r="BT33" i="5" s="1"/>
  <c r="BP33" i="5"/>
  <c r="BQ33" i="5"/>
  <c r="BR33" i="5"/>
  <c r="AE39" i="4"/>
  <c r="AS29" i="4"/>
  <c r="AE41" i="4"/>
  <c r="AU12" i="4" l="1"/>
  <c r="AU13" i="4"/>
  <c r="AU9" i="4"/>
  <c r="AU10" i="4"/>
  <c r="AU14" i="4"/>
  <c r="AU15" i="4"/>
  <c r="AU8" i="4"/>
  <c r="AU11" i="4"/>
  <c r="BN27" i="5"/>
  <c r="BO27" i="5"/>
  <c r="BT27" i="5" s="1"/>
  <c r="BN17" i="5"/>
  <c r="BO17" i="5"/>
  <c r="BT17" i="5" s="1"/>
  <c r="AN9" i="5"/>
  <c r="BS30" i="5"/>
  <c r="BN26" i="5"/>
  <c r="BO26" i="5"/>
  <c r="BT26" i="5" s="1"/>
  <c r="BN16" i="5"/>
  <c r="BO16" i="5"/>
  <c r="BT16" i="5" s="1"/>
  <c r="BR32" i="5"/>
  <c r="BN31" i="5"/>
  <c r="BS31" i="5" s="1"/>
  <c r="BQ28" i="5"/>
  <c r="BQ27" i="5"/>
  <c r="BQ25" i="5"/>
  <c r="BQ23" i="5"/>
  <c r="BQ21" i="5"/>
  <c r="BQ19" i="5"/>
  <c r="BQ17" i="5"/>
  <c r="BQ15" i="5"/>
  <c r="BQ13" i="5"/>
  <c r="BQ11" i="5"/>
  <c r="AR8" i="5"/>
  <c r="BN9" i="5"/>
  <c r="BS9" i="5" s="1"/>
  <c r="I9" i="5"/>
  <c r="BQ7" i="5"/>
  <c r="BS7" i="5" s="1"/>
  <c r="BR7" i="5"/>
  <c r="BT7" i="5" s="1"/>
  <c r="H3" i="5"/>
  <c r="AC3" i="5"/>
  <c r="M3" i="5"/>
  <c r="AH3" i="5"/>
  <c r="S3" i="5"/>
  <c r="AM3" i="5"/>
  <c r="X3" i="5"/>
  <c r="AR3" i="5"/>
  <c r="H2" i="5"/>
  <c r="AC2" i="5"/>
  <c r="M2" i="5"/>
  <c r="AH2" i="5"/>
  <c r="S2" i="5"/>
  <c r="AM2" i="5"/>
  <c r="X2" i="5"/>
  <c r="AR2" i="5"/>
  <c r="BN23" i="5"/>
  <c r="BS23" i="5" s="1"/>
  <c r="BO23" i="5"/>
  <c r="BT23" i="5" s="1"/>
  <c r="BN15" i="5"/>
  <c r="BO15" i="5"/>
  <c r="BT15" i="5" s="1"/>
  <c r="BQ26" i="5"/>
  <c r="BQ24" i="5"/>
  <c r="BQ22" i="5"/>
  <c r="BQ20" i="5"/>
  <c r="BQ18" i="5"/>
  <c r="BQ16" i="5"/>
  <c r="BQ14" i="5"/>
  <c r="BQ12" i="5"/>
  <c r="X8" i="5"/>
  <c r="Y4" i="5"/>
  <c r="AS4" i="5"/>
  <c r="I4" i="5"/>
  <c r="AD4" i="5"/>
  <c r="N4" i="5"/>
  <c r="AI4" i="5"/>
  <c r="T4" i="5"/>
  <c r="AN4" i="5"/>
  <c r="BT32" i="5"/>
  <c r="BN25" i="5"/>
  <c r="BS25" i="5" s="1"/>
  <c r="BO25" i="5"/>
  <c r="BT25" i="5" s="1"/>
  <c r="BN19" i="5"/>
  <c r="BS19" i="5" s="1"/>
  <c r="BO19" i="5"/>
  <c r="BT19" i="5" s="1"/>
  <c r="BN11" i="5"/>
  <c r="BO11" i="5"/>
  <c r="BT11" i="5" s="1"/>
  <c r="AH8" i="5"/>
  <c r="BB8" i="5"/>
  <c r="BT8" i="5"/>
  <c r="BS6" i="5"/>
  <c r="BS4" i="5"/>
  <c r="N9" i="5"/>
  <c r="AI9" i="5"/>
  <c r="Y9" i="5"/>
  <c r="AS9" i="5"/>
  <c r="BS32" i="5"/>
  <c r="BN22" i="5"/>
  <c r="BS22" i="5" s="1"/>
  <c r="BO22" i="5"/>
  <c r="BT22" i="5" s="1"/>
  <c r="BN18" i="5"/>
  <c r="BS18" i="5" s="1"/>
  <c r="BO18" i="5"/>
  <c r="BT18" i="5" s="1"/>
  <c r="BN14" i="5"/>
  <c r="BS14" i="5" s="1"/>
  <c r="BO14" i="5"/>
  <c r="BT14" i="5" s="1"/>
  <c r="BN12" i="5"/>
  <c r="BS12" i="5" s="1"/>
  <c r="BO12" i="5"/>
  <c r="BT12" i="5" s="1"/>
  <c r="BN10" i="5"/>
  <c r="BS10" i="5" s="1"/>
  <c r="BO10" i="5"/>
  <c r="BT10" i="5" s="1"/>
  <c r="BB9" i="5"/>
  <c r="BN28" i="5"/>
  <c r="BS28" i="5" s="1"/>
  <c r="BO28" i="5"/>
  <c r="BT28" i="5" s="1"/>
  <c r="BN21" i="5"/>
  <c r="BS21" i="5" s="1"/>
  <c r="BO21" i="5"/>
  <c r="BT21" i="5" s="1"/>
  <c r="BN13" i="5"/>
  <c r="BS13" i="5" s="1"/>
  <c r="BO13" i="5"/>
  <c r="BT13" i="5" s="1"/>
  <c r="S8" i="5"/>
  <c r="AM8" i="5"/>
  <c r="H8" i="5"/>
  <c r="AC8" i="5"/>
  <c r="BT30" i="5"/>
  <c r="BN24" i="5"/>
  <c r="BS24" i="5" s="1"/>
  <c r="BO24" i="5"/>
  <c r="BT24" i="5" s="1"/>
  <c r="BN20" i="5"/>
  <c r="BO20" i="5"/>
  <c r="BT20" i="5" s="1"/>
  <c r="T9" i="5"/>
  <c r="BN5" i="5"/>
  <c r="BS5" i="5" s="1"/>
  <c r="BO5" i="5"/>
  <c r="BT5" i="5" s="1"/>
  <c r="BO6" i="5"/>
  <c r="BT6" i="5" s="1"/>
  <c r="BR3" i="5"/>
  <c r="BT3" i="5" s="1"/>
  <c r="BD3" i="5"/>
  <c r="BB4" i="5"/>
  <c r="BR2" i="5"/>
  <c r="BO2" i="5"/>
  <c r="X7" i="5" l="1"/>
  <c r="AR7" i="5"/>
  <c r="H7" i="5"/>
  <c r="M7" i="5"/>
  <c r="AH7" i="5"/>
  <c r="AC7" i="5"/>
  <c r="AM7" i="5"/>
  <c r="S7" i="5"/>
  <c r="Y3" i="5"/>
  <c r="AS3" i="5"/>
  <c r="I3" i="5"/>
  <c r="AD3" i="5"/>
  <c r="N3" i="5"/>
  <c r="AI3" i="5"/>
  <c r="T3" i="5"/>
  <c r="AN3" i="5"/>
  <c r="T7" i="5"/>
  <c r="AN7" i="5"/>
  <c r="I7" i="5"/>
  <c r="AD7" i="5"/>
  <c r="Y7" i="5"/>
  <c r="AI7" i="5"/>
  <c r="N7" i="5"/>
  <c r="AS7" i="5"/>
  <c r="I23" i="5"/>
  <c r="AD23" i="5"/>
  <c r="T23" i="5"/>
  <c r="AN23" i="5"/>
  <c r="Y23" i="5"/>
  <c r="AS23" i="5"/>
  <c r="AI23" i="5"/>
  <c r="N23" i="5"/>
  <c r="BT2" i="5"/>
  <c r="M18" i="5"/>
  <c r="AH18" i="5"/>
  <c r="X18" i="5"/>
  <c r="AR18" i="5"/>
  <c r="H18" i="5"/>
  <c r="AC18" i="5"/>
  <c r="S18" i="5"/>
  <c r="AM18" i="5"/>
  <c r="X4" i="5"/>
  <c r="AR4" i="5"/>
  <c r="H4" i="5"/>
  <c r="AC4" i="5"/>
  <c r="S4" i="5"/>
  <c r="AM4" i="5"/>
  <c r="M4" i="5"/>
  <c r="AH4" i="5"/>
  <c r="M19" i="5"/>
  <c r="AH19" i="5"/>
  <c r="X19" i="5"/>
  <c r="AR19" i="5"/>
  <c r="AC19" i="5"/>
  <c r="H19" i="5"/>
  <c r="AM19" i="5"/>
  <c r="S19" i="5"/>
  <c r="M23" i="5"/>
  <c r="AH23" i="5"/>
  <c r="X23" i="5"/>
  <c r="AR23" i="5"/>
  <c r="AC23" i="5"/>
  <c r="AM23" i="5"/>
  <c r="S23" i="5"/>
  <c r="H23" i="5"/>
  <c r="BS20" i="5"/>
  <c r="M10" i="5"/>
  <c r="AH10" i="5"/>
  <c r="X10" i="5"/>
  <c r="AR10" i="5"/>
  <c r="AM10" i="5"/>
  <c r="H10" i="5"/>
  <c r="AC10" i="5"/>
  <c r="S10" i="5"/>
  <c r="M22" i="5"/>
  <c r="AH22" i="5"/>
  <c r="X22" i="5"/>
  <c r="AR22" i="5"/>
  <c r="S22" i="5"/>
  <c r="AC22" i="5"/>
  <c r="AM22" i="5"/>
  <c r="H22" i="5"/>
  <c r="T8" i="5"/>
  <c r="AN8" i="5"/>
  <c r="I8" i="5"/>
  <c r="AD8" i="5"/>
  <c r="AS8" i="5"/>
  <c r="N8" i="5"/>
  <c r="Y8" i="5"/>
  <c r="AI8" i="5"/>
  <c r="M25" i="5"/>
  <c r="AH25" i="5"/>
  <c r="X25" i="5"/>
  <c r="AR25" i="5"/>
  <c r="AM25" i="5"/>
  <c r="S25" i="5"/>
  <c r="AC25" i="5"/>
  <c r="H25" i="5"/>
  <c r="BS17" i="5"/>
  <c r="N10" i="5"/>
  <c r="AI10" i="5"/>
  <c r="Y10" i="5"/>
  <c r="AS10" i="5"/>
  <c r="AN10" i="5"/>
  <c r="T10" i="5"/>
  <c r="I10" i="5"/>
  <c r="AD10" i="5"/>
  <c r="X6" i="5"/>
  <c r="AR6" i="5"/>
  <c r="M6" i="5"/>
  <c r="AH6" i="5"/>
  <c r="AM6" i="5"/>
  <c r="S6" i="5"/>
  <c r="H6" i="5"/>
  <c r="AC6" i="5"/>
  <c r="I13" i="5"/>
  <c r="AD13" i="5"/>
  <c r="T13" i="5"/>
  <c r="AN13" i="5"/>
  <c r="Y13" i="5"/>
  <c r="AS13" i="5"/>
  <c r="AI13" i="5"/>
  <c r="N13" i="5"/>
  <c r="I24" i="5"/>
  <c r="AD24" i="5"/>
  <c r="T24" i="5"/>
  <c r="AN24" i="5"/>
  <c r="AS24" i="5"/>
  <c r="N24" i="5"/>
  <c r="AI24" i="5"/>
  <c r="Y24" i="5"/>
  <c r="M13" i="5"/>
  <c r="AH13" i="5"/>
  <c r="X13" i="5"/>
  <c r="AR13" i="5"/>
  <c r="AC13" i="5"/>
  <c r="AM13" i="5"/>
  <c r="H13" i="5"/>
  <c r="S13" i="5"/>
  <c r="I12" i="5"/>
  <c r="AD12" i="5"/>
  <c r="T12" i="5"/>
  <c r="AN12" i="5"/>
  <c r="AS12" i="5"/>
  <c r="N12" i="5"/>
  <c r="Y12" i="5"/>
  <c r="AI12" i="5"/>
  <c r="I16" i="5"/>
  <c r="AD16" i="5"/>
  <c r="T16" i="5"/>
  <c r="AN16" i="5"/>
  <c r="AS16" i="5"/>
  <c r="Y16" i="5"/>
  <c r="N16" i="5"/>
  <c r="AI16" i="5"/>
  <c r="I27" i="5"/>
  <c r="AD27" i="5"/>
  <c r="T27" i="5"/>
  <c r="AN27" i="5"/>
  <c r="Y27" i="5"/>
  <c r="N27" i="5"/>
  <c r="AI27" i="5"/>
  <c r="AS27" i="5"/>
  <c r="I18" i="5"/>
  <c r="AD18" i="5"/>
  <c r="T18" i="5"/>
  <c r="AN18" i="5"/>
  <c r="AS18" i="5"/>
  <c r="Y18" i="5"/>
  <c r="N18" i="5"/>
  <c r="AI18" i="5"/>
  <c r="I25" i="5"/>
  <c r="AD25" i="5"/>
  <c r="T25" i="5"/>
  <c r="AN25" i="5"/>
  <c r="Y25" i="5"/>
  <c r="AS25" i="5"/>
  <c r="N25" i="5"/>
  <c r="AI25" i="5"/>
  <c r="I17" i="5"/>
  <c r="AD17" i="5"/>
  <c r="T17" i="5"/>
  <c r="AN17" i="5"/>
  <c r="Y17" i="5"/>
  <c r="AS17" i="5"/>
  <c r="N17" i="5"/>
  <c r="AI17" i="5"/>
  <c r="M24" i="5"/>
  <c r="AH24" i="5"/>
  <c r="X24" i="5"/>
  <c r="AR24" i="5"/>
  <c r="H24" i="5"/>
  <c r="AC24" i="5"/>
  <c r="S24" i="5"/>
  <c r="AM24" i="5"/>
  <c r="I21" i="5"/>
  <c r="AD21" i="5"/>
  <c r="T21" i="5"/>
  <c r="AN21" i="5"/>
  <c r="Y21" i="5"/>
  <c r="AI21" i="5"/>
  <c r="AS21" i="5"/>
  <c r="N21" i="5"/>
  <c r="M12" i="5"/>
  <c r="AH12" i="5"/>
  <c r="X12" i="5"/>
  <c r="AR12" i="5"/>
  <c r="AC12" i="5"/>
  <c r="H12" i="5"/>
  <c r="S12" i="5"/>
  <c r="AM12" i="5"/>
  <c r="S9" i="5"/>
  <c r="AM9" i="5"/>
  <c r="H9" i="5"/>
  <c r="AC9" i="5"/>
  <c r="X9" i="5"/>
  <c r="AR9" i="5"/>
  <c r="AH9" i="5"/>
  <c r="M9" i="5"/>
  <c r="BS16" i="5"/>
  <c r="BS27" i="5"/>
  <c r="I19" i="5"/>
  <c r="AD19" i="5"/>
  <c r="T19" i="5"/>
  <c r="AN19" i="5"/>
  <c r="Y19" i="5"/>
  <c r="AI19" i="5"/>
  <c r="N19" i="5"/>
  <c r="AS19" i="5"/>
  <c r="I22" i="5"/>
  <c r="AD22" i="5"/>
  <c r="T22" i="5"/>
  <c r="AN22" i="5"/>
  <c r="AS22" i="5"/>
  <c r="N22" i="5"/>
  <c r="AI22" i="5"/>
  <c r="Y22" i="5"/>
  <c r="Y6" i="5"/>
  <c r="AS6" i="5"/>
  <c r="I6" i="5"/>
  <c r="AD6" i="5"/>
  <c r="N6" i="5"/>
  <c r="AI6" i="5"/>
  <c r="AN6" i="5"/>
  <c r="T6" i="5"/>
  <c r="M21" i="5"/>
  <c r="AH21" i="5"/>
  <c r="X21" i="5"/>
  <c r="AR21" i="5"/>
  <c r="AC21" i="5"/>
  <c r="H21" i="5"/>
  <c r="AM21" i="5"/>
  <c r="S21" i="5"/>
  <c r="I14" i="5"/>
  <c r="AD14" i="5"/>
  <c r="T14" i="5"/>
  <c r="AN14" i="5"/>
  <c r="AS14" i="5"/>
  <c r="Y14" i="5"/>
  <c r="N14" i="5"/>
  <c r="AI14" i="5"/>
  <c r="I11" i="5"/>
  <c r="AD11" i="5"/>
  <c r="T11" i="5"/>
  <c r="AN11" i="5"/>
  <c r="Y11" i="5"/>
  <c r="AS11" i="5"/>
  <c r="AI11" i="5"/>
  <c r="N11" i="5"/>
  <c r="I15" i="5"/>
  <c r="AD15" i="5"/>
  <c r="T15" i="5"/>
  <c r="AN15" i="5"/>
  <c r="Y15" i="5"/>
  <c r="AI15" i="5"/>
  <c r="N15" i="5"/>
  <c r="AS15" i="5"/>
  <c r="I26" i="5"/>
  <c r="AD26" i="5"/>
  <c r="T26" i="5"/>
  <c r="AN26" i="5"/>
  <c r="AS26" i="5"/>
  <c r="N26" i="5"/>
  <c r="Y26" i="5"/>
  <c r="AI26" i="5"/>
  <c r="X5" i="5"/>
  <c r="AR5" i="5"/>
  <c r="H5" i="5"/>
  <c r="AC5" i="5"/>
  <c r="M5" i="5"/>
  <c r="AH5" i="5"/>
  <c r="S5" i="5"/>
  <c r="AM5" i="5"/>
  <c r="I20" i="5"/>
  <c r="AD20" i="5"/>
  <c r="T20" i="5"/>
  <c r="AN20" i="5"/>
  <c r="AS20" i="5"/>
  <c r="Y20" i="5"/>
  <c r="N20" i="5"/>
  <c r="AI20" i="5"/>
  <c r="Y5" i="5"/>
  <c r="AS5" i="5"/>
  <c r="N5" i="5"/>
  <c r="AI5" i="5"/>
  <c r="AD5" i="5"/>
  <c r="AN5" i="5"/>
  <c r="I5" i="5"/>
  <c r="T5" i="5"/>
  <c r="M14" i="5"/>
  <c r="AH14" i="5"/>
  <c r="X14" i="5"/>
  <c r="AR14" i="5"/>
  <c r="H14" i="5"/>
  <c r="S14" i="5"/>
  <c r="AC14" i="5"/>
  <c r="AM14" i="5"/>
  <c r="BS11" i="5"/>
  <c r="BS15" i="5"/>
  <c r="BS26" i="5"/>
  <c r="M26" i="5" l="1"/>
  <c r="AH26" i="5"/>
  <c r="X26" i="5"/>
  <c r="AR26" i="5"/>
  <c r="S26" i="5"/>
  <c r="AM26" i="5"/>
  <c r="H26" i="5"/>
  <c r="AC26" i="5"/>
  <c r="M15" i="5"/>
  <c r="AH15" i="5"/>
  <c r="X15" i="5"/>
  <c r="AR15" i="5"/>
  <c r="AM15" i="5"/>
  <c r="H15" i="5"/>
  <c r="S15" i="5"/>
  <c r="AC15" i="5"/>
  <c r="M11" i="5"/>
  <c r="AH11" i="5"/>
  <c r="X11" i="5"/>
  <c r="AR11" i="5"/>
  <c r="AC11" i="5"/>
  <c r="H11" i="5"/>
  <c r="AM11" i="5"/>
  <c r="S11" i="5"/>
  <c r="M27" i="5"/>
  <c r="AH27" i="5"/>
  <c r="X27" i="5"/>
  <c r="AR27" i="5"/>
  <c r="H27" i="5"/>
  <c r="AC27" i="5"/>
  <c r="AM27" i="5"/>
  <c r="S27" i="5"/>
  <c r="M16" i="5"/>
  <c r="AH16" i="5"/>
  <c r="X16" i="5"/>
  <c r="AR16" i="5"/>
  <c r="S16" i="5"/>
  <c r="AM16" i="5"/>
  <c r="H16" i="5"/>
  <c r="AC16" i="5"/>
  <c r="M17" i="5"/>
  <c r="AH17" i="5"/>
  <c r="X17" i="5"/>
  <c r="AR17" i="5"/>
  <c r="AC17" i="5"/>
  <c r="H17" i="5"/>
  <c r="AM17" i="5"/>
  <c r="S17" i="5"/>
  <c r="M20" i="5"/>
  <c r="AH20" i="5"/>
  <c r="X20" i="5"/>
  <c r="AR20" i="5"/>
  <c r="H20" i="5"/>
  <c r="AC20" i="5"/>
  <c r="S20" i="5"/>
  <c r="AM20" i="5"/>
  <c r="I2" i="5"/>
  <c r="AD2" i="5"/>
  <c r="N2" i="5"/>
  <c r="AI2" i="5"/>
  <c r="T2" i="5"/>
  <c r="AN2" i="5"/>
  <c r="Y2" i="5"/>
  <c r="AS2" i="5"/>
  <c r="AE43" i="4" l="1"/>
  <c r="AE38" i="4" l="1"/>
  <c r="T44" i="4"/>
  <c r="AD3" i="4" l="1"/>
  <c r="X43" i="4" l="1"/>
  <c r="AE37" i="4" s="1"/>
  <c r="X41" i="4"/>
  <c r="Z41" i="4" s="1"/>
  <c r="Y15" i="4" s="1"/>
  <c r="AE36" i="4" s="1"/>
  <c r="AB15" i="4" l="1"/>
  <c r="AC15" i="4" s="1"/>
  <c r="Z15" i="4"/>
  <c r="AF50" i="4"/>
  <c r="AF49" i="4"/>
  <c r="AF51" i="4" s="1"/>
  <c r="AF52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F48" i="4"/>
  <c r="U7" i="4" l="1"/>
  <c r="AF53" i="4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D30" i="2"/>
  <c r="C30" i="2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N9" i="2"/>
  <c r="P9" i="2" s="1"/>
  <c r="M9" i="2"/>
  <c r="O9" i="2" s="1"/>
  <c r="L9" i="2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O7" i="2"/>
  <c r="M7" i="2"/>
  <c r="L7" i="2"/>
  <c r="N7" i="2" s="1"/>
  <c r="P7" i="2" s="1"/>
  <c r="K7" i="2"/>
  <c r="S7" i="2" s="1"/>
  <c r="J7" i="2"/>
  <c r="X7" i="2" s="1"/>
  <c r="U6" i="2"/>
  <c r="N6" i="2"/>
  <c r="P6" i="2" s="1"/>
  <c r="M6" i="2"/>
  <c r="O6" i="2" s="1"/>
  <c r="Q6" i="2" s="1"/>
  <c r="L6" i="2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O3" i="2"/>
  <c r="N3" i="2"/>
  <c r="P3" i="2" s="1"/>
  <c r="M3" i="2"/>
  <c r="L3" i="2"/>
  <c r="K3" i="2"/>
  <c r="S3" i="2" s="1"/>
  <c r="J3" i="2"/>
  <c r="X3" i="2" s="1"/>
  <c r="U2" i="2"/>
  <c r="N2" i="2"/>
  <c r="P2" i="2" s="1"/>
  <c r="M2" i="2"/>
  <c r="O2" i="2" s="1"/>
  <c r="L2" i="2"/>
  <c r="K2" i="2"/>
  <c r="S2" i="2" s="1"/>
  <c r="J2" i="2"/>
  <c r="X2" i="2" s="1"/>
  <c r="B2" i="2"/>
  <c r="X1" i="2"/>
  <c r="D37" i="1"/>
  <c r="C37" i="1"/>
  <c r="D36" i="1"/>
  <c r="C36" i="1"/>
  <c r="D35" i="1"/>
  <c r="C35" i="1"/>
  <c r="C34" i="1"/>
  <c r="D34" i="1" s="1"/>
  <c r="D33" i="1"/>
  <c r="C33" i="1"/>
  <c r="D32" i="1"/>
  <c r="C32" i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P9" i="1" s="1"/>
  <c r="K9" i="1"/>
  <c r="S9" i="1" s="1"/>
  <c r="J9" i="1"/>
  <c r="X8" i="1"/>
  <c r="Y8" i="1" s="1"/>
  <c r="Z8" i="1" s="1"/>
  <c r="AA8" i="1" s="1"/>
  <c r="O8" i="1"/>
  <c r="M8" i="1"/>
  <c r="L8" i="1"/>
  <c r="N8" i="1" s="1"/>
  <c r="K8" i="1"/>
  <c r="S8" i="1" s="1"/>
  <c r="J8" i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O6" i="1"/>
  <c r="M6" i="1"/>
  <c r="L6" i="1"/>
  <c r="N6" i="1" s="1"/>
  <c r="K6" i="1"/>
  <c r="J6" i="1"/>
  <c r="Y5" i="1"/>
  <c r="Z5" i="1" s="1"/>
  <c r="AA5" i="1" s="1"/>
  <c r="AC5" i="1" s="1"/>
  <c r="AD5" i="1" s="1"/>
  <c r="AE5" i="1" s="1"/>
  <c r="N5" i="1"/>
  <c r="P5" i="1" s="1"/>
  <c r="M5" i="1"/>
  <c r="O5" i="1" s="1"/>
  <c r="L5" i="1"/>
  <c r="K5" i="1"/>
  <c r="S5" i="1" s="1"/>
  <c r="J5" i="1"/>
  <c r="X5" i="1" s="1"/>
  <c r="X4" i="1"/>
  <c r="Y4" i="1" s="1"/>
  <c r="O4" i="1"/>
  <c r="M4" i="1"/>
  <c r="L4" i="1"/>
  <c r="N4" i="1" s="1"/>
  <c r="P4" i="1" s="1"/>
  <c r="K4" i="1"/>
  <c r="S4" i="1" s="1"/>
  <c r="J4" i="1"/>
  <c r="Z3" i="1"/>
  <c r="AA3" i="1" s="1"/>
  <c r="O3" i="1"/>
  <c r="Q3" i="1" s="1"/>
  <c r="N3" i="1"/>
  <c r="M3" i="1"/>
  <c r="L3" i="1"/>
  <c r="K3" i="1"/>
  <c r="J3" i="1"/>
  <c r="X3" i="1" s="1"/>
  <c r="Y3" i="1" s="1"/>
  <c r="N2" i="1"/>
  <c r="M2" i="1"/>
  <c r="O2" i="1" s="1"/>
  <c r="L2" i="1"/>
  <c r="K2" i="1"/>
  <c r="S2" i="1" s="1"/>
  <c r="J2" i="1"/>
  <c r="X2" i="1" s="1"/>
  <c r="Y2" i="1" s="1"/>
  <c r="Z2" i="1" s="1"/>
  <c r="AA2" i="1" s="1"/>
  <c r="B2" i="1"/>
  <c r="X1" i="1"/>
  <c r="C48" i="3"/>
  <c r="D48" i="3" s="1"/>
  <c r="D47" i="3"/>
  <c r="C47" i="3"/>
  <c r="D46" i="3"/>
  <c r="C46" i="3"/>
  <c r="C45" i="3"/>
  <c r="D45" i="3" s="1"/>
  <c r="D44" i="3"/>
  <c r="C44" i="3"/>
  <c r="D43" i="3"/>
  <c r="C43" i="3"/>
  <c r="C42" i="3"/>
  <c r="D42" i="3" s="1"/>
  <c r="AA40" i="3"/>
  <c r="W40" i="3"/>
  <c r="Q23" i="3" s="1"/>
  <c r="AD33" i="3"/>
  <c r="AD32" i="3"/>
  <c r="W32" i="3"/>
  <c r="W33" i="3" s="1"/>
  <c r="AD30" i="3"/>
  <c r="AD29" i="3"/>
  <c r="AD28" i="3"/>
  <c r="AD27" i="3"/>
  <c r="AF5" i="3" s="1"/>
  <c r="AG5" i="3" s="1"/>
  <c r="T24" i="3"/>
  <c r="U24" i="3" s="1"/>
  <c r="V24" i="3" s="1"/>
  <c r="W24" i="3" s="1"/>
  <c r="Y24" i="3" s="1"/>
  <c r="Z24" i="3" s="1"/>
  <c r="AA24" i="3" s="1"/>
  <c r="S24" i="3"/>
  <c r="M24" i="3"/>
  <c r="O24" i="3" s="1"/>
  <c r="L24" i="3"/>
  <c r="K24" i="3"/>
  <c r="J24" i="3"/>
  <c r="B24" i="3"/>
  <c r="AA23" i="3"/>
  <c r="T23" i="3"/>
  <c r="U23" i="3" s="1"/>
  <c r="V23" i="3" s="1"/>
  <c r="W23" i="3" s="1"/>
  <c r="Y23" i="3" s="1"/>
  <c r="Z23" i="3" s="1"/>
  <c r="S23" i="3"/>
  <c r="O23" i="3"/>
  <c r="M23" i="3"/>
  <c r="L23" i="3"/>
  <c r="K23" i="3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L21" i="3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V19" i="3"/>
  <c r="W19" i="3" s="1"/>
  <c r="Y19" i="3" s="1"/>
  <c r="Z19" i="3" s="1"/>
  <c r="AA19" i="3" s="1"/>
  <c r="M19" i="3"/>
  <c r="O19" i="3" s="1"/>
  <c r="K19" i="3"/>
  <c r="J19" i="3"/>
  <c r="T19" i="3" s="1"/>
  <c r="U19" i="3" s="1"/>
  <c r="B19" i="3"/>
  <c r="U18" i="3"/>
  <c r="V18" i="3" s="1"/>
  <c r="W18" i="3" s="1"/>
  <c r="Y18" i="3" s="1"/>
  <c r="Z18" i="3" s="1"/>
  <c r="AA18" i="3" s="1"/>
  <c r="O18" i="3"/>
  <c r="M18" i="3"/>
  <c r="K18" i="3"/>
  <c r="S18" i="3" s="1"/>
  <c r="J18" i="3"/>
  <c r="T18" i="3" s="1"/>
  <c r="B18" i="3"/>
  <c r="T17" i="3"/>
  <c r="U17" i="3" s="1"/>
  <c r="V17" i="3" s="1"/>
  <c r="W17" i="3" s="1"/>
  <c r="Y17" i="3" s="1"/>
  <c r="Z17" i="3" s="1"/>
  <c r="AA17" i="3" s="1"/>
  <c r="S17" i="3"/>
  <c r="O17" i="3"/>
  <c r="M17" i="3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L16" i="3"/>
  <c r="K16" i="3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U12" i="3"/>
  <c r="V12" i="3" s="1"/>
  <c r="W12" i="3" s="1"/>
  <c r="Y12" i="3" s="1"/>
  <c r="Z12" i="3" s="1"/>
  <c r="AA12" i="3" s="1"/>
  <c r="T12" i="3"/>
  <c r="P12" i="3"/>
  <c r="R12" i="3" s="1"/>
  <c r="N12" i="3"/>
  <c r="M12" i="3"/>
  <c r="O12" i="3" s="1"/>
  <c r="L12" i="3"/>
  <c r="K12" i="3"/>
  <c r="S12" i="3" s="1"/>
  <c r="J12" i="3"/>
  <c r="B12" i="3"/>
  <c r="AV11" i="3"/>
  <c r="T11" i="3"/>
  <c r="U11" i="3" s="1"/>
  <c r="P11" i="3"/>
  <c r="O11" i="3"/>
  <c r="Q11" i="3" s="1"/>
  <c r="N11" i="3"/>
  <c r="M11" i="3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T9" i="3"/>
  <c r="U9" i="3" s="1"/>
  <c r="V9" i="3" s="1"/>
  <c r="W9" i="3" s="1"/>
  <c r="Y9" i="3" s="1"/>
  <c r="Z9" i="3" s="1"/>
  <c r="AA9" i="3" s="1"/>
  <c r="S9" i="3"/>
  <c r="P9" i="3"/>
  <c r="O9" i="3"/>
  <c r="Q9" i="3" s="1"/>
  <c r="N9" i="3"/>
  <c r="M9" i="3"/>
  <c r="L9" i="3"/>
  <c r="K9" i="3"/>
  <c r="J9" i="3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U7" i="3"/>
  <c r="T7" i="3"/>
  <c r="P7" i="3"/>
  <c r="N7" i="3"/>
  <c r="M7" i="3"/>
  <c r="O7" i="3" s="1"/>
  <c r="Q7" i="3" s="1"/>
  <c r="L7" i="3"/>
  <c r="K7" i="3"/>
  <c r="S7" i="3" s="1"/>
  <c r="J7" i="3"/>
  <c r="B7" i="3"/>
  <c r="AV6" i="3"/>
  <c r="V6" i="3"/>
  <c r="W6" i="3" s="1"/>
  <c r="T6" i="3"/>
  <c r="U6" i="3" s="1"/>
  <c r="S6" i="3"/>
  <c r="P6" i="3"/>
  <c r="R6" i="3" s="1"/>
  <c r="O6" i="3"/>
  <c r="N6" i="3"/>
  <c r="M6" i="3"/>
  <c r="K6" i="3"/>
  <c r="L6" i="3" s="1"/>
  <c r="J6" i="3"/>
  <c r="B6" i="3"/>
  <c r="AV5" i="3"/>
  <c r="S5" i="3"/>
  <c r="P5" i="3"/>
  <c r="R5" i="3" s="1"/>
  <c r="O5" i="3"/>
  <c r="Q5" i="3" s="1"/>
  <c r="N5" i="3"/>
  <c r="M5" i="3"/>
  <c r="K5" i="3"/>
  <c r="L5" i="3" s="1"/>
  <c r="J5" i="3"/>
  <c r="T5" i="3" s="1"/>
  <c r="U5" i="3" s="1"/>
  <c r="V5" i="3" s="1"/>
  <c r="W5" i="3" s="1"/>
  <c r="B5" i="3"/>
  <c r="AV4" i="3"/>
  <c r="AF4" i="3"/>
  <c r="AG4" i="3" s="1"/>
  <c r="U4" i="3"/>
  <c r="T4" i="3"/>
  <c r="P4" i="3"/>
  <c r="N4" i="3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U2" i="3"/>
  <c r="T2" i="3"/>
  <c r="S2" i="3"/>
  <c r="R2" i="3"/>
  <c r="L2" i="3"/>
  <c r="K2" i="3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F54" i="4"/>
  <c r="AF55" i="4" s="1"/>
  <c r="X36" i="4" s="1"/>
  <c r="AE42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Y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Y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U11" i="4" l="1"/>
  <c r="V11" i="4"/>
  <c r="V15" i="4"/>
  <c r="U15" i="4"/>
  <c r="AA15" i="4" s="1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Y8" i="4"/>
  <c r="Z8" i="4" s="1"/>
  <c r="AA8" i="4" s="1"/>
  <c r="Y12" i="4"/>
  <c r="Z12" i="4" s="1"/>
  <c r="AA12" i="4" s="1"/>
  <c r="Y11" i="4"/>
  <c r="Z11" i="4" s="1"/>
  <c r="Y10" i="4"/>
  <c r="Z10" i="4" s="1"/>
  <c r="AA10" i="4" s="1"/>
  <c r="Z9" i="4"/>
  <c r="AB9" i="4"/>
  <c r="AC9" i="4" s="1"/>
  <c r="Z13" i="4"/>
  <c r="AA13" i="4" s="1"/>
  <c r="AB13" i="4"/>
  <c r="AC13" i="4" s="1"/>
  <c r="AB12" i="4"/>
  <c r="AC12" i="4" s="1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Y4" i="4"/>
  <c r="Y5" i="4"/>
  <c r="Y6" i="4"/>
  <c r="Y7" i="4"/>
  <c r="Y3" i="4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Y14" i="4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X54" i="4"/>
  <c r="AF29" i="4" s="1"/>
  <c r="AA53" i="4"/>
  <c r="AF32" i="4" s="1"/>
  <c r="X53" i="4"/>
  <c r="AG29" i="4" s="1"/>
  <c r="X55" i="4"/>
  <c r="AE29" i="4" s="1"/>
  <c r="AA54" i="4"/>
  <c r="AE32" i="4" s="1"/>
  <c r="R8" i="4"/>
  <c r="AA56" i="4"/>
  <c r="AA55" i="4"/>
  <c r="AF31" i="4" s="1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AB10" i="4" l="1"/>
  <c r="AC10" i="4" s="1"/>
  <c r="AA11" i="4"/>
  <c r="AA9" i="4"/>
  <c r="AV15" i="4"/>
  <c r="AV12" i="4"/>
  <c r="AV9" i="4"/>
  <c r="AV13" i="4"/>
  <c r="X13" i="4"/>
  <c r="X15" i="4"/>
  <c r="X11" i="4"/>
  <c r="X9" i="4"/>
  <c r="X7" i="4"/>
  <c r="AB8" i="4"/>
  <c r="AB11" i="4"/>
  <c r="AV11" i="4" s="1"/>
  <c r="X19" i="4"/>
  <c r="X100" i="4"/>
  <c r="Y100" i="4" s="1"/>
  <c r="X98" i="4"/>
  <c r="Y98" i="4" s="1"/>
  <c r="X26" i="4"/>
  <c r="X6" i="4"/>
  <c r="X90" i="4"/>
  <c r="Y90" i="4" s="1"/>
  <c r="Z14" i="4"/>
  <c r="AA14" i="4" s="1"/>
  <c r="AB14" i="4"/>
  <c r="Z5" i="4"/>
  <c r="AA5" i="4" s="1"/>
  <c r="AB5" i="4"/>
  <c r="Z4" i="4"/>
  <c r="AA4" i="4" s="1"/>
  <c r="AB4" i="4"/>
  <c r="Z3" i="4"/>
  <c r="AB3" i="4"/>
  <c r="Z7" i="4"/>
  <c r="AA7" i="4" s="1"/>
  <c r="AB7" i="4"/>
  <c r="Z6" i="4"/>
  <c r="AA6" i="4" s="1"/>
  <c r="AB6" i="4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X61" i="4" s="1"/>
  <c r="W74" i="4"/>
  <c r="X74" i="4" s="1"/>
  <c r="Y74" i="4" s="1"/>
  <c r="Y78" i="4"/>
  <c r="W78" i="4"/>
  <c r="X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Y84" i="4"/>
  <c r="W84" i="4"/>
  <c r="X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AV8" i="4" l="1"/>
  <c r="AV10" i="4"/>
  <c r="AV14" i="4"/>
  <c r="AC11" i="4"/>
  <c r="AC8" i="4"/>
  <c r="AE6" i="4"/>
  <c r="AC6" i="4"/>
  <c r="AC4" i="4"/>
  <c r="AE4" i="4"/>
  <c r="AC5" i="4"/>
  <c r="AE5" i="4"/>
  <c r="AE7" i="4"/>
  <c r="AC7" i="4"/>
  <c r="AC14" i="4"/>
  <c r="AC3" i="4"/>
  <c r="AE3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N13" i="4"/>
  <c r="AM13" i="4" s="1"/>
  <c r="AF4" i="1" l="1"/>
  <c r="AF8" i="1"/>
  <c r="AF6" i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J3" i="4" l="1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S12" i="4" l="1"/>
  <c r="AT12" i="4" s="1"/>
  <c r="AS10" i="4"/>
  <c r="AT10" i="4" s="1"/>
  <c r="AS14" i="4"/>
  <c r="AT14" i="4" s="1"/>
  <c r="AS13" i="4"/>
  <c r="AT13" i="4" s="1"/>
  <c r="AS9" i="4"/>
  <c r="AT9" i="4" s="1"/>
  <c r="AS15" i="4"/>
  <c r="AT15" i="4" s="1"/>
  <c r="AS11" i="4"/>
  <c r="AT11" i="4" s="1"/>
  <c r="AS8" i="4"/>
  <c r="AT8" i="4" s="1"/>
  <c r="AG33" i="4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/>
  <c r="AN8" i="3"/>
  <c r="AO8" i="3"/>
  <c r="AP8" i="3"/>
  <c r="AW8" i="3"/>
  <c r="AQ8" i="3"/>
  <c r="AN6" i="3"/>
  <c r="AO6" i="3"/>
  <c r="AP6" i="3"/>
  <c r="AW6" i="3"/>
  <c r="AQ6" i="3"/>
  <c r="AN5" i="3"/>
  <c r="AO5" i="3"/>
  <c r="AP5" i="3"/>
  <c r="AW5" i="3"/>
  <c r="AN9" i="3"/>
  <c r="AO9" i="3"/>
  <c r="AP9" i="3"/>
  <c r="AW9" i="3"/>
  <c r="AQ9" i="3"/>
  <c r="AN4" i="3"/>
  <c r="AO4" i="3"/>
  <c r="AP4" i="3"/>
  <c r="AW4" i="3"/>
  <c r="AN7" i="3"/>
  <c r="AO7" i="3"/>
  <c r="AP7" i="3"/>
  <c r="AW7" i="3"/>
  <c r="AQ7" i="3"/>
  <c r="AN13" i="3"/>
  <c r="AO13" i="3"/>
  <c r="AP13" i="3"/>
  <c r="AW13" i="3"/>
  <c r="AQ13" i="3"/>
  <c r="AN14" i="3"/>
  <c r="AO14" i="3"/>
  <c r="AP14" i="3"/>
  <c r="AW14" i="3"/>
  <c r="AN12" i="3"/>
  <c r="AO12" i="3"/>
  <c r="AP12" i="3"/>
  <c r="AW12" i="3"/>
  <c r="AQ12" i="3"/>
  <c r="AN10" i="3"/>
  <c r="AO10" i="3"/>
  <c r="AP10" i="3"/>
  <c r="AW10" i="3"/>
  <c r="AQ10" i="3"/>
  <c r="AN2" i="3"/>
  <c r="AN11" i="3"/>
  <c r="AO11" i="3"/>
  <c r="AP11" i="3"/>
  <c r="AW11" i="3"/>
  <c r="AQ11" i="3"/>
  <c r="AR14" i="3"/>
  <c r="AS14" i="3"/>
  <c r="AT14" i="3"/>
  <c r="AR10" i="3"/>
  <c r="AS10" i="3"/>
  <c r="AT10" i="3"/>
  <c r="AU10" i="3"/>
  <c r="AR8" i="3"/>
  <c r="AS8" i="3"/>
  <c r="AT8" i="3"/>
  <c r="AU8" i="3"/>
  <c r="AR6" i="3"/>
  <c r="AS6" i="3"/>
  <c r="AT6" i="3"/>
  <c r="AR2" i="3"/>
  <c r="AS2" i="3"/>
  <c r="AR11" i="3"/>
  <c r="AS11" i="3"/>
  <c r="AT11" i="3"/>
  <c r="AU11" i="3"/>
  <c r="AR13" i="3"/>
  <c r="AS13" i="3"/>
  <c r="AT13" i="3"/>
  <c r="AU13" i="3"/>
  <c r="AR12" i="3"/>
  <c r="AS12" i="3"/>
  <c r="AT12" i="3"/>
  <c r="AU12" i="3"/>
  <c r="AR5" i="3"/>
  <c r="AS5" i="3"/>
  <c r="AR9" i="3"/>
  <c r="AS9" i="3"/>
  <c r="AT9" i="3"/>
  <c r="AU9" i="3"/>
  <c r="AR4" i="3"/>
  <c r="AS4" i="3"/>
  <c r="AR7" i="3"/>
  <c r="AS7" i="3"/>
  <c r="AT7" i="3"/>
  <c r="AR3" i="3"/>
  <c r="AS3" i="3"/>
  <c r="AN3" i="3"/>
</calcChain>
</file>

<file path=xl/sharedStrings.xml><?xml version="1.0" encoding="utf-8"?>
<sst xmlns="http://schemas.openxmlformats.org/spreadsheetml/2006/main" count="555" uniqueCount="262">
  <si>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</si>
  <si>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</si>
  <si>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</si>
  <si>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</si>
  <si>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</si>
  <si>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</si>
  <si>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</si>
  <si>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</si>
  <si>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</si>
  <si>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</si>
  <si>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</si>
  <si>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</si>
  <si>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</si>
  <si>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</si>
  <si>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</si>
  <si>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</si>
  <si>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</si>
  <si>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</si>
  <si>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</si>
  <si>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</si>
  <si>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</si>
  <si>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</si>
  <si>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</si>
  <si>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</si>
  <si>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</si>
  <si>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</si>
  <si>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</si>
  <si>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</si>
  <si>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</si>
  <si>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</si>
  <si>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</si>
  <si>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</si>
  <si>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</si>
  <si>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</si>
  <si>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</si>
  <si>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</si>
  <si>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</si>
  <si>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</si>
  <si>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</si>
  <si>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</si>
  <si>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</si>
  <si>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</si>
  <si>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</si>
  <si>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</si>
  <si>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</si>
  <si>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</si>
  <si>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</si>
  <si>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</si>
  <si>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</si>
  <si>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</si>
  <si>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</si>
  <si>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</si>
  <si>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</si>
  <si>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</si>
  <si>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</si>
  <si>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</si>
  <si>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</si>
  <si>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</si>
  <si>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</si>
  <si>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</si>
  <si>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</si>
  <si>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</si>
  <si>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</si>
  <si>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</si>
  <si>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</si>
  <si>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</si>
  <si>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</si>
  <si>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</si>
  <si>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</si>
  <si>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</si>
  <si>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</si>
  <si>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</si>
  <si>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</si>
  <si>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</si>
  <si>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</si>
  <si>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</si>
  <si>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</si>
  <si>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</si>
  <si>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</si>
  <si>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</si>
  <si>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</si>
  <si>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</si>
  <si>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</si>
  <si>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</si>
  <si>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</si>
  <si>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</si>
  <si>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</si>
  <si>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</si>
  <si>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</si>
  <si>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</si>
  <si>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</si>
  <si>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</si>
  <si>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</si>
  <si>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</si>
  <si>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</si>
  <si>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</si>
  <si>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</si>
  <si>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</si>
  <si>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</si>
  <si>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</si>
  <si>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</si>
  <si>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</si>
  <si>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</si>
  <si>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</si>
  <si>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</si>
  <si>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</si>
  <si>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</si>
  <si>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</si>
  <si>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</si>
  <si>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</si>
  <si>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</si>
  <si>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</si>
  <si>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</si>
  <si>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</si>
  <si>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</si>
  <si>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</si>
  <si>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</si>
  <si>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</si>
  <si>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</si>
  <si>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</si>
  <si>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</si>
  <si>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</si>
  <si>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</si>
  <si>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</si>
  <si>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</si>
  <si>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</si>
  <si>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</si>
  <si>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</si>
  <si>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</si>
  <si>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</si>
  <si>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</si>
  <si>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</si>
  <si>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</si>
  <si>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</si>
  <si>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</si>
  <si>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</si>
  <si>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</si>
  <si>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</si>
  <si>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</si>
  <si>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Model PwrT from Model Nt*Qt,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</si>
  <si>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</si>
  <si>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</si>
  <si>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</si>
  <si>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</si>
  <si>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</si>
  <si>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</si>
  <si>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</si>
  <si>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</si>
  <si>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</si>
  <si>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</si>
  <si>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</si>
  <si>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</si>
  <si>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</si>
  <si>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</si>
  <si>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</si>
  <si>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</si>
  <si>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</si>
  <si>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</si>
  <si>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</si>
  <si>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</si>
  <si>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</si>
  <si>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</si>
  <si>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</si>
  <si>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</si>
  <si>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</si>
  <si>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</si>
  <si>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</si>
  <si>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</si>
  <si>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</si>
  <si>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</si>
  <si>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</si>
  <si>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Lambda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</si>
  <si>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</si>
  <si>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</si>
  <si>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</si>
  <si>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</si>
  <si>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</si>
  <si>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</si>
  <si>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</si>
  <si>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</si>
  <si>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</si>
  <si>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</si>
  <si>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</si>
  <si>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</si>
  <si>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</si>
  <si>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</si>
  <si>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</si>
  <si>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</si>
  <si>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</si>
  <si>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</si>
  <si>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</si>
  <si>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</si>
  <si>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</si>
  <si>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</si>
  <si>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</si>
  <si>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</si>
  <si>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</si>
  <si>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</si>
  <si>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</si>
  <si>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</si>
  <si>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</si>
  <si>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</si>
  <si>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dQtdNt = dQtdLam * dLamdNt = dCpdLam*(rho D A Vw^2 / 4 / Lam)*(pi D / 60 / Vw)</t>
  </si>
  <si>
    <t>dCpdLam = dQtdNt / (rho D A Vw^2/4/Lam)/(pi D / 60 / Vw)</t>
  </si>
  <si>
    <t>lambda=constant  ****verified see data above</t>
  </si>
  <si>
    <t>dCpdLambda=constant…not sure about this because taut not verified</t>
  </si>
  <si>
    <t>n/a</t>
  </si>
  <si>
    <t>DCPDLAMBDA</t>
  </si>
  <si>
    <t>tauFS</t>
  </si>
  <si>
    <t>tauG</t>
  </si>
  <si>
    <t>Model TauT Wind</t>
  </si>
  <si>
    <t>Pbare</t>
  </si>
  <si>
    <t>Mbare</t>
  </si>
  <si>
    <t>PtauTF</t>
  </si>
  <si>
    <t>MtauTF</t>
  </si>
  <si>
    <t>tauTF</t>
  </si>
  <si>
    <t>PtauG</t>
  </si>
  <si>
    <t>MtauG</t>
  </si>
  <si>
    <t>Torque T, ft-lbf</t>
  </si>
  <si>
    <t>dQdN, ft-lbf/rpm</t>
  </si>
  <si>
    <t>slope ft-lbf/rpm</t>
  </si>
  <si>
    <t>Torque G, ft-lbf</t>
  </si>
  <si>
    <t>Fit Nt, %</t>
  </si>
  <si>
    <t>Fit Tau</t>
  </si>
  <si>
    <t>pdiffTur62</t>
  </si>
  <si>
    <t>mdiffTur62</t>
  </si>
  <si>
    <t>Ptur63_06_1ms, dB</t>
  </si>
  <si>
    <t>Mtur63_06_1ms, dB</t>
  </si>
  <si>
    <t>pdiffTur55</t>
  </si>
  <si>
    <t>mdiffTur55</t>
  </si>
  <si>
    <t>Ptur55_06_1ms, dB</t>
  </si>
  <si>
    <t>Mtur55_06_1ms, dB</t>
  </si>
  <si>
    <t>pdiffTur52</t>
  </si>
  <si>
    <t>mdiffTur52</t>
  </si>
  <si>
    <t>Ptur52_06_1ms, dB</t>
  </si>
  <si>
    <t>Mtur52_06_1ms, dB</t>
  </si>
  <si>
    <t>pdiffTur50</t>
  </si>
  <si>
    <t>mdiffTur50</t>
  </si>
  <si>
    <t>Ptur50_06_1ms, dB</t>
  </si>
  <si>
    <t>Mtur50_06_1ms, dB</t>
  </si>
  <si>
    <t>pdiffTur45</t>
  </si>
  <si>
    <t>mdiffTur45</t>
  </si>
  <si>
    <t>Ptur45_06_1ms, dB</t>
  </si>
  <si>
    <t>Mtur45_06_1ms, dB</t>
  </si>
  <si>
    <t>pdiffTur36</t>
  </si>
  <si>
    <t>mdiffTur36</t>
  </si>
  <si>
    <t>Ptur36_06_1ms, dB</t>
  </si>
  <si>
    <t>Mtur36_06_1ms, dB</t>
  </si>
  <si>
    <t>pdiffTur25</t>
  </si>
  <si>
    <t>mdiffTur25</t>
  </si>
  <si>
    <t>Ptur25_06_1ms, dB</t>
  </si>
  <si>
    <t>Mtur25_06_1ms, dB</t>
  </si>
  <si>
    <t>pdiffTur20</t>
  </si>
  <si>
    <t>mdiffTur20</t>
  </si>
  <si>
    <t>Ptur20_06_1ms, dB</t>
  </si>
  <si>
    <t>Mtur20_06_1ms, dB</t>
  </si>
  <si>
    <t>w, r/s</t>
  </si>
  <si>
    <t>Pbaret25_03_1ms, dB</t>
  </si>
  <si>
    <t>Mbaret25_03_1ms, dB</t>
  </si>
  <si>
    <t>From TauPhotonTurnigy</t>
  </si>
  <si>
    <t>from CalPhotonTurnigy</t>
  </si>
  <si>
    <t>DELTAV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</si>
</sst>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0" fontId="0" fillId="5" borderId="8" xfId="0" applyFill="1" applyBorder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" fontId="0" fillId="0" borderId="0" xfId="0" quotePrefix="1" applyNumberFormat="1" applyFill="1" applyBorder="1" applyAlignment="1">
      <alignment horizontal="left"/>
    </xf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168" fontId="0" fillId="8" borderId="0" xfId="0" applyNumberFormat="1" applyFill="1"/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0" fontId="0" fillId="5" borderId="0" xfId="0" applyFill="1"/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1088"/>
        <c:axId val="598443440"/>
      </c:scatterChart>
      <c:valAx>
        <c:axId val="5984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3440"/>
        <c:crosses val="autoZero"/>
        <c:crossBetween val="midCat"/>
      </c:valAx>
      <c:valAx>
        <c:axId val="5984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2.422234512037992</c:v>
                </c:pt>
                <c:pt idx="1">
                  <c:v>2.6851093320346444</c:v>
                </c:pt>
                <c:pt idx="2">
                  <c:v>2.7496679652965481</c:v>
                </c:pt>
                <c:pt idx="3">
                  <c:v>2.7745646039961329</c:v>
                </c:pt>
                <c:pt idx="4">
                  <c:v>2.7214373564501444</c:v>
                </c:pt>
                <c:pt idx="5" formatCode="0.000">
                  <c:v>2.5988730787182082</c:v>
                </c:pt>
                <c:pt idx="6">
                  <c:v>2.5393466511471257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04384"/>
        <c:axId val="600708696"/>
      </c:scatterChart>
      <c:valAx>
        <c:axId val="6007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696"/>
        <c:crosses val="autoZero"/>
        <c:crossBetween val="midCat"/>
      </c:valAx>
      <c:valAx>
        <c:axId val="600708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0.127</a:t>
            </a:r>
            <a:r>
              <a:rPr lang="en-US" baseline="0"/>
              <a:t> time constant at 36%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TauPhotonTurnigy!$S$1</c:f>
              <c:strCache>
                <c:ptCount val="1"/>
                <c:pt idx="0">
                  <c:v>mdiffTur36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TauPhotonTurnigy!$S$2:$S$33</c:f>
              <c:numCache>
                <c:formatCode>General</c:formatCode>
                <c:ptCount val="32"/>
                <c:pt idx="0">
                  <c:v>-0.28004345840454103</c:v>
                </c:pt>
                <c:pt idx="1">
                  <c:v>-0.14447978120096483</c:v>
                </c:pt>
                <c:pt idx="2">
                  <c:v>0.11718762597494603</c:v>
                </c:pt>
                <c:pt idx="3">
                  <c:v>3.0716727066691263E-2</c:v>
                </c:pt>
                <c:pt idx="4">
                  <c:v>7.3923574306573592E-2</c:v>
                </c:pt>
                <c:pt idx="5">
                  <c:v>0.17838593909858602</c:v>
                </c:pt>
                <c:pt idx="6">
                  <c:v>-0.20552022693407146</c:v>
                </c:pt>
                <c:pt idx="7">
                  <c:v>-0.12964012274212955</c:v>
                </c:pt>
                <c:pt idx="8">
                  <c:v>-0.25895253633963211</c:v>
                </c:pt>
                <c:pt idx="9">
                  <c:v>-0.29824625864802901</c:v>
                </c:pt>
                <c:pt idx="10">
                  <c:v>-0.14181186728436668</c:v>
                </c:pt>
                <c:pt idx="11">
                  <c:v>-0.42778431903387926</c:v>
                </c:pt>
                <c:pt idx="12">
                  <c:v>-0.6888525090308999</c:v>
                </c:pt>
                <c:pt idx="13">
                  <c:v>-0.96393654788330529</c:v>
                </c:pt>
                <c:pt idx="14">
                  <c:v>-1.5568900533920855</c:v>
                </c:pt>
                <c:pt idx="15">
                  <c:v>-2.0912966552988053</c:v>
                </c:pt>
                <c:pt idx="16">
                  <c:v>-2.3719759161074254</c:v>
                </c:pt>
                <c:pt idx="17">
                  <c:v>-3.1980177820711777</c:v>
                </c:pt>
                <c:pt idx="18">
                  <c:v>-4.2631838529760913</c:v>
                </c:pt>
                <c:pt idx="19">
                  <c:v>-5.2565493701677521</c:v>
                </c:pt>
                <c:pt idx="20">
                  <c:v>-6.6384650752097638</c:v>
                </c:pt>
                <c:pt idx="21">
                  <c:v>-8.0863539016637613</c:v>
                </c:pt>
                <c:pt idx="22">
                  <c:v>-9.7573766459499325</c:v>
                </c:pt>
                <c:pt idx="23">
                  <c:v>-13.181865505287394</c:v>
                </c:pt>
                <c:pt idx="24">
                  <c:v>-16.127051409465828</c:v>
                </c:pt>
                <c:pt idx="25">
                  <c:v>-20.254713665647827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09480"/>
        <c:axId val="600712224"/>
      </c:scatterChart>
      <c:scatterChart>
        <c:scatterStyle val="lineMarker"/>
        <c:varyColors val="0"/>
        <c:ser>
          <c:idx val="1"/>
          <c:order val="1"/>
          <c:tx>
            <c:strRef>
              <c:f>TauPhotonTurnigy!$T$1</c:f>
              <c:strCache>
                <c:ptCount val="1"/>
                <c:pt idx="0">
                  <c:v>pdiffTur36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TauPhotonTurnigy!$T$2:$T$33</c:f>
              <c:numCache>
                <c:formatCode>General</c:formatCode>
                <c:ptCount val="32"/>
                <c:pt idx="0">
                  <c:v>-1.4254944257768984</c:v>
                </c:pt>
                <c:pt idx="1">
                  <c:v>-1.1493207969014088</c:v>
                </c:pt>
                <c:pt idx="2">
                  <c:v>-1.146901149942841</c:v>
                </c:pt>
                <c:pt idx="3">
                  <c:v>-2.8255278836488893</c:v>
                </c:pt>
                <c:pt idx="4">
                  <c:v>-3.91917484417894</c:v>
                </c:pt>
                <c:pt idx="5">
                  <c:v>-4.7782258085785099</c:v>
                </c:pt>
                <c:pt idx="6">
                  <c:v>-4.9267752349724052</c:v>
                </c:pt>
                <c:pt idx="7">
                  <c:v>-6.5425360626075104</c:v>
                </c:pt>
                <c:pt idx="8">
                  <c:v>-7.6089256998266954</c:v>
                </c:pt>
                <c:pt idx="9">
                  <c:v>-10.397034020471539</c:v>
                </c:pt>
                <c:pt idx="10">
                  <c:v>-12.963486739114096</c:v>
                </c:pt>
                <c:pt idx="11">
                  <c:v>-15.559140401559933</c:v>
                </c:pt>
                <c:pt idx="12">
                  <c:v>-20.175182113974135</c:v>
                </c:pt>
                <c:pt idx="13">
                  <c:v>-24.380466918655117</c:v>
                </c:pt>
                <c:pt idx="14">
                  <c:v>-30.097408810980106</c:v>
                </c:pt>
                <c:pt idx="15">
                  <c:v>-35.901643653081052</c:v>
                </c:pt>
                <c:pt idx="16">
                  <c:v>-38.150979726573055</c:v>
                </c:pt>
                <c:pt idx="17">
                  <c:v>-45.439486922733877</c:v>
                </c:pt>
                <c:pt idx="18">
                  <c:v>-52.625991799434942</c:v>
                </c:pt>
                <c:pt idx="19">
                  <c:v>-59.063813109917447</c:v>
                </c:pt>
                <c:pt idx="20">
                  <c:v>-66.970126734646144</c:v>
                </c:pt>
                <c:pt idx="21">
                  <c:v>-75.818901097218045</c:v>
                </c:pt>
                <c:pt idx="22">
                  <c:v>-86.443733333995709</c:v>
                </c:pt>
                <c:pt idx="23">
                  <c:v>-84.878042525724425</c:v>
                </c:pt>
                <c:pt idx="24">
                  <c:v>-126.55986260538964</c:v>
                </c:pt>
                <c:pt idx="25">
                  <c:v>-182.76060982331359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14184"/>
        <c:axId val="600713008"/>
      </c:scatterChart>
      <c:valAx>
        <c:axId val="60070948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2224"/>
        <c:crosses val="autoZero"/>
        <c:crossBetween val="midCat"/>
      </c:valAx>
      <c:valAx>
        <c:axId val="600712224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480"/>
        <c:crossesAt val="0.1"/>
        <c:crossBetween val="midCat"/>
      </c:valAx>
      <c:valAx>
        <c:axId val="600713008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4184"/>
        <c:crosses val="max"/>
        <c:crossBetween val="midCat"/>
      </c:valAx>
      <c:valAx>
        <c:axId val="6007141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7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0.074</a:t>
            </a:r>
            <a:r>
              <a:rPr lang="en-US" baseline="0"/>
              <a:t> time constant at 50% Speed</a:t>
            </a:r>
            <a:endParaRPr lang="en-US"/>
          </a:p>
        </c:rich>
      </c:tx>
      <c:layout>
        <c:manualLayout>
          <c:xMode val="edge"/>
          <c:yMode val="edge"/>
          <c:x val="0.116002510555745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344925634295715E-2"/>
          <c:y val="0.21379629629629629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TauPhotonTurnigy!$AC$1</c:f>
              <c:strCache>
                <c:ptCount val="1"/>
                <c:pt idx="0">
                  <c:v>mdiffTur50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TauPhotonTurnigy!$AC$2:$AC$27</c:f>
              <c:numCache>
                <c:formatCode>General</c:formatCode>
                <c:ptCount val="26"/>
                <c:pt idx="0">
                  <c:v>-0.25743545840454196</c:v>
                </c:pt>
                <c:pt idx="1">
                  <c:v>-2.2653781200965284E-2</c:v>
                </c:pt>
                <c:pt idx="2">
                  <c:v>-0.20407937402505461</c:v>
                </c:pt>
                <c:pt idx="3">
                  <c:v>0.20005672706669131</c:v>
                </c:pt>
                <c:pt idx="4">
                  <c:v>-2.1997425693426109E-2</c:v>
                </c:pt>
                <c:pt idx="5">
                  <c:v>0.16787393909858572</c:v>
                </c:pt>
                <c:pt idx="6">
                  <c:v>3.9008773065930313E-2</c:v>
                </c:pt>
                <c:pt idx="7">
                  <c:v>0.37267787725786938</c:v>
                </c:pt>
                <c:pt idx="8">
                  <c:v>7.2176463660367673E-2</c:v>
                </c:pt>
                <c:pt idx="9">
                  <c:v>0.22910074135197078</c:v>
                </c:pt>
                <c:pt idx="10">
                  <c:v>0.27364913271563296</c:v>
                </c:pt>
                <c:pt idx="11">
                  <c:v>-0.21187531903387935</c:v>
                </c:pt>
                <c:pt idx="12">
                  <c:v>-0.1888095090309001</c:v>
                </c:pt>
                <c:pt idx="13">
                  <c:v>-0.47731354788330549</c:v>
                </c:pt>
                <c:pt idx="14">
                  <c:v>-0.35896305339208467</c:v>
                </c:pt>
                <c:pt idx="15">
                  <c:v>-0.85743965529880484</c:v>
                </c:pt>
                <c:pt idx="16">
                  <c:v>-1.0654599161074252</c:v>
                </c:pt>
                <c:pt idx="17">
                  <c:v>-1.3333677820711767</c:v>
                </c:pt>
                <c:pt idx="18">
                  <c:v>-2.1680458529760891</c:v>
                </c:pt>
                <c:pt idx="19">
                  <c:v>-2.7367333701677534</c:v>
                </c:pt>
                <c:pt idx="20">
                  <c:v>-3.7535810752097643</c:v>
                </c:pt>
                <c:pt idx="21">
                  <c:v>-5.5242529016637629</c:v>
                </c:pt>
                <c:pt idx="22">
                  <c:v>-6.0051086459499352</c:v>
                </c:pt>
                <c:pt idx="23">
                  <c:v>-9.6458025052873957</c:v>
                </c:pt>
                <c:pt idx="24">
                  <c:v>-13.33120840946583</c:v>
                </c:pt>
                <c:pt idx="25">
                  <c:v>-18.506584665647829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16144"/>
        <c:axId val="530591016"/>
      </c:scatterChart>
      <c:scatterChart>
        <c:scatterStyle val="lineMarker"/>
        <c:varyColors val="0"/>
        <c:ser>
          <c:idx val="1"/>
          <c:order val="1"/>
          <c:tx>
            <c:strRef>
              <c:f>TauPhotonTurnigy!$AD$1</c:f>
              <c:strCache>
                <c:ptCount val="1"/>
                <c:pt idx="0">
                  <c:v>pdiffTur50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TauPhotonTurnigy!$AD$2:$AD$27</c:f>
              <c:numCache>
                <c:formatCode>General</c:formatCode>
                <c:ptCount val="26"/>
                <c:pt idx="0">
                  <c:v>-1.3892424257768987</c:v>
                </c:pt>
                <c:pt idx="1">
                  <c:v>-1.9871067969014082</c:v>
                </c:pt>
                <c:pt idx="2">
                  <c:v>-2.8553011499428411</c:v>
                </c:pt>
                <c:pt idx="3">
                  <c:v>-2.2048408836488891</c:v>
                </c:pt>
                <c:pt idx="4">
                  <c:v>-3.1207828441789403</c:v>
                </c:pt>
                <c:pt idx="5">
                  <c:v>-2.9038168085785099</c:v>
                </c:pt>
                <c:pt idx="6">
                  <c:v>-4.756500234972405</c:v>
                </c:pt>
                <c:pt idx="7">
                  <c:v>-4.2411150626075091</c:v>
                </c:pt>
                <c:pt idx="8">
                  <c:v>-4.1147136998266962</c:v>
                </c:pt>
                <c:pt idx="9">
                  <c:v>-9.5879280204715389</c:v>
                </c:pt>
                <c:pt idx="10">
                  <c:v>-6.5536127391140937</c:v>
                </c:pt>
                <c:pt idx="11">
                  <c:v>-11.808566401559933</c:v>
                </c:pt>
                <c:pt idx="12">
                  <c:v>-13.244609113974139</c:v>
                </c:pt>
                <c:pt idx="13">
                  <c:v>-15.199309918655118</c:v>
                </c:pt>
                <c:pt idx="14">
                  <c:v>-19.647190810980099</c:v>
                </c:pt>
                <c:pt idx="15">
                  <c:v>-24.189752653081058</c:v>
                </c:pt>
                <c:pt idx="16">
                  <c:v>-26.635633726573062</c:v>
                </c:pt>
                <c:pt idx="17">
                  <c:v>-34.452728922733868</c:v>
                </c:pt>
                <c:pt idx="18">
                  <c:v>-39.848196799434945</c:v>
                </c:pt>
                <c:pt idx="19">
                  <c:v>-44.271055109917455</c:v>
                </c:pt>
                <c:pt idx="20">
                  <c:v>-53.336337734646136</c:v>
                </c:pt>
                <c:pt idx="21">
                  <c:v>-63.138631097218067</c:v>
                </c:pt>
                <c:pt idx="22">
                  <c:v>-71.131218333995719</c:v>
                </c:pt>
                <c:pt idx="23">
                  <c:v>-69.827973525724417</c:v>
                </c:pt>
                <c:pt idx="24">
                  <c:v>-106.42123060538967</c:v>
                </c:pt>
                <c:pt idx="25">
                  <c:v>-189.16281482331357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93368"/>
        <c:axId val="530594152"/>
      </c:scatterChart>
      <c:valAx>
        <c:axId val="60071614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91016"/>
        <c:crosses val="autoZero"/>
        <c:crossBetween val="midCat"/>
      </c:valAx>
      <c:valAx>
        <c:axId val="530591016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6144"/>
        <c:crossesAt val="0.1"/>
        <c:crossBetween val="midCat"/>
      </c:valAx>
      <c:valAx>
        <c:axId val="530594152"/>
        <c:scaling>
          <c:orientation val="minMax"/>
          <c:max val="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93368"/>
        <c:crosses val="max"/>
        <c:crossBetween val="midCat"/>
        <c:majorUnit val="15"/>
      </c:valAx>
      <c:valAx>
        <c:axId val="5305933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9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0.263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time constant at 20%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303918680986"/>
          <c:y val="0.24862085086489014"/>
          <c:w val="0.77785392162638023"/>
          <c:h val="0.5883351186992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TauPhotonTurnigy!$H$1</c:f>
              <c:strCache>
                <c:ptCount val="1"/>
                <c:pt idx="0">
                  <c:v>mdiffTur20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TauPhotonTurnigy!$H$2:$H$33</c:f>
              <c:numCache>
                <c:formatCode>General</c:formatCode>
                <c:ptCount val="32"/>
                <c:pt idx="0">
                  <c:v>-0.42774745840454065</c:v>
                </c:pt>
                <c:pt idx="1">
                  <c:v>-0.22957178120096469</c:v>
                </c:pt>
                <c:pt idx="2">
                  <c:v>-0.25575137402505432</c:v>
                </c:pt>
                <c:pt idx="3">
                  <c:v>-0.13385327293330865</c:v>
                </c:pt>
                <c:pt idx="4">
                  <c:v>-5.8180425693426539E-2</c:v>
                </c:pt>
                <c:pt idx="5">
                  <c:v>-0.11031906090141437</c:v>
                </c:pt>
                <c:pt idx="6">
                  <c:v>-6.2339226934071103E-2</c:v>
                </c:pt>
                <c:pt idx="7">
                  <c:v>-0.2798761227421297</c:v>
                </c:pt>
                <c:pt idx="8">
                  <c:v>-0.24379853633963214</c:v>
                </c:pt>
                <c:pt idx="9">
                  <c:v>-0.48467725864802913</c:v>
                </c:pt>
                <c:pt idx="10">
                  <c:v>-0.66334086728436692</c:v>
                </c:pt>
                <c:pt idx="11">
                  <c:v>-1.0465983190338792</c:v>
                </c:pt>
                <c:pt idx="12">
                  <c:v>-1.6123905090309001</c:v>
                </c:pt>
                <c:pt idx="13">
                  <c:v>-2.3516205478833054</c:v>
                </c:pt>
                <c:pt idx="14">
                  <c:v>-3.2440880533920851</c:v>
                </c:pt>
                <c:pt idx="15">
                  <c:v>-4.4350576552988059</c:v>
                </c:pt>
                <c:pt idx="16">
                  <c:v>-5.7272179161074259</c:v>
                </c:pt>
                <c:pt idx="17">
                  <c:v>-7.1944817820711773</c:v>
                </c:pt>
                <c:pt idx="18">
                  <c:v>-8.8169818529760917</c:v>
                </c:pt>
                <c:pt idx="19">
                  <c:v>-10.475932370167753</c:v>
                </c:pt>
                <c:pt idx="20">
                  <c:v>-12.387575075209766</c:v>
                </c:pt>
                <c:pt idx="21">
                  <c:v>-14.546618901663761</c:v>
                </c:pt>
                <c:pt idx="22">
                  <c:v>-15.878274645949936</c:v>
                </c:pt>
                <c:pt idx="23">
                  <c:v>-19.843712505287396</c:v>
                </c:pt>
                <c:pt idx="24">
                  <c:v>-21.541158409465829</c:v>
                </c:pt>
                <c:pt idx="25">
                  <c:v>-25.722893665647831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88664"/>
        <c:axId val="530589056"/>
      </c:scatterChart>
      <c:scatterChart>
        <c:scatterStyle val="lineMarker"/>
        <c:varyColors val="0"/>
        <c:ser>
          <c:idx val="1"/>
          <c:order val="1"/>
          <c:tx>
            <c:strRef>
              <c:f>TauPhotonTurnigy!$I$1</c:f>
              <c:strCache>
                <c:ptCount val="1"/>
                <c:pt idx="0">
                  <c:v>pdiffTur20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TauPhotonTurnigy!$I$2:$I$33</c:f>
              <c:numCache>
                <c:formatCode>General</c:formatCode>
                <c:ptCount val="32"/>
                <c:pt idx="0">
                  <c:v>-2.3704074257768983</c:v>
                </c:pt>
                <c:pt idx="1">
                  <c:v>-3.2706097969014087</c:v>
                </c:pt>
                <c:pt idx="2">
                  <c:v>-3.644347149942841</c:v>
                </c:pt>
                <c:pt idx="3">
                  <c:v>-5.3246188836488901</c:v>
                </c:pt>
                <c:pt idx="4">
                  <c:v>-5.5818568441789402</c:v>
                </c:pt>
                <c:pt idx="5">
                  <c:v>-7.5771948085785095</c:v>
                </c:pt>
                <c:pt idx="6">
                  <c:v>-9.473871234972405</c:v>
                </c:pt>
                <c:pt idx="7">
                  <c:v>-12.394239062607511</c:v>
                </c:pt>
                <c:pt idx="8">
                  <c:v>-14.830843699826694</c:v>
                </c:pt>
                <c:pt idx="9">
                  <c:v>-19.283148020471536</c:v>
                </c:pt>
                <c:pt idx="10">
                  <c:v>-23.548054739114093</c:v>
                </c:pt>
                <c:pt idx="11">
                  <c:v>-28.661327401559934</c:v>
                </c:pt>
                <c:pt idx="12">
                  <c:v>-35.324609113974134</c:v>
                </c:pt>
                <c:pt idx="13">
                  <c:v>-42.308529918655118</c:v>
                </c:pt>
                <c:pt idx="14">
                  <c:v>-50.068299810980101</c:v>
                </c:pt>
                <c:pt idx="15">
                  <c:v>-57.08956665308105</c:v>
                </c:pt>
                <c:pt idx="16">
                  <c:v>-63.770431726573065</c:v>
                </c:pt>
                <c:pt idx="17">
                  <c:v>-70.70824592273388</c:v>
                </c:pt>
                <c:pt idx="18">
                  <c:v>-77.258874799434963</c:v>
                </c:pt>
                <c:pt idx="19">
                  <c:v>-82.803006109917447</c:v>
                </c:pt>
                <c:pt idx="20">
                  <c:v>-90.637239734646144</c:v>
                </c:pt>
                <c:pt idx="21">
                  <c:v>-97.585260097218068</c:v>
                </c:pt>
                <c:pt idx="22">
                  <c:v>-103.11159033399574</c:v>
                </c:pt>
                <c:pt idx="23">
                  <c:v>-112.71496252572445</c:v>
                </c:pt>
                <c:pt idx="24">
                  <c:v>-142.02646960538965</c:v>
                </c:pt>
                <c:pt idx="25">
                  <c:v>-176.96022882331357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90232"/>
        <c:axId val="530589448"/>
      </c:scatterChart>
      <c:valAx>
        <c:axId val="53058866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89056"/>
        <c:crosses val="autoZero"/>
        <c:crossBetween val="midCat"/>
      </c:valAx>
      <c:valAx>
        <c:axId val="530589056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88664"/>
        <c:crossesAt val="0.1"/>
        <c:crossBetween val="midCat"/>
      </c:valAx>
      <c:valAx>
        <c:axId val="530589448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90232"/>
        <c:crosses val="max"/>
        <c:crossBetween val="midCat"/>
      </c:valAx>
      <c:valAx>
        <c:axId val="5305902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0.200 </a:t>
            </a:r>
            <a:r>
              <a:rPr lang="en-US" baseline="0"/>
              <a:t>time constant at 25%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303918680986"/>
          <c:y val="0.24862085086489014"/>
          <c:w val="0.77785392162638023"/>
          <c:h val="0.5883351186992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TauPhotonTurnigy!$M$1</c:f>
              <c:strCache>
                <c:ptCount val="1"/>
                <c:pt idx="0">
                  <c:v>mdiffTur25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TauPhotonTurnigy!$M$2:$M$33</c:f>
              <c:numCache>
                <c:formatCode>General</c:formatCode>
                <c:ptCount val="32"/>
                <c:pt idx="0">
                  <c:v>8.3705415954593576E-3</c:v>
                </c:pt>
                <c:pt idx="1">
                  <c:v>1.4483218799035136E-2</c:v>
                </c:pt>
                <c:pt idx="2">
                  <c:v>-7.535037402505429E-2</c:v>
                </c:pt>
                <c:pt idx="3">
                  <c:v>-3.5807272933308543E-2</c:v>
                </c:pt>
                <c:pt idx="4">
                  <c:v>5.1385574306573645E-2</c:v>
                </c:pt>
                <c:pt idx="5">
                  <c:v>-2.5545060901414285E-2</c:v>
                </c:pt>
                <c:pt idx="6">
                  <c:v>5.7697773065928715E-2</c:v>
                </c:pt>
                <c:pt idx="7">
                  <c:v>-0.19745312274213012</c:v>
                </c:pt>
                <c:pt idx="8">
                  <c:v>-0.16314753633963219</c:v>
                </c:pt>
                <c:pt idx="9">
                  <c:v>-0.23819025864802912</c:v>
                </c:pt>
                <c:pt idx="10">
                  <c:v>-0.37935486728436718</c:v>
                </c:pt>
                <c:pt idx="11">
                  <c:v>-0.71884331903387944</c:v>
                </c:pt>
                <c:pt idx="12">
                  <c:v>-0.90080450903090004</c:v>
                </c:pt>
                <c:pt idx="13">
                  <c:v>-1.5395485478833053</c:v>
                </c:pt>
                <c:pt idx="14">
                  <c:v>-2.1131700533920852</c:v>
                </c:pt>
                <c:pt idx="15">
                  <c:v>-2.932557655298806</c:v>
                </c:pt>
                <c:pt idx="16">
                  <c:v>-3.9306689161074257</c:v>
                </c:pt>
                <c:pt idx="17">
                  <c:v>-4.9062447820711768</c:v>
                </c:pt>
                <c:pt idx="18">
                  <c:v>-6.3980398529760922</c:v>
                </c:pt>
                <c:pt idx="19">
                  <c:v>-7.4285433701677519</c:v>
                </c:pt>
                <c:pt idx="20">
                  <c:v>-8.7204570752097652</c:v>
                </c:pt>
                <c:pt idx="21">
                  <c:v>-10.751488901663762</c:v>
                </c:pt>
                <c:pt idx="22">
                  <c:v>-13.115203645949938</c:v>
                </c:pt>
                <c:pt idx="23">
                  <c:v>-16.132074505287395</c:v>
                </c:pt>
                <c:pt idx="24">
                  <c:v>-18.618614409465835</c:v>
                </c:pt>
                <c:pt idx="25">
                  <c:v>-20.92897966564783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3376"/>
        <c:axId val="161769064"/>
      </c:scatterChart>
      <c:scatterChart>
        <c:scatterStyle val="lineMarker"/>
        <c:varyColors val="0"/>
        <c:ser>
          <c:idx val="1"/>
          <c:order val="1"/>
          <c:tx>
            <c:strRef>
              <c:f>TauPhotonTurnigy!$N$1</c:f>
              <c:strCache>
                <c:ptCount val="1"/>
                <c:pt idx="0">
                  <c:v>pdiffTur25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TauPhotonTurnigy!$N$2:$N$33</c:f>
              <c:numCache>
                <c:formatCode>General</c:formatCode>
                <c:ptCount val="32"/>
                <c:pt idx="0">
                  <c:v>-1.0888454257768985</c:v>
                </c:pt>
                <c:pt idx="1">
                  <c:v>-1.7247767969014087</c:v>
                </c:pt>
                <c:pt idx="2">
                  <c:v>-2.1001351499428411</c:v>
                </c:pt>
                <c:pt idx="3">
                  <c:v>-2.5029928836488891</c:v>
                </c:pt>
                <c:pt idx="4">
                  <c:v>-3.3833018441789404</c:v>
                </c:pt>
                <c:pt idx="5">
                  <c:v>-6.3463828085785092</c:v>
                </c:pt>
                <c:pt idx="6">
                  <c:v>-7.7355782349724063</c:v>
                </c:pt>
                <c:pt idx="7">
                  <c:v>-8.3068980626075088</c:v>
                </c:pt>
                <c:pt idx="8">
                  <c:v>-11.076232699826697</c:v>
                </c:pt>
                <c:pt idx="9">
                  <c:v>-13.83390302047154</c:v>
                </c:pt>
                <c:pt idx="10">
                  <c:v>-17.399219739114095</c:v>
                </c:pt>
                <c:pt idx="11">
                  <c:v>-21.090488401559934</c:v>
                </c:pt>
                <c:pt idx="12">
                  <c:v>-26.688732113974137</c:v>
                </c:pt>
                <c:pt idx="13">
                  <c:v>-32.635526918655124</c:v>
                </c:pt>
                <c:pt idx="14">
                  <c:v>-38.462039810980095</c:v>
                </c:pt>
                <c:pt idx="15">
                  <c:v>-44.573752653081058</c:v>
                </c:pt>
                <c:pt idx="16">
                  <c:v>-52.062405726573061</c:v>
                </c:pt>
                <c:pt idx="17">
                  <c:v>-57.070100922733872</c:v>
                </c:pt>
                <c:pt idx="18">
                  <c:v>-64.137648799434956</c:v>
                </c:pt>
                <c:pt idx="19">
                  <c:v>-69.412751109917451</c:v>
                </c:pt>
                <c:pt idx="20">
                  <c:v>-74.21713373464614</c:v>
                </c:pt>
                <c:pt idx="21">
                  <c:v>-84.858510097218058</c:v>
                </c:pt>
                <c:pt idx="22">
                  <c:v>-97.198221333995718</c:v>
                </c:pt>
                <c:pt idx="23">
                  <c:v>-95.934691525724418</c:v>
                </c:pt>
                <c:pt idx="24">
                  <c:v>-135.37760360538965</c:v>
                </c:pt>
                <c:pt idx="25">
                  <c:v>-184.92706782331356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280"/>
        <c:axId val="161774552"/>
      </c:scatterChart>
      <c:valAx>
        <c:axId val="16177337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9064"/>
        <c:crosses val="autoZero"/>
        <c:crossBetween val="midCat"/>
      </c:valAx>
      <c:valAx>
        <c:axId val="161769064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3376"/>
        <c:crossesAt val="0.1"/>
        <c:crossBetween val="midCat"/>
      </c:valAx>
      <c:valAx>
        <c:axId val="16177455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8280"/>
        <c:crosses val="max"/>
        <c:crossBetween val="midCat"/>
      </c:valAx>
      <c:valAx>
        <c:axId val="1617682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7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0.10</a:t>
            </a:r>
            <a:r>
              <a:rPr lang="en-US" baseline="0"/>
              <a:t> time constant at 45%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TauPhotonTurnigy!$X$1</c:f>
              <c:strCache>
                <c:ptCount val="1"/>
                <c:pt idx="0">
                  <c:v>mdiffTur45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TauPhotonTurnigy!$X$2:$X$33</c:f>
              <c:numCache>
                <c:formatCode>General</c:formatCode>
                <c:ptCount val="32"/>
                <c:pt idx="0">
                  <c:v>-4.7051458404540725E-2</c:v>
                </c:pt>
                <c:pt idx="1">
                  <c:v>-0.27767378120096531</c:v>
                </c:pt>
                <c:pt idx="2">
                  <c:v>-0.10958537402505453</c:v>
                </c:pt>
                <c:pt idx="3">
                  <c:v>-0.40604227293330819</c:v>
                </c:pt>
                <c:pt idx="4">
                  <c:v>5.9591574306574024E-2</c:v>
                </c:pt>
                <c:pt idx="5">
                  <c:v>-0.33145706090141402</c:v>
                </c:pt>
                <c:pt idx="6">
                  <c:v>-0.23694422693407091</c:v>
                </c:pt>
                <c:pt idx="7">
                  <c:v>-0.23528912274212921</c:v>
                </c:pt>
                <c:pt idx="8">
                  <c:v>-7.8282536339632003E-2</c:v>
                </c:pt>
                <c:pt idx="9">
                  <c:v>-0.42618225864802906</c:v>
                </c:pt>
                <c:pt idx="10">
                  <c:v>-0.32782786728436708</c:v>
                </c:pt>
                <c:pt idx="11">
                  <c:v>-0.63118031903387983</c:v>
                </c:pt>
                <c:pt idx="12">
                  <c:v>-0.49543550903089972</c:v>
                </c:pt>
                <c:pt idx="13">
                  <c:v>-0.71769454788330656</c:v>
                </c:pt>
                <c:pt idx="14">
                  <c:v>-1.0135270533920853</c:v>
                </c:pt>
                <c:pt idx="15">
                  <c:v>-1.4264586552988057</c:v>
                </c:pt>
                <c:pt idx="16">
                  <c:v>-1.876961916107426</c:v>
                </c:pt>
                <c:pt idx="17">
                  <c:v>-2.3882807820711776</c:v>
                </c:pt>
                <c:pt idx="18">
                  <c:v>-3.3591118529760919</c:v>
                </c:pt>
                <c:pt idx="19">
                  <c:v>-3.5885773701677532</c:v>
                </c:pt>
                <c:pt idx="20">
                  <c:v>-5.3970800752097663</c:v>
                </c:pt>
                <c:pt idx="21">
                  <c:v>-6.8538649016637603</c:v>
                </c:pt>
                <c:pt idx="22">
                  <c:v>-8.4843376459499353</c:v>
                </c:pt>
                <c:pt idx="23">
                  <c:v>-12.003314505287396</c:v>
                </c:pt>
                <c:pt idx="24">
                  <c:v>-15.502123409465831</c:v>
                </c:pt>
                <c:pt idx="25">
                  <c:v>-20.176065665647826</c:v>
                </c:pt>
                <c:pt idx="26">
                  <c:v>0.10526315789473684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9848"/>
        <c:axId val="161771416"/>
      </c:scatterChart>
      <c:scatterChart>
        <c:scatterStyle val="lineMarker"/>
        <c:varyColors val="0"/>
        <c:ser>
          <c:idx val="1"/>
          <c:order val="1"/>
          <c:tx>
            <c:strRef>
              <c:f>TauPhotonTurnigy!$Y$1</c:f>
              <c:strCache>
                <c:ptCount val="1"/>
                <c:pt idx="0">
                  <c:v>pdiffTur45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TauPhotonTurnigy!$Y$2:$Y$33</c:f>
              <c:numCache>
                <c:formatCode>General</c:formatCode>
                <c:ptCount val="32"/>
                <c:pt idx="0">
                  <c:v>-0.2097814257768984</c:v>
                </c:pt>
                <c:pt idx="1">
                  <c:v>-1.4534607969014086</c:v>
                </c:pt>
                <c:pt idx="2">
                  <c:v>-1.1835681499428405</c:v>
                </c:pt>
                <c:pt idx="3">
                  <c:v>-2.182924883648889</c:v>
                </c:pt>
                <c:pt idx="4">
                  <c:v>-2.0169608441789402</c:v>
                </c:pt>
                <c:pt idx="5">
                  <c:v>-1.5345828085785094</c:v>
                </c:pt>
                <c:pt idx="6">
                  <c:v>-3.6107702349724047</c:v>
                </c:pt>
                <c:pt idx="7">
                  <c:v>-4.1743400626075093</c:v>
                </c:pt>
                <c:pt idx="8">
                  <c:v>-6.6908526998266957</c:v>
                </c:pt>
                <c:pt idx="9">
                  <c:v>-9.3020730204715409</c:v>
                </c:pt>
                <c:pt idx="10">
                  <c:v>-11.388428739114094</c:v>
                </c:pt>
                <c:pt idx="11">
                  <c:v>-12.423766401559934</c:v>
                </c:pt>
                <c:pt idx="12">
                  <c:v>-16.781541113974139</c:v>
                </c:pt>
                <c:pt idx="13">
                  <c:v>-19.828951918655115</c:v>
                </c:pt>
                <c:pt idx="14">
                  <c:v>-24.293293810980096</c:v>
                </c:pt>
                <c:pt idx="15">
                  <c:v>-29.375398653081049</c:v>
                </c:pt>
                <c:pt idx="16">
                  <c:v>-33.662578726573059</c:v>
                </c:pt>
                <c:pt idx="17">
                  <c:v>-40.648674922733875</c:v>
                </c:pt>
                <c:pt idx="18">
                  <c:v>-45.801381799434935</c:v>
                </c:pt>
                <c:pt idx="19">
                  <c:v>-49.696238109917431</c:v>
                </c:pt>
                <c:pt idx="20">
                  <c:v>-61.955762734646143</c:v>
                </c:pt>
                <c:pt idx="21">
                  <c:v>-70.999755097218056</c:v>
                </c:pt>
                <c:pt idx="22">
                  <c:v>-80.105378333995731</c:v>
                </c:pt>
                <c:pt idx="23">
                  <c:v>-79.796875525724431</c:v>
                </c:pt>
                <c:pt idx="24">
                  <c:v>-119.99816760538965</c:v>
                </c:pt>
                <c:pt idx="25">
                  <c:v>-195.25910182331359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69928"/>
        <c:axId val="558671104"/>
      </c:scatterChart>
      <c:valAx>
        <c:axId val="16176984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1416"/>
        <c:crosses val="autoZero"/>
        <c:crossBetween val="midCat"/>
      </c:valAx>
      <c:valAx>
        <c:axId val="161771416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9848"/>
        <c:crossesAt val="0.1"/>
        <c:crossBetween val="midCat"/>
      </c:valAx>
      <c:valAx>
        <c:axId val="558671104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69928"/>
        <c:crosses val="max"/>
        <c:crossBetween val="midCat"/>
      </c:valAx>
      <c:valAx>
        <c:axId val="5586699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6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0.071</a:t>
            </a:r>
            <a:r>
              <a:rPr lang="en-US" baseline="0"/>
              <a:t> time constant at 52% Speed</a:t>
            </a:r>
            <a:endParaRPr lang="en-US"/>
          </a:p>
        </c:rich>
      </c:tx>
      <c:layout>
        <c:manualLayout>
          <c:xMode val="edge"/>
          <c:yMode val="edge"/>
          <c:x val="0.11600256698681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TauPhotonTurnigy!$AH$1</c:f>
              <c:strCache>
                <c:ptCount val="1"/>
                <c:pt idx="0">
                  <c:v>mdiffTur52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TauPhotonTurnigy!$AH$2:$AH$27</c:f>
              <c:numCache>
                <c:formatCode>General</c:formatCode>
                <c:ptCount val="26"/>
                <c:pt idx="0">
                  <c:v>-0.48984845840454128</c:v>
                </c:pt>
                <c:pt idx="1">
                  <c:v>4.5220218799034484E-2</c:v>
                </c:pt>
                <c:pt idx="2">
                  <c:v>-1.6679374025054372E-2</c:v>
                </c:pt>
                <c:pt idx="3">
                  <c:v>-0.13211427293330935</c:v>
                </c:pt>
                <c:pt idx="4">
                  <c:v>-2.5347425693427184E-2</c:v>
                </c:pt>
                <c:pt idx="5">
                  <c:v>0.25592093909858527</c:v>
                </c:pt>
                <c:pt idx="6">
                  <c:v>2.5598773065929947E-2</c:v>
                </c:pt>
                <c:pt idx="7">
                  <c:v>-0.19767212274213009</c:v>
                </c:pt>
                <c:pt idx="8">
                  <c:v>-0.23126653633963201</c:v>
                </c:pt>
                <c:pt idx="9">
                  <c:v>9.9115741351971209E-2</c:v>
                </c:pt>
                <c:pt idx="10">
                  <c:v>-0.18143186728436689</c:v>
                </c:pt>
                <c:pt idx="11">
                  <c:v>-0.51751131903387915</c:v>
                </c:pt>
                <c:pt idx="12">
                  <c:v>-0.2419455090309004</c:v>
                </c:pt>
                <c:pt idx="13">
                  <c:v>-0.16869554788330632</c:v>
                </c:pt>
                <c:pt idx="14">
                  <c:v>-0.58618805339208535</c:v>
                </c:pt>
                <c:pt idx="15">
                  <c:v>-0.80528365529880475</c:v>
                </c:pt>
                <c:pt idx="16">
                  <c:v>-0.96821191610742652</c:v>
                </c:pt>
                <c:pt idx="17">
                  <c:v>-1.300054782071177</c:v>
                </c:pt>
                <c:pt idx="18">
                  <c:v>-2.0074828529760893</c:v>
                </c:pt>
                <c:pt idx="19">
                  <c:v>-1.9953313701677526</c:v>
                </c:pt>
                <c:pt idx="20">
                  <c:v>-3.5377070752097648</c:v>
                </c:pt>
                <c:pt idx="21">
                  <c:v>-4.4554739016637601</c:v>
                </c:pt>
                <c:pt idx="22">
                  <c:v>-6.4320406459499324</c:v>
                </c:pt>
                <c:pt idx="23">
                  <c:v>-8.6996325052873935</c:v>
                </c:pt>
                <c:pt idx="24">
                  <c:v>-13.883625409465829</c:v>
                </c:pt>
                <c:pt idx="25">
                  <c:v>-16.866823665647829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3848"/>
        <c:axId val="558675808"/>
      </c:scatterChart>
      <c:scatterChart>
        <c:scatterStyle val="lineMarker"/>
        <c:varyColors val="0"/>
        <c:ser>
          <c:idx val="1"/>
          <c:order val="1"/>
          <c:tx>
            <c:strRef>
              <c:f>TauPhotonTurnigy!$AI$1</c:f>
              <c:strCache>
                <c:ptCount val="1"/>
                <c:pt idx="0">
                  <c:v>pdiffTur52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TauPhotonTurnigy!$AI$2:$AI$27</c:f>
              <c:numCache>
                <c:formatCode>General</c:formatCode>
                <c:ptCount val="26"/>
                <c:pt idx="0">
                  <c:v>-1.4387484257768983</c:v>
                </c:pt>
                <c:pt idx="1">
                  <c:v>-0.76440279690140844</c:v>
                </c:pt>
                <c:pt idx="2">
                  <c:v>-0.52780814994284064</c:v>
                </c:pt>
                <c:pt idx="3">
                  <c:v>-3.5992908836488891</c:v>
                </c:pt>
                <c:pt idx="4">
                  <c:v>-1.6114258441789397</c:v>
                </c:pt>
                <c:pt idx="5">
                  <c:v>-0.65475980857850935</c:v>
                </c:pt>
                <c:pt idx="6">
                  <c:v>-2.3542552349724062</c:v>
                </c:pt>
                <c:pt idx="7">
                  <c:v>-5.1526580626075091</c:v>
                </c:pt>
                <c:pt idx="8">
                  <c:v>-3.6712836998266951</c:v>
                </c:pt>
                <c:pt idx="9">
                  <c:v>-5.1582000204715417</c:v>
                </c:pt>
                <c:pt idx="10">
                  <c:v>-8.3797207391140951</c:v>
                </c:pt>
                <c:pt idx="11">
                  <c:v>-11.175823401559935</c:v>
                </c:pt>
                <c:pt idx="12">
                  <c:v>-10.652242113974136</c:v>
                </c:pt>
                <c:pt idx="13">
                  <c:v>-13.123210918655118</c:v>
                </c:pt>
                <c:pt idx="14">
                  <c:v>-16.776600810980099</c:v>
                </c:pt>
                <c:pt idx="15">
                  <c:v>-21.290016653081054</c:v>
                </c:pt>
                <c:pt idx="16">
                  <c:v>-24.478109726573066</c:v>
                </c:pt>
                <c:pt idx="17">
                  <c:v>-28.099152922733865</c:v>
                </c:pt>
                <c:pt idx="18">
                  <c:v>-35.677737799434951</c:v>
                </c:pt>
                <c:pt idx="19">
                  <c:v>-41.372167109917456</c:v>
                </c:pt>
                <c:pt idx="20">
                  <c:v>-49.513948734646149</c:v>
                </c:pt>
                <c:pt idx="21">
                  <c:v>-60.86090009721805</c:v>
                </c:pt>
                <c:pt idx="22">
                  <c:v>-68.778053333995729</c:v>
                </c:pt>
                <c:pt idx="23">
                  <c:v>-61.267210525724437</c:v>
                </c:pt>
                <c:pt idx="24">
                  <c:v>-106.62986860538967</c:v>
                </c:pt>
                <c:pt idx="25">
                  <c:v>-213.52295382331357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3064"/>
        <c:axId val="558672672"/>
      </c:scatterChart>
      <c:valAx>
        <c:axId val="55867384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5808"/>
        <c:crosses val="autoZero"/>
        <c:crossBetween val="midCat"/>
      </c:valAx>
      <c:valAx>
        <c:axId val="558675808"/>
        <c:scaling>
          <c:orientation val="minMax"/>
          <c:max val="0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3848"/>
        <c:crossesAt val="0.1"/>
        <c:crossBetween val="midCat"/>
      </c:valAx>
      <c:valAx>
        <c:axId val="55867267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3064"/>
        <c:crosses val="max"/>
        <c:crossBetween val="midCat"/>
      </c:valAx>
      <c:valAx>
        <c:axId val="558673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6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0.045</a:t>
            </a:r>
            <a:r>
              <a:rPr lang="en-US" baseline="0"/>
              <a:t> time constant at 55% Speed</a:t>
            </a:r>
            <a:endParaRPr lang="en-US"/>
          </a:p>
        </c:rich>
      </c:tx>
      <c:layout>
        <c:manualLayout>
          <c:xMode val="edge"/>
          <c:yMode val="edge"/>
          <c:x val="0.11600256698681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TauPhotonTurnigy!$AM$1</c:f>
              <c:strCache>
                <c:ptCount val="1"/>
                <c:pt idx="0">
                  <c:v>mdiffTur55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TauPhotonTurnigy!$AM$1:$AM$26</c:f>
              <c:numCache>
                <c:formatCode>General</c:formatCode>
                <c:ptCount val="26"/>
                <c:pt idx="0">
                  <c:v>0</c:v>
                </c:pt>
                <c:pt idx="1">
                  <c:v>-6.8179458404542315E-2</c:v>
                </c:pt>
                <c:pt idx="2">
                  <c:v>-0.35465478120096416</c:v>
                </c:pt>
                <c:pt idx="3">
                  <c:v>-0.16262637402505464</c:v>
                </c:pt>
                <c:pt idx="4">
                  <c:v>0.13114872706669023</c:v>
                </c:pt>
                <c:pt idx="5">
                  <c:v>0.13316157430657438</c:v>
                </c:pt>
                <c:pt idx="6">
                  <c:v>0.2921209390985855</c:v>
                </c:pt>
                <c:pt idx="7">
                  <c:v>0.34006677306592903</c:v>
                </c:pt>
                <c:pt idx="8">
                  <c:v>5.1930877257869712E-2</c:v>
                </c:pt>
                <c:pt idx="9">
                  <c:v>-0.11042353633963198</c:v>
                </c:pt>
                <c:pt idx="10">
                  <c:v>0.28606574135197005</c:v>
                </c:pt>
                <c:pt idx="11">
                  <c:v>0.26056813271563262</c:v>
                </c:pt>
                <c:pt idx="12">
                  <c:v>0.2223736809661212</c:v>
                </c:pt>
                <c:pt idx="13">
                  <c:v>0.20942849096910021</c:v>
                </c:pt>
                <c:pt idx="14">
                  <c:v>9.9793452116693659E-2</c:v>
                </c:pt>
                <c:pt idx="15">
                  <c:v>-0.12431905339208593</c:v>
                </c:pt>
                <c:pt idx="16">
                  <c:v>-0.24819065529880535</c:v>
                </c:pt>
                <c:pt idx="17">
                  <c:v>-0.3511179161074256</c:v>
                </c:pt>
                <c:pt idx="18">
                  <c:v>-0.52942778207117658</c:v>
                </c:pt>
                <c:pt idx="19">
                  <c:v>-1.3278218529760906</c:v>
                </c:pt>
                <c:pt idx="20">
                  <c:v>-1.1206793701677522</c:v>
                </c:pt>
                <c:pt idx="21">
                  <c:v>-2.371367075209764</c:v>
                </c:pt>
                <c:pt idx="22">
                  <c:v>-3.4327919016637614</c:v>
                </c:pt>
                <c:pt idx="23">
                  <c:v>-5.0200776459499368</c:v>
                </c:pt>
                <c:pt idx="24">
                  <c:v>-7.9991315052873952</c:v>
                </c:pt>
                <c:pt idx="25">
                  <c:v>-12.969590409465834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20808"/>
        <c:axId val="596728648"/>
      </c:scatterChart>
      <c:scatterChart>
        <c:scatterStyle val="lineMarker"/>
        <c:varyColors val="0"/>
        <c:ser>
          <c:idx val="1"/>
          <c:order val="1"/>
          <c:tx>
            <c:strRef>
              <c:f>TauPhotonTurnigy!$AN$1</c:f>
              <c:strCache>
                <c:ptCount val="1"/>
                <c:pt idx="0">
                  <c:v>pdiffTur55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TauPhotonTurnigy!$AN$2:$AN$27</c:f>
              <c:numCache>
                <c:formatCode>General</c:formatCode>
                <c:ptCount val="26"/>
                <c:pt idx="0">
                  <c:v>0.88181657422310145</c:v>
                </c:pt>
                <c:pt idx="1">
                  <c:v>0.70065920309859142</c:v>
                </c:pt>
                <c:pt idx="2">
                  <c:v>-1.2176501499428412</c:v>
                </c:pt>
                <c:pt idx="3">
                  <c:v>-2.462960883648889</c:v>
                </c:pt>
                <c:pt idx="4">
                  <c:v>0.10011315582105951</c:v>
                </c:pt>
                <c:pt idx="5">
                  <c:v>1.3247221914214906</c:v>
                </c:pt>
                <c:pt idx="6">
                  <c:v>-1.7949442349724052</c:v>
                </c:pt>
                <c:pt idx="7">
                  <c:v>-1.8536620626075102</c:v>
                </c:pt>
                <c:pt idx="8">
                  <c:v>-6.5774346998266964</c:v>
                </c:pt>
                <c:pt idx="9">
                  <c:v>-5.3194070204715391</c:v>
                </c:pt>
                <c:pt idx="10">
                  <c:v>-6.4955987391140937</c:v>
                </c:pt>
                <c:pt idx="11">
                  <c:v>-9.1793354015599355</c:v>
                </c:pt>
                <c:pt idx="12">
                  <c:v>-8.8450791139741334</c:v>
                </c:pt>
                <c:pt idx="13">
                  <c:v>-12.812376918655119</c:v>
                </c:pt>
                <c:pt idx="14">
                  <c:v>-15.784836810980103</c:v>
                </c:pt>
                <c:pt idx="15">
                  <c:v>-18.000768653081053</c:v>
                </c:pt>
                <c:pt idx="16">
                  <c:v>-22.139785726573066</c:v>
                </c:pt>
                <c:pt idx="17">
                  <c:v>-27.693523922733874</c:v>
                </c:pt>
                <c:pt idx="18">
                  <c:v>-33.728613799434953</c:v>
                </c:pt>
                <c:pt idx="19">
                  <c:v>-37.424045109917444</c:v>
                </c:pt>
                <c:pt idx="20">
                  <c:v>-46.831390734646149</c:v>
                </c:pt>
                <c:pt idx="21">
                  <c:v>-53.754166097218061</c:v>
                </c:pt>
                <c:pt idx="22">
                  <c:v>-65.386296333995716</c:v>
                </c:pt>
                <c:pt idx="23">
                  <c:v>-56.058195525724415</c:v>
                </c:pt>
                <c:pt idx="24">
                  <c:v>-102.33747060538965</c:v>
                </c:pt>
                <c:pt idx="25">
                  <c:v>-217.40518182331357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24336"/>
        <c:axId val="596721592"/>
      </c:scatterChart>
      <c:valAx>
        <c:axId val="59672080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8648"/>
        <c:crosses val="autoZero"/>
        <c:crossBetween val="midCat"/>
      </c:valAx>
      <c:valAx>
        <c:axId val="596728648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0808"/>
        <c:crossesAt val="0.1"/>
        <c:crossBetween val="midCat"/>
      </c:valAx>
      <c:valAx>
        <c:axId val="59672159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4336"/>
        <c:crosses val="max"/>
        <c:crossBetween val="midCat"/>
      </c:valAx>
      <c:valAx>
        <c:axId val="5967243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72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0.03 time constant at 62% Speed</a:t>
            </a:r>
            <a:endParaRPr lang="en-US"/>
          </a:p>
        </c:rich>
      </c:tx>
      <c:layout>
        <c:manualLayout>
          <c:xMode val="edge"/>
          <c:yMode val="edge"/>
          <c:x val="0.11142381240806437"/>
          <c:y val="1.8939393939393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TauPhotonTurnigy!$AR$1</c:f>
              <c:strCache>
                <c:ptCount val="1"/>
                <c:pt idx="0">
                  <c:v>mdiffTur62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TauPhotonTurnigy!$AR$2:$AR$27</c:f>
              <c:numCache>
                <c:formatCode>General</c:formatCode>
                <c:ptCount val="26"/>
                <c:pt idx="0">
                  <c:v>-0.1083574584045417</c:v>
                </c:pt>
                <c:pt idx="1">
                  <c:v>-0.10418778120096572</c:v>
                </c:pt>
                <c:pt idx="2">
                  <c:v>0.38617662597494462</c:v>
                </c:pt>
                <c:pt idx="3">
                  <c:v>0.23792072706669121</c:v>
                </c:pt>
                <c:pt idx="4">
                  <c:v>0.23645457430657313</c:v>
                </c:pt>
                <c:pt idx="5">
                  <c:v>0.15677593909858434</c:v>
                </c:pt>
                <c:pt idx="6">
                  <c:v>0.74401577306592981</c:v>
                </c:pt>
                <c:pt idx="7">
                  <c:v>0.26872287725786936</c:v>
                </c:pt>
                <c:pt idx="8">
                  <c:v>2.7704636603678168E-3</c:v>
                </c:pt>
                <c:pt idx="9">
                  <c:v>0.10901474135197109</c:v>
                </c:pt>
                <c:pt idx="10">
                  <c:v>5.8816132715633351E-2</c:v>
                </c:pt>
                <c:pt idx="11">
                  <c:v>3.9536680966119953E-2</c:v>
                </c:pt>
                <c:pt idx="12">
                  <c:v>7.2612490969098609E-2</c:v>
                </c:pt>
                <c:pt idx="13">
                  <c:v>-0.20486654788330672</c:v>
                </c:pt>
                <c:pt idx="14">
                  <c:v>-3.4754053392085815E-2</c:v>
                </c:pt>
                <c:pt idx="15">
                  <c:v>-0.49878065529880633</c:v>
                </c:pt>
                <c:pt idx="16">
                  <c:v>0.17929208389257401</c:v>
                </c:pt>
                <c:pt idx="17">
                  <c:v>0.18505421792882348</c:v>
                </c:pt>
                <c:pt idx="18">
                  <c:v>-6.917785297609047E-2</c:v>
                </c:pt>
                <c:pt idx="19">
                  <c:v>0.22154262983224715</c:v>
                </c:pt>
                <c:pt idx="20">
                  <c:v>-0.44518907520976381</c:v>
                </c:pt>
                <c:pt idx="21">
                  <c:v>-2.2126799016637611</c:v>
                </c:pt>
                <c:pt idx="22">
                  <c:v>-2.3830236459499377</c:v>
                </c:pt>
                <c:pt idx="23">
                  <c:v>-3.3683775052873921</c:v>
                </c:pt>
                <c:pt idx="24">
                  <c:v>-11.244595409465834</c:v>
                </c:pt>
                <c:pt idx="25">
                  <c:v>-14.924416665647829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50912"/>
        <c:axId val="530543464"/>
      </c:scatterChart>
      <c:scatterChart>
        <c:scatterStyle val="lineMarker"/>
        <c:varyColors val="0"/>
        <c:ser>
          <c:idx val="1"/>
          <c:order val="1"/>
          <c:tx>
            <c:strRef>
              <c:f>TauPhotonTurnigy!$AS$1</c:f>
              <c:strCache>
                <c:ptCount val="1"/>
                <c:pt idx="0">
                  <c:v>pdiffTur62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TauPhotonTurnigy!$AS$2:$AS$27</c:f>
              <c:numCache>
                <c:formatCode>General</c:formatCode>
                <c:ptCount val="26"/>
                <c:pt idx="0">
                  <c:v>-0.71401642577689839</c:v>
                </c:pt>
                <c:pt idx="1">
                  <c:v>-4.2790647969014088</c:v>
                </c:pt>
                <c:pt idx="2">
                  <c:v>-5.0893971499428412</c:v>
                </c:pt>
                <c:pt idx="3">
                  <c:v>-3.8651388836488891</c:v>
                </c:pt>
                <c:pt idx="4">
                  <c:v>-9.2895698441789403</c:v>
                </c:pt>
                <c:pt idx="5">
                  <c:v>-2.9627218085785092</c:v>
                </c:pt>
                <c:pt idx="6">
                  <c:v>-2.9406402349724061</c:v>
                </c:pt>
                <c:pt idx="7">
                  <c:v>-4.6708140626075103</c:v>
                </c:pt>
                <c:pt idx="8">
                  <c:v>-9.022379699826697</c:v>
                </c:pt>
                <c:pt idx="9">
                  <c:v>-12.018447020471539</c:v>
                </c:pt>
                <c:pt idx="10">
                  <c:v>-9.9929097391140935</c:v>
                </c:pt>
                <c:pt idx="11">
                  <c:v>-7.6974834015599356</c:v>
                </c:pt>
                <c:pt idx="12">
                  <c:v>-9.9075291139741388</c:v>
                </c:pt>
                <c:pt idx="13">
                  <c:v>-15.042386918655119</c:v>
                </c:pt>
                <c:pt idx="14">
                  <c:v>-13.202205810980104</c:v>
                </c:pt>
                <c:pt idx="15">
                  <c:v>-18.914200653081053</c:v>
                </c:pt>
                <c:pt idx="16">
                  <c:v>-15.070754726573057</c:v>
                </c:pt>
                <c:pt idx="17">
                  <c:v>-20.189873922733867</c:v>
                </c:pt>
                <c:pt idx="18">
                  <c:v>-22.948065799434943</c:v>
                </c:pt>
                <c:pt idx="19">
                  <c:v>-28.026364109917438</c:v>
                </c:pt>
                <c:pt idx="20">
                  <c:v>-32.505056734646146</c:v>
                </c:pt>
                <c:pt idx="21">
                  <c:v>-43.209769097218057</c:v>
                </c:pt>
                <c:pt idx="22">
                  <c:v>-52.452306333995722</c:v>
                </c:pt>
                <c:pt idx="23">
                  <c:v>-39.091281525724412</c:v>
                </c:pt>
                <c:pt idx="24">
                  <c:v>-31.792107605389646</c:v>
                </c:pt>
                <c:pt idx="25">
                  <c:v>-29.393535823313584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47384"/>
        <c:axId val="530546208"/>
      </c:scatterChart>
      <c:valAx>
        <c:axId val="53055091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3464"/>
        <c:crosses val="autoZero"/>
        <c:crossBetween val="midCat"/>
      </c:valAx>
      <c:valAx>
        <c:axId val="530543464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0912"/>
        <c:crossesAt val="0.1"/>
        <c:crossBetween val="midCat"/>
      </c:valAx>
      <c:valAx>
        <c:axId val="530546208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7384"/>
        <c:crosses val="max"/>
        <c:crossBetween val="midCat"/>
      </c:valAx>
      <c:valAx>
        <c:axId val="5305473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TauPhotonTurnigy!$AW$1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364855062987107"/>
                  <c:y val="-0.215955649012178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TauPhotonTurnigy!$AV$2:$AV$10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TauPhotonTurnigy!$AW$2:$AW$10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TauPhotonTurnigy!$BI$2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TauPhotonTurnigy!$BH$6:$BH$14</c:f>
              <c:numCache>
                <c:formatCode>General</c:formatCode>
                <c:ptCount val="9"/>
                <c:pt idx="0">
                  <c:v>15.047408792585415</c:v>
                </c:pt>
                <c:pt idx="1">
                  <c:v>37.649471024806083</c:v>
                </c:pt>
                <c:pt idx="2">
                  <c:v>48.010895849896535</c:v>
                </c:pt>
                <c:pt idx="3">
                  <c:v>61.364409667042004</c:v>
                </c:pt>
                <c:pt idx="4">
                  <c:v>69.444433699664401</c:v>
                </c:pt>
                <c:pt idx="5">
                  <c:v>76.75084997835306</c:v>
                </c:pt>
                <c:pt idx="6">
                  <c:v>87.210974546743557</c:v>
                </c:pt>
                <c:pt idx="7">
                  <c:v>93.835177516070971</c:v>
                </c:pt>
                <c:pt idx="8">
                  <c:v>95.760447741647312</c:v>
                </c:pt>
              </c:numCache>
            </c:numRef>
          </c:xVal>
          <c:yVal>
            <c:numRef>
              <c:f>TauPhotonTurnigy!$BI$6:$BI$14</c:f>
              <c:numCache>
                <c:formatCode>General</c:formatCode>
                <c:ptCount val="9"/>
                <c:pt idx="0">
                  <c:v>0.70091118459969781</c:v>
                </c:pt>
                <c:pt idx="1">
                  <c:v>8.8118975354312457E-2</c:v>
                </c:pt>
                <c:pt idx="2">
                  <c:v>6.2906429754981188E-2</c:v>
                </c:pt>
                <c:pt idx="3">
                  <c:v>4.5959283219000051E-2</c:v>
                </c:pt>
                <c:pt idx="4">
                  <c:v>3.9517474546856557E-2</c:v>
                </c:pt>
                <c:pt idx="5">
                  <c:v>3.5072283984146982E-2</c:v>
                </c:pt>
                <c:pt idx="6">
                  <c:v>3.0207645977385542E-2</c:v>
                </c:pt>
                <c:pt idx="7">
                  <c:v>2.7768510934620131E-2</c:v>
                </c:pt>
                <c:pt idx="8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TauPhotonTurnigy!$BK$2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TauPhotonTurnigy!$BJ$7:$BJ$14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TauPhotonTurnigy!$BK$7:$BK$14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46992"/>
        <c:axId val="160404296"/>
      </c:scatterChart>
      <c:valAx>
        <c:axId val="5305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4296"/>
        <c:crosses val="autoZero"/>
        <c:crossBetween val="midCat"/>
      </c:valAx>
      <c:valAx>
        <c:axId val="1604042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4224"/>
        <c:axId val="598445008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35208"/>
        <c:axId val="598434816"/>
      </c:scatterChart>
      <c:valAx>
        <c:axId val="5984442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5008"/>
        <c:crossesAt val="-40"/>
        <c:crossBetween val="midCat"/>
        <c:majorUnit val="20"/>
      </c:valAx>
      <c:valAx>
        <c:axId val="598445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4224"/>
        <c:crosses val="autoZero"/>
        <c:crossBetween val="midCat"/>
      </c:valAx>
      <c:valAx>
        <c:axId val="5984348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5208"/>
        <c:crosses val="max"/>
        <c:crossBetween val="midCat"/>
        <c:majorUnit val="40"/>
      </c:valAx>
      <c:valAx>
        <c:axId val="59843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4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% For Correlating</a:t>
            </a:r>
            <a:r>
              <a:rPr lang="en-US" baseline="0"/>
              <a:t> to Linear Design Results to Produce Gain Schedule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63516163359527"/>
          <c:y val="7.1467032924155016E-2"/>
          <c:w val="0.80741808185597919"/>
          <c:h val="0.8371488103134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TauPhotonTurnigy!$AY$1</c:f>
              <c:strCache>
                <c:ptCount val="1"/>
                <c:pt idx="0">
                  <c:v>Nt, %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TauPhotonTurnigy!$AW$3:$AW$10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xVal>
          <c:yVal>
            <c:numRef>
              <c:f>TauPhotonTurnigy!$AY$3:$AY$10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50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5080"/>
        <c:axId val="159696240"/>
      </c:scatterChart>
      <c:valAx>
        <c:axId val="16040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96240"/>
        <c:crosses val="autoZero"/>
        <c:crossBetween val="midCat"/>
      </c:valAx>
      <c:valAx>
        <c:axId val="15969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0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76960"/>
        <c:axId val="664911360"/>
      </c:scatterChart>
      <c:valAx>
        <c:axId val="6035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1360"/>
        <c:crosses val="autoZero"/>
        <c:crossBetween val="midCat"/>
      </c:valAx>
      <c:valAx>
        <c:axId val="6649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6456"/>
        <c:axId val="66491998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6848"/>
        <c:axId val="664921160"/>
      </c:scatterChart>
      <c:valAx>
        <c:axId val="664916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9984"/>
        <c:crossesAt val="-40"/>
        <c:crossBetween val="midCat"/>
        <c:majorUnit val="20"/>
      </c:valAx>
      <c:valAx>
        <c:axId val="6649199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6456"/>
        <c:crosses val="autoZero"/>
        <c:crossBetween val="midCat"/>
      </c:valAx>
      <c:valAx>
        <c:axId val="664921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6848"/>
        <c:crosses val="max"/>
        <c:crossBetween val="midCat"/>
        <c:majorUnit val="40"/>
      </c:valAx>
      <c:valAx>
        <c:axId val="66491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92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9200"/>
        <c:axId val="664912144"/>
      </c:scatterChart>
      <c:valAx>
        <c:axId val="6649192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64912144"/>
        <c:crosses val="autoZero"/>
        <c:crossBetween val="midCat"/>
      </c:valAx>
      <c:valAx>
        <c:axId val="66491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9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0376"/>
        <c:axId val="664911752"/>
      </c:scatterChart>
      <c:valAx>
        <c:axId val="66492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1752"/>
        <c:crosses val="autoZero"/>
        <c:crossBetween val="midCat"/>
      </c:valAx>
      <c:valAx>
        <c:axId val="664911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4104"/>
        <c:axId val="664914888"/>
      </c:scatterChart>
      <c:valAx>
        <c:axId val="6649141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64914888"/>
        <c:crosses val="autoZero"/>
        <c:crossBetween val="midCat"/>
      </c:valAx>
      <c:valAx>
        <c:axId val="6649148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64914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3320"/>
        <c:axId val="664912536"/>
      </c:scatterChart>
      <c:valAx>
        <c:axId val="6649133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64912536"/>
        <c:crosses val="autoZero"/>
        <c:crossBetween val="midCat"/>
        <c:dispUnits>
          <c:builtInUnit val="thousands"/>
          <c:dispUnitsLbl/>
        </c:dispUnits>
      </c:valAx>
      <c:valAx>
        <c:axId val="6649125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64913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9400"/>
        <c:axId val="664909792"/>
      </c:scatterChart>
      <c:valAx>
        <c:axId val="6649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909792"/>
        <c:crosses val="autoZero"/>
        <c:crossBetween val="midCat"/>
      </c:valAx>
      <c:valAx>
        <c:axId val="6649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909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4496"/>
        <c:axId val="664912928"/>
      </c:scatterChart>
      <c:valAx>
        <c:axId val="664914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64912928"/>
        <c:crosses val="autoZero"/>
        <c:crossBetween val="midCat"/>
      </c:valAx>
      <c:valAx>
        <c:axId val="6649129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6491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3712"/>
        <c:axId val="664915280"/>
      </c:scatterChart>
      <c:valAx>
        <c:axId val="6649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5280"/>
        <c:crosses val="autoZero"/>
        <c:crossBetween val="midCat"/>
      </c:valAx>
      <c:valAx>
        <c:axId val="664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8536"/>
        <c:axId val="600829648"/>
      </c:scatterChart>
      <c:valAx>
        <c:axId val="5984485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00829648"/>
        <c:crosses val="autoZero"/>
        <c:crossBetween val="midCat"/>
      </c:valAx>
      <c:valAx>
        <c:axId val="60082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44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7632"/>
        <c:axId val="664918024"/>
      </c:scatterChart>
      <c:valAx>
        <c:axId val="6649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8024"/>
        <c:crosses val="autoZero"/>
        <c:crossBetween val="midCat"/>
      </c:valAx>
      <c:valAx>
        <c:axId val="6649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8808"/>
        <c:axId val="66492821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6256"/>
        <c:axId val="664925864"/>
      </c:scatterChart>
      <c:valAx>
        <c:axId val="6649188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8216"/>
        <c:crosses val="autoZero"/>
        <c:crossBetween val="midCat"/>
      </c:valAx>
      <c:valAx>
        <c:axId val="6649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8808"/>
        <c:crosses val="autoZero"/>
        <c:crossBetween val="midCat"/>
      </c:valAx>
      <c:valAx>
        <c:axId val="66492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6256"/>
        <c:crosses val="max"/>
        <c:crossBetween val="midCat"/>
      </c:valAx>
      <c:valAx>
        <c:axId val="66492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92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6648"/>
        <c:axId val="664927040"/>
      </c:scatterChart>
      <c:valAx>
        <c:axId val="6649266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64927040"/>
        <c:crosses val="autoZero"/>
        <c:crossBetween val="midCat"/>
      </c:valAx>
      <c:valAx>
        <c:axId val="6649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92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4688"/>
        <c:axId val="664923120"/>
      </c:scatterChart>
      <c:valAx>
        <c:axId val="6649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64923120"/>
        <c:crosses val="autoZero"/>
        <c:crossBetween val="midCat"/>
      </c:valAx>
      <c:valAx>
        <c:axId val="66492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92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5080"/>
        <c:axId val="664925472"/>
      </c:scatterChart>
      <c:valAx>
        <c:axId val="66492508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5472"/>
        <c:crosses val="autoZero"/>
        <c:crossBetween val="midCat"/>
      </c:valAx>
      <c:valAx>
        <c:axId val="664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508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3512"/>
        <c:axId val="664927432"/>
      </c:scatterChart>
      <c:valAx>
        <c:axId val="6649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7432"/>
        <c:crosses val="autoZero"/>
        <c:crossBetween val="midCat"/>
      </c:valAx>
      <c:valAx>
        <c:axId val="6649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2336"/>
        <c:axId val="664927824"/>
      </c:scatterChart>
      <c:valAx>
        <c:axId val="6649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7824"/>
        <c:crosses val="autoZero"/>
        <c:crossBetween val="midCat"/>
      </c:valAx>
      <c:valAx>
        <c:axId val="6649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98816"/>
        <c:axId val="664900384"/>
      </c:scatterChart>
      <c:valAx>
        <c:axId val="6648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00384"/>
        <c:crosses val="autoZero"/>
        <c:crossBetween val="midCat"/>
      </c:valAx>
      <c:valAx>
        <c:axId val="664900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0040"/>
        <c:axId val="600826512"/>
      </c:scatterChart>
      <c:valAx>
        <c:axId val="60083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26512"/>
        <c:crosses val="autoZero"/>
        <c:crossBetween val="midCat"/>
      </c:valAx>
      <c:valAx>
        <c:axId val="60082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0432"/>
        <c:axId val="600827296"/>
      </c:scatterChart>
      <c:valAx>
        <c:axId val="600830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00827296"/>
        <c:crosses val="autoZero"/>
        <c:crossBetween val="midCat"/>
      </c:valAx>
      <c:valAx>
        <c:axId val="6008272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0083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0</c:formatCode>
                <c:ptCount val="8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0.000</c:formatCode>
                <c:ptCount val="9"/>
                <c:pt idx="0">
                  <c:v>0.35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6120"/>
        <c:axId val="600823376"/>
      </c:scatterChart>
      <c:valAx>
        <c:axId val="60082612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00823376"/>
        <c:crosses val="autoZero"/>
        <c:crossBetween val="midCat"/>
      </c:valAx>
      <c:valAx>
        <c:axId val="60082337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00826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Qt from Model Nt, ft-lbf</c:v>
                </c:pt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0</c:formatCode>
                <c:ptCount val="9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  <c:pt idx="0">
                  <c:v>4.3873503556671905E-4</c:v>
                </c:pt>
                <c:pt idx="1">
                  <c:v>4.4749381157226293E-4</c:v>
                </c:pt>
                <c:pt idx="2">
                  <c:v>1.3755224878909979E-3</c:v>
                </c:pt>
                <c:pt idx="3">
                  <c:v>2.438403168041258E-3</c:v>
                </c:pt>
                <c:pt idx="4">
                  <c:v>3.7249606052333559E-3</c:v>
                </c:pt>
                <c:pt idx="5">
                  <c:v>6.1048249521557778E-3</c:v>
                </c:pt>
                <c:pt idx="6">
                  <c:v>7.9395613939336682E-3</c:v>
                </c:pt>
                <c:pt idx="7">
                  <c:v>8.5204621586561918E-3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52448"/>
        <c:axId val="602354408"/>
      </c:scatterChart>
      <c:valAx>
        <c:axId val="6023524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602354408"/>
        <c:crosses val="autoZero"/>
        <c:crossBetween val="midCat"/>
      </c:valAx>
      <c:valAx>
        <c:axId val="6023544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0235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53624"/>
        <c:axId val="602354800"/>
      </c:scatterChart>
      <c:valAx>
        <c:axId val="6023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4800"/>
        <c:crosses val="autoZero"/>
        <c:crossBetween val="midCat"/>
      </c:valAx>
      <c:valAx>
        <c:axId val="602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57152"/>
        <c:axId val="602357544"/>
      </c:scatterChart>
      <c:valAx>
        <c:axId val="6023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7544"/>
        <c:crosses val="autoZero"/>
        <c:crossBetween val="midCat"/>
      </c:valAx>
      <c:valAx>
        <c:axId val="6023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732367</xdr:colOff>
      <xdr:row>18</xdr:row>
      <xdr:rowOff>4239</xdr:rowOff>
    </xdr:from>
    <xdr:to>
      <xdr:col>52</xdr:col>
      <xdr:colOff>74990</xdr:colOff>
      <xdr:row>34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101600</xdr:colOff>
      <xdr:row>31</xdr:row>
      <xdr:rowOff>169333</xdr:rowOff>
    </xdr:from>
    <xdr:to>
      <xdr:col>43</xdr:col>
      <xdr:colOff>33867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516465</xdr:colOff>
      <xdr:row>46</xdr:row>
      <xdr:rowOff>84665</xdr:rowOff>
    </xdr:from>
    <xdr:to>
      <xdr:col>49</xdr:col>
      <xdr:colOff>304800</xdr:colOff>
      <xdr:row>56</xdr:row>
      <xdr:rowOff>110066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4</xdr:row>
      <xdr:rowOff>125730</xdr:rowOff>
    </xdr:from>
    <xdr:to>
      <xdr:col>20</xdr:col>
      <xdr:colOff>251460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563880</xdr:colOff>
      <xdr:row>5</xdr:row>
      <xdr:rowOff>7620</xdr:rowOff>
    </xdr:from>
    <xdr:to>
      <xdr:col>30</xdr:col>
      <xdr:colOff>289560</xdr:colOff>
      <xdr:row>19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167640</xdr:colOff>
      <xdr:row>4</xdr:row>
      <xdr:rowOff>106680</xdr:rowOff>
    </xdr:from>
    <xdr:to>
      <xdr:col>9</xdr:col>
      <xdr:colOff>175260</xdr:colOff>
      <xdr:row>19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449580</xdr:colOff>
      <xdr:row>4</xdr:row>
      <xdr:rowOff>38100</xdr:rowOff>
    </xdr:from>
    <xdr:to>
      <xdr:col>14</xdr:col>
      <xdr:colOff>457200</xdr:colOff>
      <xdr:row>19</xdr:row>
      <xdr:rowOff>11430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45720</xdr:colOff>
      <xdr:row>4</xdr:row>
      <xdr:rowOff>129540</xdr:rowOff>
    </xdr:from>
    <xdr:to>
      <xdr:col>25</xdr:col>
      <xdr:colOff>563880</xdr:colOff>
      <xdr:row>19</xdr:row>
      <xdr:rowOff>102870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30480</xdr:colOff>
      <xdr:row>4</xdr:row>
      <xdr:rowOff>152400</xdr:rowOff>
    </xdr:from>
    <xdr:to>
      <xdr:col>35</xdr:col>
      <xdr:colOff>365760</xdr:colOff>
      <xdr:row>19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99060</xdr:colOff>
      <xdr:row>5</xdr:row>
      <xdr:rowOff>45720</xdr:rowOff>
    </xdr:from>
    <xdr:to>
      <xdr:col>40</xdr:col>
      <xdr:colOff>434340</xdr:colOff>
      <xdr:row>19</xdr:row>
      <xdr:rowOff>167640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83820</xdr:colOff>
      <xdr:row>4</xdr:row>
      <xdr:rowOff>60960</xdr:rowOff>
    </xdr:from>
    <xdr:to>
      <xdr:col>45</xdr:col>
      <xdr:colOff>419100</xdr:colOff>
      <xdr:row>19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13335</xdr:colOff>
      <xdr:row>14</xdr:row>
      <xdr:rowOff>175260</xdr:rowOff>
    </xdr:from>
    <xdr:to>
      <xdr:col>53</xdr:col>
      <xdr:colOff>259080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539432</xdr:colOff>
      <xdr:row>15</xdr:row>
      <xdr:rowOff>80645</xdr:rowOff>
    </xdr:from>
    <xdr:to>
      <xdr:col>63</xdr:col>
      <xdr:colOff>182880</xdr:colOff>
      <xdr:row>32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topLeftCell="AM1" zoomScale="90" zoomScaleNormal="90" workbookViewId="0">
      <pane ySplit="1" topLeftCell="A11" activePane="bottomLeft" state="frozen"/>
      <selection pane="bottomLeft" activeCell="AS32" sqref="AS3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5546875" bestFit="1" customWidth="1"/>
    <col min="26" max="26" width="9.6640625" customWidth="1"/>
    <col min="27" max="27" width="7.554687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1.5546875" bestFit="1" customWidth="1"/>
    <col min="38" max="38" width="9.6640625" customWidth="1"/>
    <col min="43" max="43" width="9.88671875" bestFit="1" customWidth="1"/>
    <col min="45" max="45" width="13.109375" bestFit="1" customWidth="1"/>
    <col min="46" max="46" width="12" bestFit="1" customWidth="1"/>
    <col min="47" max="47" width="10.44140625" bestFit="1" customWidth="1"/>
    <col min="48" max="48" width="10.33203125" customWidth="1"/>
    <col min="49" max="49" width="9.33203125" bestFit="1" customWidth="1"/>
    <col min="50" max="50" width="10.33203125" bestFit="1" customWidth="1"/>
  </cols>
  <sheetData>
    <row r="1" spans="1:50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172</v>
      </c>
      <c r="V1" s="4" t="s">
        <v>137</v>
      </c>
      <c r="W1" s="4" t="s">
        <v>150</v>
      </c>
      <c r="X1" s="4" t="s">
        <v>46</v>
      </c>
      <c r="Y1" s="4" t="s">
        <v>158</v>
      </c>
      <c r="Z1" s="4" t="s">
        <v>160</v>
      </c>
      <c r="AA1" s="4" t="s">
        <v>173</v>
      </c>
      <c r="AB1" s="4" t="s">
        <v>166</v>
      </c>
      <c r="AC1" s="4" t="s">
        <v>167</v>
      </c>
      <c r="AD1" s="4" t="s">
        <v>168</v>
      </c>
      <c r="AE1" s="4" t="s">
        <v>171</v>
      </c>
      <c r="AF1" s="4" t="s">
        <v>174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 t="s">
        <v>104</v>
      </c>
      <c r="AT1" s="4" t="s">
        <v>139</v>
      </c>
      <c r="AU1" s="4" t="s">
        <v>105</v>
      </c>
      <c r="AV1" s="4" t="s">
        <v>187</v>
      </c>
      <c r="AW1" s="4" t="s">
        <v>82</v>
      </c>
      <c r="AX1" s="4" t="s">
        <v>83</v>
      </c>
    </row>
    <row r="2" spans="1:50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-18.379858705839208</v>
      </c>
      <c r="AL2" s="96">
        <f t="shared" ref="AL2:AL15" si="11">($AE$32+$AF$32*AK2*$AE$26)/$AE$26</f>
        <v>7.9564345991660124E-2</v>
      </c>
      <c r="AN2">
        <f t="shared" ref="AN2:AN15" si="12">MAX($AE$31+$AF$31*AI2, 0)</f>
        <v>0</v>
      </c>
      <c r="AO2" s="127"/>
      <c r="AP2" s="127"/>
      <c r="AS2" s="127"/>
      <c r="AU2" s="127"/>
    </row>
    <row r="3" spans="1:50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9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 t="shared" ref="Y3:Y14" si="16">$Y$15*(O3/$O$15)^3</f>
        <v>1.0085009471365632E-86</v>
      </c>
      <c r="Z3" s="127">
        <f t="shared" ref="Z3:Z13" si="17">SQRT(Y3^3/4/$X$42/$X$43)</f>
        <v>9.9336577480632889E-129</v>
      </c>
      <c r="AB3">
        <f t="shared" ref="AB3:AB15" si="18">SQRT(Y3/$X$43/$X$42)</f>
        <v>1.9699848128587132E-42</v>
      </c>
      <c r="AC3" s="4">
        <f t="shared" ref="AC3:AC14" si="19">AB3*1/1.6/1000*3600</f>
        <v>4.4324658289321046E-42</v>
      </c>
      <c r="AD3" s="4">
        <f t="shared" ref="AD3:AD15" si="20">P3/60*PI()*$AA$43/1000</f>
        <v>0</v>
      </c>
      <c r="AE3" s="160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21">MAX(($AE$30+$AF$30*LN(AH3))/$AE$26,0)</f>
        <v>0</v>
      </c>
      <c r="AK3" s="96">
        <f t="shared" si="10"/>
        <v>-18.379858705839208</v>
      </c>
      <c r="AL3" s="96">
        <f t="shared" si="11"/>
        <v>7.9564345991660124E-2</v>
      </c>
      <c r="AN3">
        <f t="shared" si="12"/>
        <v>0</v>
      </c>
      <c r="AO3" s="127"/>
      <c r="AP3" s="127"/>
      <c r="AQ3" s="127"/>
      <c r="AS3" s="127"/>
      <c r="AU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2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3">($T4-$T$3)</f>
        <v>3.2163599999999999</v>
      </c>
      <c r="V4">
        <f t="shared" ref="V4:V15" si="24">($T4-$T$3)*0.001341022</f>
        <v>4.3132095199200004E-3</v>
      </c>
      <c r="W4" s="152">
        <f>$V4/$O4*5252</f>
        <v>2.9750909003520725E-3</v>
      </c>
      <c r="X4" s="152">
        <f>W4-$W$4</f>
        <v>0</v>
      </c>
      <c r="Y4" s="147">
        <f t="shared" si="16"/>
        <v>2.0610933304377455E-2</v>
      </c>
      <c r="Z4" s="127">
        <f t="shared" si="17"/>
        <v>2.9022927311282597E-2</v>
      </c>
      <c r="AA4" s="97">
        <f>Z4/U4*100</f>
        <v>0.90235319775406353</v>
      </c>
      <c r="AB4">
        <f t="shared" si="18"/>
        <v>2.8162652202769061</v>
      </c>
      <c r="AC4" s="4">
        <f t="shared" si="19"/>
        <v>6.3365967456230381</v>
      </c>
      <c r="AD4" s="4">
        <f t="shared" si="20"/>
        <v>1.7278759594743859E-27</v>
      </c>
      <c r="AE4" s="160">
        <f t="shared" ref="AE4:AE15" si="25">AD4/AB4</f>
        <v>6.1353453042483493E-28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21"/>
        <v>6.1884426051581674</v>
      </c>
      <c r="AK4" s="96">
        <f t="shared" si="10"/>
        <v>-12.342682530228062</v>
      </c>
      <c r="AL4" s="96">
        <f t="shared" si="11"/>
        <v>6.2588081558872348</v>
      </c>
      <c r="AN4">
        <f t="shared" si="12"/>
        <v>0</v>
      </c>
      <c r="AO4" s="127">
        <f t="shared" ref="AO4:AO15" si="26">MAX($AE$33+$AI4*($AF$33+$AI4*$AG$33), 0)</f>
        <v>2.8885232311502262E-4</v>
      </c>
      <c r="AP4" s="127">
        <f>AI4*AO4/5252</f>
        <v>1.568357211313355E-4</v>
      </c>
      <c r="AQ4" s="146">
        <f t="shared" ref="AQ4:AQ15" si="27">MAX($AF$33+$AG$33*2*AI4,1E-32)</f>
        <v>1.0000000000000001E-32</v>
      </c>
      <c r="AR4" s="95"/>
      <c r="AS4" s="127"/>
      <c r="AV4" s="95"/>
      <c r="AW4" s="128">
        <f t="shared" ref="AW4:AW15" si="28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2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160">
        <f>J5</f>
        <v>8.3174399999999995</v>
      </c>
      <c r="U5" s="96">
        <f t="shared" si="23"/>
        <v>3.8673999999999991</v>
      </c>
      <c r="V5">
        <f t="shared" si="24"/>
        <v>5.1862684827999987E-3</v>
      </c>
      <c r="W5" s="152">
        <f>$V5/$O5*5252</f>
        <v>3.3049115580287588E-3</v>
      </c>
      <c r="X5" s="152">
        <f t="shared" ref="X5:X15" si="29">W5-$W$4</f>
        <v>3.2982065767668631E-4</v>
      </c>
      <c r="Y5" s="95">
        <f t="shared" si="16"/>
        <v>2.6138590953952594E-2</v>
      </c>
      <c r="Z5" s="147">
        <f t="shared" si="17"/>
        <v>4.1449374957952846E-2</v>
      </c>
      <c r="AA5" s="97">
        <f t="shared" ref="AA5:AA15" si="30">Z5/U5*100</f>
        <v>1.0717633282813481</v>
      </c>
      <c r="AB5">
        <f t="shared" si="18"/>
        <v>3.1715079845713725</v>
      </c>
      <c r="AC5" s="179">
        <f t="shared" si="19"/>
        <v>7.1358929652855876</v>
      </c>
      <c r="AD5" s="179">
        <f t="shared" si="20"/>
        <v>1.7278759594743859E-27</v>
      </c>
      <c r="AE5" s="160">
        <f t="shared" si="25"/>
        <v>5.4481211079400998E-28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21"/>
        <v>9.4329452526390227</v>
      </c>
      <c r="AK5" s="96">
        <f t="shared" si="10"/>
        <v>-9.1774864809422372</v>
      </c>
      <c r="AL5" s="96">
        <f t="shared" si="11"/>
        <v>9.4984880204019451</v>
      </c>
      <c r="AN5">
        <f t="shared" si="12"/>
        <v>0</v>
      </c>
      <c r="AO5" s="127">
        <f t="shared" si="26"/>
        <v>1.9093165395329351E-4</v>
      </c>
      <c r="AP5" s="127">
        <f t="shared" ref="AP5:AP15" si="31">AI5*AO5/5252</f>
        <v>1.5802034350535392E-4</v>
      </c>
      <c r="AQ5" s="146">
        <f t="shared" si="27"/>
        <v>1.0000000000000001E-32</v>
      </c>
      <c r="AR5" s="95"/>
      <c r="AS5" s="127"/>
      <c r="AV5" s="95"/>
      <c r="AW5" s="127">
        <f t="shared" si="28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2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160">
        <f>J6</f>
        <v>9.063600000000001</v>
      </c>
      <c r="U6" s="96">
        <f t="shared" si="23"/>
        <v>4.6135600000000005</v>
      </c>
      <c r="V6">
        <f t="shared" si="24"/>
        <v>6.1868854583200013E-3</v>
      </c>
      <c r="W6" s="152">
        <f t="shared" ref="W6:W15" si="32">$V6/$O6*5252</f>
        <v>3.5742874669806306E-3</v>
      </c>
      <c r="X6" s="152">
        <f t="shared" si="29"/>
        <v>5.9919656662855807E-4</v>
      </c>
      <c r="Y6" s="95">
        <f t="shared" si="16"/>
        <v>3.5078781866062975E-2</v>
      </c>
      <c r="Z6" s="147">
        <f t="shared" si="17"/>
        <v>6.4440883029282331E-2</v>
      </c>
      <c r="AA6" s="97">
        <f t="shared" si="30"/>
        <v>1.3967713225639706</v>
      </c>
      <c r="AB6">
        <f t="shared" si="18"/>
        <v>3.6740661791124376</v>
      </c>
      <c r="AC6" s="179">
        <f t="shared" si="19"/>
        <v>8.2666489030029844</v>
      </c>
      <c r="AD6" s="179">
        <f t="shared" si="20"/>
        <v>1.7278759594743859E-27</v>
      </c>
      <c r="AE6" s="160">
        <f t="shared" si="25"/>
        <v>4.7028983018803367E-28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21"/>
        <v>12.367954907596399</v>
      </c>
      <c r="AK6" s="96">
        <f t="shared" si="10"/>
        <v>-6.3142183705895407</v>
      </c>
      <c r="AL6" s="96">
        <f t="shared" si="11"/>
        <v>12.429134937489346</v>
      </c>
      <c r="AN6">
        <f t="shared" si="12"/>
        <v>0</v>
      </c>
      <c r="AO6" s="127">
        <f t="shared" si="26"/>
        <v>1.7100500229004468E-4</v>
      </c>
      <c r="AP6" s="127">
        <f t="shared" si="31"/>
        <v>1.8556431418170516E-4</v>
      </c>
      <c r="AQ6" s="146">
        <f t="shared" si="27"/>
        <v>9.3761701698468599E-9</v>
      </c>
      <c r="AR6" s="95">
        <f>$X$36/AQ6</f>
        <v>3.9916956312459519</v>
      </c>
      <c r="AS6" s="127"/>
      <c r="AV6" s="95"/>
      <c r="AW6" s="127">
        <f t="shared" si="28"/>
        <v>1.0526315789473683E-4</v>
      </c>
      <c r="AX6" s="96">
        <f t="shared" ref="AX6:AX15" si="33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2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160">
        <f>J7</f>
        <v>9.3844799999999999</v>
      </c>
      <c r="U7" s="96">
        <f t="shared" si="23"/>
        <v>4.9344399999999995</v>
      </c>
      <c r="V7">
        <f t="shared" si="24"/>
        <v>6.6171925976800001E-3</v>
      </c>
      <c r="W7" s="152">
        <f t="shared" si="32"/>
        <v>3.5911945373782541E-3</v>
      </c>
      <c r="X7" s="152">
        <f t="shared" si="29"/>
        <v>6.1610363702618159E-4</v>
      </c>
      <c r="Y7" s="95">
        <f t="shared" si="16"/>
        <v>4.2315671978809193E-2</v>
      </c>
      <c r="Z7" s="147">
        <f t="shared" si="17"/>
        <v>8.5378120501622648E-2</v>
      </c>
      <c r="AA7" s="97">
        <f t="shared" si="30"/>
        <v>1.7302494406988971</v>
      </c>
      <c r="AB7">
        <f t="shared" si="18"/>
        <v>4.0352955067984375</v>
      </c>
      <c r="AC7" s="179">
        <f t="shared" si="19"/>
        <v>9.0794148902964853</v>
      </c>
      <c r="AD7" s="179">
        <f t="shared" si="20"/>
        <v>1.7278759594743859E-27</v>
      </c>
      <c r="AE7" s="160">
        <f t="shared" si="25"/>
        <v>4.281906880334682E-28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21"/>
        <v>15.047408792585415</v>
      </c>
      <c r="AK7" s="96">
        <f t="shared" si="10"/>
        <v>-3.700259384426984</v>
      </c>
      <c r="AL7" s="96">
        <f t="shared" si="11"/>
        <v>15.104605954852985</v>
      </c>
      <c r="AN7">
        <f t="shared" si="12"/>
        <v>0</v>
      </c>
      <c r="AO7" s="127">
        <f t="shared" si="26"/>
        <v>2.0975801042066519E-4</v>
      </c>
      <c r="AP7" s="127">
        <f t="shared" si="31"/>
        <v>2.7692873868451255E-4</v>
      </c>
      <c r="AQ7" s="146">
        <f t="shared" si="27"/>
        <v>5.3397375198359203E-8</v>
      </c>
      <c r="AR7" s="95">
        <f>$X$36/AQ7</f>
        <v>0.70091118459969504</v>
      </c>
      <c r="AS7" s="127"/>
      <c r="AV7" s="95"/>
      <c r="AW7" s="127">
        <f t="shared" si="28"/>
        <v>1.0526315789473683E-4</v>
      </c>
      <c r="AX7" s="96">
        <f t="shared" si="33"/>
        <v>1361.7398354943984</v>
      </c>
    </row>
    <row r="8" spans="1:50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 t="shared" si="15"/>
        <v>18404.907975460123</v>
      </c>
      <c r="P8" s="3">
        <f t="shared" si="22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160">
        <f t="shared" si="0"/>
        <v>20.3796</v>
      </c>
      <c r="U8" s="96">
        <f t="shared" si="23"/>
        <v>15.929559999999999</v>
      </c>
      <c r="V8">
        <f t="shared" si="24"/>
        <v>2.1361890410319998E-2</v>
      </c>
      <c r="W8" s="152">
        <f t="shared" si="32"/>
        <v>6.0958005649683674E-3</v>
      </c>
      <c r="X8" s="152">
        <f t="shared" si="29"/>
        <v>3.1207096646162949E-3</v>
      </c>
      <c r="Y8" s="95">
        <f t="shared" si="16"/>
        <v>0.29108746918734907</v>
      </c>
      <c r="Z8" s="147">
        <f t="shared" si="17"/>
        <v>1.5403875241038882</v>
      </c>
      <c r="AA8" s="97">
        <f t="shared" si="30"/>
        <v>9.66999417500476</v>
      </c>
      <c r="AB8">
        <f t="shared" si="18"/>
        <v>10.583674580044994</v>
      </c>
      <c r="AC8" s="179">
        <f t="shared" si="19"/>
        <v>23.813267805101237</v>
      </c>
      <c r="AD8" s="179">
        <f t="shared" si="20"/>
        <v>25.636141831964185</v>
      </c>
      <c r="AE8" s="160">
        <f t="shared" si="25"/>
        <v>2.422234512037992</v>
      </c>
      <c r="AF8" s="153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21"/>
        <v>37.649471024806083</v>
      </c>
      <c r="AK8" s="96">
        <f t="shared" si="10"/>
        <v>18.349332141930159</v>
      </c>
      <c r="AL8" s="96">
        <f t="shared" si="11"/>
        <v>37.673071407358293</v>
      </c>
      <c r="AM8" s="97">
        <f t="shared" ref="AM8:AM15" si="37">AN8/$AE$26</f>
        <v>18.349332141930159</v>
      </c>
      <c r="AN8" s="178">
        <f t="shared" si="12"/>
        <v>8455.3722510014177</v>
      </c>
      <c r="AO8" s="127">
        <f t="shared" si="26"/>
        <v>2.6996162202028583E-3</v>
      </c>
      <c r="AP8" s="127">
        <f t="shared" si="31"/>
        <v>8.9176138084568844E-3</v>
      </c>
      <c r="AQ8" s="146">
        <f t="shared" si="27"/>
        <v>4.2473051183708176E-7</v>
      </c>
      <c r="AR8" s="95">
        <f>$X$36/AQ8</f>
        <v>8.8118975354312457E-2</v>
      </c>
      <c r="AS8" s="127">
        <f t="shared" ref="AS8:AS15" si="38">MAX($AE$34+$AN8*($AF$34+$AN8*$AG$34), 0)</f>
        <v>4.3873503556671905E-4</v>
      </c>
      <c r="AT8" s="127">
        <f t="shared" ref="AT8:AT15" si="39">AS8*AN8/5252</f>
        <v>7.0633435743963375E-4</v>
      </c>
      <c r="AU8" s="155">
        <f>$AE$39*$AE$38*$AE$43^2*$AE$37*PI()/240*($AB8-$AG$40)/$AE$40</f>
        <v>-1.4269462283436393E-7</v>
      </c>
      <c r="AV8" s="153">
        <f>-$AE$42/AU8</f>
        <v>0.2622861097452871</v>
      </c>
      <c r="AW8" s="127">
        <f t="shared" si="28"/>
        <v>1.0526315789473683E-4</v>
      </c>
      <c r="AX8" s="96">
        <f t="shared" si="33"/>
        <v>171.198750482842</v>
      </c>
    </row>
    <row r="9" spans="1:50" ht="13.95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40">E9*F9</f>
        <v>29.981099999999998</v>
      </c>
      <c r="K9" s="1">
        <f t="shared" si="2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 t="shared" si="15"/>
        <v>22388.059701492537</v>
      </c>
      <c r="P9" s="3">
        <f t="shared" si="22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160">
        <f t="shared" si="0"/>
        <v>29.981099999999998</v>
      </c>
      <c r="U9" s="96">
        <f t="shared" si="23"/>
        <v>25.531059999999997</v>
      </c>
      <c r="V9">
        <f t="shared" si="24"/>
        <v>3.4237713143319998E-2</v>
      </c>
      <c r="W9" s="152">
        <f t="shared" si="32"/>
        <v>8.0318023011493427E-3</v>
      </c>
      <c r="X9" s="152">
        <f t="shared" si="29"/>
        <v>5.0567114007972706E-3</v>
      </c>
      <c r="Y9" s="95">
        <f t="shared" si="16"/>
        <v>0.52392838543999121</v>
      </c>
      <c r="Z9" s="147">
        <f t="shared" si="17"/>
        <v>3.7196546488675759</v>
      </c>
      <c r="AA9" s="97">
        <f t="shared" si="30"/>
        <v>14.569135197941552</v>
      </c>
      <c r="AB9">
        <f t="shared" si="18"/>
        <v>14.19909572467175</v>
      </c>
      <c r="AC9" s="179">
        <f t="shared" si="19"/>
        <v>31.947965380511441</v>
      </c>
      <c r="AD9" s="179">
        <f t="shared" si="20"/>
        <v>38.126124436769338</v>
      </c>
      <c r="AE9" s="160">
        <f t="shared" si="25"/>
        <v>2.6851093320346444</v>
      </c>
      <c r="AF9" s="153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21"/>
        <v>48.010895849896535</v>
      </c>
      <c r="AK9" s="96">
        <f t="shared" si="10"/>
        <v>28.457488763966602</v>
      </c>
      <c r="AL9" s="96">
        <f t="shared" si="11"/>
        <v>48.019094518047247</v>
      </c>
      <c r="AM9" s="97">
        <f t="shared" si="37"/>
        <v>28.457488763966595</v>
      </c>
      <c r="AN9" s="178">
        <f t="shared" si="12"/>
        <v>13113.210822435807</v>
      </c>
      <c r="AO9" s="127">
        <f t="shared" si="26"/>
        <v>5.1338954187745353E-3</v>
      </c>
      <c r="AP9" s="127">
        <f t="shared" si="31"/>
        <v>2.1625919408211122E-2</v>
      </c>
      <c r="AQ9" s="146">
        <f t="shared" si="27"/>
        <v>5.9496012809140091E-7</v>
      </c>
      <c r="AR9" s="95">
        <f t="shared" ref="AR9:AR15" si="41">$X$36/AQ9</f>
        <v>6.2906429754981188E-2</v>
      </c>
      <c r="AS9" s="127">
        <f t="shared" si="38"/>
        <v>4.4749381157226293E-4</v>
      </c>
      <c r="AT9" s="127">
        <f t="shared" si="39"/>
        <v>1.1173040161619285E-3</v>
      </c>
      <c r="AU9" s="155">
        <f t="shared" ref="AU9:AU15" si="42">$AE$39*$AE$38*$AE$43^2*$AE$37*PI()/240*($AB9-$AG$40)/$AE$40</f>
        <v>-2.4417656242289939E-7</v>
      </c>
      <c r="AV9" s="153">
        <f t="shared" ref="AV9:AV15" si="43">-$AE$42/AU9</f>
        <v>0.15327768207325029</v>
      </c>
      <c r="AW9" s="127">
        <f t="shared" si="28"/>
        <v>1.0526315789473683E-4</v>
      </c>
      <c r="AX9" s="96">
        <f t="shared" si="33"/>
        <v>122.21547207155994</v>
      </c>
    </row>
    <row r="10" spans="1:50" ht="13.95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40"/>
        <v>53.526600000000002</v>
      </c>
      <c r="K10" s="1">
        <f t="shared" si="2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 t="shared" si="15"/>
        <v>27906.976744186049</v>
      </c>
      <c r="P10" s="3">
        <f t="shared" si="22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160">
        <f t="shared" si="0"/>
        <v>53.526600000000002</v>
      </c>
      <c r="U10" s="96">
        <f t="shared" si="23"/>
        <v>49.076560000000001</v>
      </c>
      <c r="V10">
        <f t="shared" si="24"/>
        <v>6.5812746644320005E-2</v>
      </c>
      <c r="W10" s="152">
        <f t="shared" si="32"/>
        <v>1.2385739542638876E-2</v>
      </c>
      <c r="X10" s="152">
        <f t="shared" si="29"/>
        <v>9.4106486422868042E-3</v>
      </c>
      <c r="Y10" s="95">
        <f t="shared" si="16"/>
        <v>1.014754370947528</v>
      </c>
      <c r="Z10" s="147">
        <f t="shared" si="17"/>
        <v>10.026194451469864</v>
      </c>
      <c r="AA10" s="97">
        <f t="shared" si="30"/>
        <v>20.429700964105603</v>
      </c>
      <c r="AB10">
        <f t="shared" si="18"/>
        <v>19.760830282717372</v>
      </c>
      <c r="AC10" s="179">
        <f t="shared" si="19"/>
        <v>44.461868136114084</v>
      </c>
      <c r="AD10" s="179">
        <f t="shared" si="20"/>
        <v>54.335721996049891</v>
      </c>
      <c r="AE10" s="160">
        <f t="shared" si="25"/>
        <v>2.7496679652965481</v>
      </c>
      <c r="AF10" s="153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21"/>
        <v>61.364409667042004</v>
      </c>
      <c r="AK10" s="96">
        <f t="shared" si="10"/>
        <v>41.484597621753984</v>
      </c>
      <c r="AL10" s="96">
        <f t="shared" si="11"/>
        <v>61.352759037481228</v>
      </c>
      <c r="AM10" s="97">
        <f t="shared" si="37"/>
        <v>41.484597621753984</v>
      </c>
      <c r="AN10" s="178">
        <f t="shared" si="12"/>
        <v>19116.102584104236</v>
      </c>
      <c r="AO10" s="127">
        <f t="shared" si="26"/>
        <v>9.4698404838995734E-3</v>
      </c>
      <c r="AP10" s="127">
        <f t="shared" si="31"/>
        <v>5.0985534571040117E-2</v>
      </c>
      <c r="AQ10" s="146">
        <f t="shared" si="27"/>
        <v>8.1434728488810894E-7</v>
      </c>
      <c r="AR10" s="95">
        <f t="shared" si="41"/>
        <v>4.5959283219000058E-2</v>
      </c>
      <c r="AS10" s="127">
        <f t="shared" si="38"/>
        <v>1.3755224878909979E-3</v>
      </c>
      <c r="AT10" s="127">
        <f t="shared" si="39"/>
        <v>5.0065934853896783E-3</v>
      </c>
      <c r="AU10" s="155">
        <f t="shared" si="42"/>
        <v>-4.002899411549707E-7</v>
      </c>
      <c r="AV10" s="153">
        <f t="shared" si="43"/>
        <v>9.3499270545763416E-2</v>
      </c>
      <c r="AW10" s="127">
        <f t="shared" si="28"/>
        <v>1.0526315789473683E-4</v>
      </c>
      <c r="AX10" s="96">
        <f t="shared" si="33"/>
        <v>89.290324002783549</v>
      </c>
    </row>
    <row r="11" spans="1:50" ht="13.95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40"/>
        <v>62.419400000000003</v>
      </c>
      <c r="K11" s="1">
        <f t="shared" si="2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 t="shared" si="15"/>
        <v>29702.970297029704</v>
      </c>
      <c r="P11" s="3">
        <f t="shared" si="22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160">
        <f t="shared" si="0"/>
        <v>62.419400000000003</v>
      </c>
      <c r="U11" s="96">
        <f t="shared" si="23"/>
        <v>57.969360000000002</v>
      </c>
      <c r="V11">
        <f t="shared" si="24"/>
        <v>7.7738187085920007E-2</v>
      </c>
      <c r="W11" s="152">
        <f t="shared" si="32"/>
        <v>1.3745458938700147E-2</v>
      </c>
      <c r="X11" s="152">
        <f t="shared" si="29"/>
        <v>1.0770368038348075E-2</v>
      </c>
      <c r="Y11" s="95">
        <f t="shared" si="16"/>
        <v>1.2235513543330587</v>
      </c>
      <c r="Z11" s="147">
        <f t="shared" si="17"/>
        <v>13.274801334673292</v>
      </c>
      <c r="AA11" s="97">
        <f t="shared" si="30"/>
        <v>22.899685859345851</v>
      </c>
      <c r="AB11">
        <f t="shared" si="18"/>
        <v>21.698805346685603</v>
      </c>
      <c r="AC11" s="179">
        <f t="shared" si="19"/>
        <v>48.82231203004261</v>
      </c>
      <c r="AD11" s="179">
        <f t="shared" si="20"/>
        <v>60.204737263915909</v>
      </c>
      <c r="AE11" s="160">
        <f t="shared" si="25"/>
        <v>2.7745646039961329</v>
      </c>
      <c r="AF11" s="153"/>
      <c r="AG11" s="95"/>
      <c r="AH11" s="153">
        <v>70.201599999999999</v>
      </c>
      <c r="AI11" s="154">
        <f t="shared" si="9"/>
        <v>31999.995048805355</v>
      </c>
      <c r="AJ11" s="154">
        <f t="shared" si="21"/>
        <v>69.444433699664401</v>
      </c>
      <c r="AK11" s="154">
        <f t="shared" si="10"/>
        <v>49.367118588734293</v>
      </c>
      <c r="AL11" s="154">
        <f t="shared" si="11"/>
        <v>69.420772538288901</v>
      </c>
      <c r="AM11" s="177">
        <f t="shared" si="37"/>
        <v>49.367118588734272</v>
      </c>
      <c r="AN11" s="8">
        <f t="shared" si="12"/>
        <v>22748.368245688755</v>
      </c>
      <c r="AO11" s="152">
        <f t="shared" si="26"/>
        <v>1.2749008265139302E-2</v>
      </c>
      <c r="AP11" s="152">
        <f t="shared" si="31"/>
        <v>7.7678636969085335E-2</v>
      </c>
      <c r="AQ11" s="155">
        <f t="shared" si="27"/>
        <v>9.4709537828432563E-7</v>
      </c>
      <c r="AR11" s="153">
        <f t="shared" si="41"/>
        <v>3.9517474546856564E-2</v>
      </c>
      <c r="AS11" s="152">
        <f t="shared" si="38"/>
        <v>2.438403168041258E-3</v>
      </c>
      <c r="AT11" s="152">
        <f t="shared" si="39"/>
        <v>1.056163236825145E-2</v>
      </c>
      <c r="AU11" s="155">
        <f t="shared" si="42"/>
        <v>-4.5468732959144716E-7</v>
      </c>
      <c r="AV11" s="153">
        <f t="shared" si="43"/>
        <v>8.2313306461443872E-2</v>
      </c>
      <c r="AW11" s="152">
        <f t="shared" si="28"/>
        <v>1.0526315789473683E-4</v>
      </c>
      <c r="AX11" s="154">
        <f t="shared" si="33"/>
        <v>76.775090012758156</v>
      </c>
    </row>
    <row r="12" spans="1:50" ht="13.95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40"/>
        <v>88.904499999999999</v>
      </c>
      <c r="K12" s="1">
        <f t="shared" si="2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 t="shared" si="15"/>
        <v>33898.305084745763</v>
      </c>
      <c r="P12" s="3">
        <f t="shared" si="22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160">
        <f t="shared" si="0"/>
        <v>88.904499999999999</v>
      </c>
      <c r="U12" s="96">
        <f t="shared" si="23"/>
        <v>84.454459999999997</v>
      </c>
      <c r="V12">
        <f t="shared" si="24"/>
        <v>0.11325528885812</v>
      </c>
      <c r="W12" s="152">
        <f t="shared" si="32"/>
        <v>1.7547094923943962E-2</v>
      </c>
      <c r="X12" s="152">
        <f t="shared" si="29"/>
        <v>1.457200402359189E-2</v>
      </c>
      <c r="Y12" s="95">
        <f t="shared" si="16"/>
        <v>1.8186809231218306</v>
      </c>
      <c r="Z12" s="147">
        <f t="shared" si="17"/>
        <v>24.056336730546136</v>
      </c>
      <c r="AA12" s="97">
        <f t="shared" si="30"/>
        <v>28.484388782482462</v>
      </c>
      <c r="AB12">
        <f t="shared" si="18"/>
        <v>26.454708381998728</v>
      </c>
      <c r="AC12" s="179">
        <f t="shared" si="19"/>
        <v>59.523093859497131</v>
      </c>
      <c r="AD12" s="179">
        <f t="shared" si="20"/>
        <v>71.994831644766094</v>
      </c>
      <c r="AE12" s="160">
        <f t="shared" si="25"/>
        <v>2.7214373564501444</v>
      </c>
      <c r="AF12" s="153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21"/>
        <v>76.75084997835306</v>
      </c>
      <c r="AK12" s="96">
        <f t="shared" si="10"/>
        <v>56.494941386998597</v>
      </c>
      <c r="AL12" s="96">
        <f t="shared" si="11"/>
        <v>76.716328212502532</v>
      </c>
      <c r="AM12" s="97">
        <f t="shared" si="37"/>
        <v>56.494941386998597</v>
      </c>
      <c r="AN12" s="178">
        <f t="shared" si="12"/>
        <v>26032.868991128955</v>
      </c>
      <c r="AO12" s="127">
        <f t="shared" si="26"/>
        <v>1.6139758156510163E-2</v>
      </c>
      <c r="AP12" s="127">
        <f t="shared" si="31"/>
        <v>0.10868458955176756</v>
      </c>
      <c r="AQ12" s="146">
        <f t="shared" si="27"/>
        <v>1.0671337379029437E-6</v>
      </c>
      <c r="AR12" s="95">
        <f t="shared" si="41"/>
        <v>3.5072283984146989E-2</v>
      </c>
      <c r="AS12" s="127">
        <f t="shared" si="38"/>
        <v>3.7249606052333559E-3</v>
      </c>
      <c r="AT12" s="127">
        <f t="shared" si="39"/>
        <v>1.8463711240128786E-2</v>
      </c>
      <c r="AU12" s="155">
        <f t="shared" si="42"/>
        <v>-5.8818167097291436E-7</v>
      </c>
      <c r="AV12" s="153">
        <f t="shared" si="43"/>
        <v>6.3631390354086409E-2</v>
      </c>
      <c r="AW12" s="127">
        <f t="shared" si="28"/>
        <v>1.0526315789473683E-4</v>
      </c>
      <c r="AX12" s="96">
        <f t="shared" si="33"/>
        <v>68.138912992609036</v>
      </c>
    </row>
    <row r="13" spans="1:50" ht="13.95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40"/>
        <v>135.96</v>
      </c>
      <c r="K13" s="1">
        <f t="shared" si="2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 t="shared" si="15"/>
        <v>39473.68421052632</v>
      </c>
      <c r="P13" s="3">
        <f t="shared" si="22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160">
        <f t="shared" si="0"/>
        <v>135.96</v>
      </c>
      <c r="U13" s="96">
        <f t="shared" si="23"/>
        <v>131.50996000000001</v>
      </c>
      <c r="V13">
        <f t="shared" si="24"/>
        <v>0.17635774957912001</v>
      </c>
      <c r="W13" s="152">
        <f t="shared" si="32"/>
        <v>2.3464516153334967E-2</v>
      </c>
      <c r="X13" s="152">
        <f t="shared" si="29"/>
        <v>2.0489425252982894E-2</v>
      </c>
      <c r="Y13" s="95">
        <f t="shared" si="16"/>
        <v>2.8717428376966052</v>
      </c>
      <c r="Z13" s="147">
        <f t="shared" si="17"/>
        <v>47.7323753483956</v>
      </c>
      <c r="AA13" s="97">
        <f t="shared" si="30"/>
        <v>36.295635211504582</v>
      </c>
      <c r="AB13">
        <f t="shared" si="18"/>
        <v>33.242792301473095</v>
      </c>
      <c r="AC13" s="179">
        <f t="shared" si="19"/>
        <v>74.796282678314469</v>
      </c>
      <c r="AD13" s="179">
        <f t="shared" si="20"/>
        <v>86.39379797371933</v>
      </c>
      <c r="AE13" s="165">
        <f t="shared" si="25"/>
        <v>2.5988730787182082</v>
      </c>
      <c r="AF13" s="161">
        <f>$AS$29/($AE$38*$AE$43*$AE$37*$AB13^2/4/$AE13)/(PI()*$AE$43/60/($AB13-$AG$40))</f>
        <v>-0.70892513020582326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21"/>
        <v>87.210974546743557</v>
      </c>
      <c r="AK13" s="96">
        <f t="shared" si="10"/>
        <v>66.699385197396978</v>
      </c>
      <c r="AL13" s="96">
        <f t="shared" si="11"/>
        <v>87.16090435450127</v>
      </c>
      <c r="AM13" s="97">
        <f t="shared" si="37"/>
        <v>66.699385197396992</v>
      </c>
      <c r="AN13" s="178">
        <f t="shared" si="12"/>
        <v>30735.076698960533</v>
      </c>
      <c r="AO13" s="127">
        <f t="shared" si="26"/>
        <v>2.1697533384729531E-2</v>
      </c>
      <c r="AP13" s="127">
        <f t="shared" si="31"/>
        <v>0.16602338252609797</v>
      </c>
      <c r="AQ13" s="146">
        <f t="shared" si="27"/>
        <v>1.2389849090794855E-6</v>
      </c>
      <c r="AR13" s="95">
        <f t="shared" si="41"/>
        <v>3.0207645977385553E-2</v>
      </c>
      <c r="AS13" s="127">
        <f t="shared" si="38"/>
        <v>6.1048249521557778E-3</v>
      </c>
      <c r="AT13" s="127">
        <f t="shared" si="39"/>
        <v>3.5725868838201807E-2</v>
      </c>
      <c r="AU13" s="155">
        <f t="shared" si="42"/>
        <v>-7.7871768176706566E-7</v>
      </c>
      <c r="AV13" s="134">
        <f t="shared" si="43"/>
        <v>4.8062113370621579E-2</v>
      </c>
      <c r="AW13" s="127">
        <f t="shared" si="28"/>
        <v>1.0526315789473683E-4</v>
      </c>
      <c r="AX13" s="96">
        <f t="shared" si="33"/>
        <v>58.687827741557669</v>
      </c>
    </row>
    <row r="14" spans="1:50" ht="13.95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40"/>
        <v>192.75</v>
      </c>
      <c r="K14" s="1">
        <f t="shared" si="2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 t="shared" si="15"/>
        <v>43988.269794721404</v>
      </c>
      <c r="P14" s="3">
        <f t="shared" si="22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160">
        <f t="shared" si="0"/>
        <v>192.75</v>
      </c>
      <c r="U14" s="96">
        <f t="shared" si="23"/>
        <v>188.29996</v>
      </c>
      <c r="V14">
        <f t="shared" si="24"/>
        <v>0.25251438895912004</v>
      </c>
      <c r="W14" s="152">
        <f t="shared" si="32"/>
        <v>3.0149073309822319E-2</v>
      </c>
      <c r="X14" s="152">
        <f t="shared" si="29"/>
        <v>2.7173982409470245E-2</v>
      </c>
      <c r="Y14" s="95">
        <f t="shared" si="16"/>
        <v>3.9740488334719357</v>
      </c>
      <c r="Z14" s="147">
        <f>SQRT(Y14^3/4/$X$42/$X$43)</f>
        <v>77.704205877508215</v>
      </c>
      <c r="AA14" s="97">
        <f t="shared" si="30"/>
        <v>41.266182891121282</v>
      </c>
      <c r="AB14">
        <f t="shared" si="18"/>
        <v>39.105813307091033</v>
      </c>
      <c r="AC14" s="179">
        <f t="shared" si="19"/>
        <v>87.988079940954819</v>
      </c>
      <c r="AD14" s="179">
        <f t="shared" si="20"/>
        <v>99.303216061746326</v>
      </c>
      <c r="AE14" s="160">
        <f t="shared" si="25"/>
        <v>2.5393466511471257</v>
      </c>
      <c r="AF14" s="153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21"/>
        <v>93.835177516070971</v>
      </c>
      <c r="AK14" s="96">
        <f t="shared" si="10"/>
        <v>73.161670282743415</v>
      </c>
      <c r="AL14" s="96">
        <f t="shared" si="11"/>
        <v>93.775260793646453</v>
      </c>
      <c r="AM14" s="97">
        <f t="shared" si="37"/>
        <v>73.161670282743401</v>
      </c>
      <c r="AN14" s="178">
        <f t="shared" si="12"/>
        <v>33712.897666288161</v>
      </c>
      <c r="AO14" s="127">
        <f t="shared" si="26"/>
        <v>2.5645549843300849E-2</v>
      </c>
      <c r="AP14" s="127">
        <f t="shared" si="31"/>
        <v>0.21113753539938881</v>
      </c>
      <c r="AQ14" s="146">
        <f t="shared" si="27"/>
        <v>1.3478150698435463E-6</v>
      </c>
      <c r="AR14" s="95">
        <f t="shared" si="41"/>
        <v>2.7768510934620141E-2</v>
      </c>
      <c r="AS14" s="127">
        <f t="shared" si="38"/>
        <v>7.9395613939336682E-3</v>
      </c>
      <c r="AT14" s="127">
        <f t="shared" si="39"/>
        <v>5.096451271685034E-2</v>
      </c>
      <c r="AU14" s="155">
        <f t="shared" si="42"/>
        <v>-9.4328792675296726E-7</v>
      </c>
      <c r="AV14" s="153">
        <f t="shared" si="43"/>
        <v>3.9676981378982325E-2</v>
      </c>
      <c r="AW14" s="127">
        <f t="shared" si="28"/>
        <v>1.0526315789473683E-4</v>
      </c>
      <c r="AX14" s="96">
        <f t="shared" si="33"/>
        <v>53.949042821495425</v>
      </c>
    </row>
    <row r="15" spans="1:50" ht="13.95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40"/>
        <v>209.1</v>
      </c>
      <c r="K15" s="1">
        <f t="shared" si="2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 t="shared" si="15"/>
        <v>45592.705167173255</v>
      </c>
      <c r="P15" s="3">
        <f t="shared" si="22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160">
        <f t="shared" si="0"/>
        <v>209.1</v>
      </c>
      <c r="U15" s="96">
        <f t="shared" si="23"/>
        <v>204.64995999999999</v>
      </c>
      <c r="V15">
        <f t="shared" si="24"/>
        <v>0.27444009865912</v>
      </c>
      <c r="W15" s="152">
        <f t="shared" si="32"/>
        <v>3.1613816132925514E-2</v>
      </c>
      <c r="X15" s="152">
        <f t="shared" si="29"/>
        <v>2.863872523257344E-2</v>
      </c>
      <c r="Y15" s="134">
        <f>$Z$41</f>
        <v>4.4249528005034611</v>
      </c>
      <c r="Z15" s="147">
        <f>SQRT(Y15^3/4/$X$42/$X$43)</f>
        <v>91.297248929319878</v>
      </c>
      <c r="AA15" s="97">
        <f t="shared" si="30"/>
        <v>44.611417920296624</v>
      </c>
      <c r="AB15">
        <f t="shared" si="18"/>
        <v>41.264733453849395</v>
      </c>
      <c r="AC15" s="179">
        <f>AB15*1/1.6/1000*3600</f>
        <v>92.845650271161119</v>
      </c>
      <c r="AD15" s="179">
        <f t="shared" si="20"/>
        <v>102.84975949252301</v>
      </c>
      <c r="AE15" s="168">
        <f t="shared" si="25"/>
        <v>2.4924372674683695</v>
      </c>
      <c r="AF15" s="153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21"/>
        <v>95.760447741647312</v>
      </c>
      <c r="AK15" s="96">
        <f t="shared" si="10"/>
        <v>75.03988040426492</v>
      </c>
      <c r="AL15" s="96">
        <f t="shared" si="11"/>
        <v>95.697669206039706</v>
      </c>
      <c r="AM15" s="97">
        <f t="shared" si="37"/>
        <v>75.03988040426492</v>
      </c>
      <c r="AN15" s="178">
        <f t="shared" si="12"/>
        <v>34578.376890285275</v>
      </c>
      <c r="AO15" s="127">
        <f t="shared" si="26"/>
        <v>2.6855314322647372E-2</v>
      </c>
      <c r="AP15" s="127">
        <f t="shared" si="31"/>
        <v>0.22563380169031633</v>
      </c>
      <c r="AQ15" s="146">
        <f t="shared" si="27"/>
        <v>1.3794456628573665E-6</v>
      </c>
      <c r="AR15" s="95">
        <f t="shared" si="41"/>
        <v>2.7131780912102679E-2</v>
      </c>
      <c r="AS15" s="127">
        <f t="shared" si="38"/>
        <v>8.5204621586561918E-3</v>
      </c>
      <c r="AT15" s="127">
        <f t="shared" si="39"/>
        <v>5.6097439413828526E-2</v>
      </c>
      <c r="AU15" s="155">
        <f t="shared" si="42"/>
        <v>-1.0038870644870091E-6</v>
      </c>
      <c r="AV15" s="153">
        <f t="shared" si="43"/>
        <v>3.7281900353922377E-2</v>
      </c>
      <c r="AW15" s="127">
        <f t="shared" si="28"/>
        <v>1.0526315789473683E-4</v>
      </c>
      <c r="AX15" s="96">
        <f t="shared" si="33"/>
        <v>52.711995025471928</v>
      </c>
    </row>
    <row r="16" spans="1:50" ht="13.95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5" customHeight="1" x14ac:dyDescent="0.3"/>
    <row r="18" spans="1:46" ht="13.95" customHeight="1" x14ac:dyDescent="0.3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4">E18*F18</f>
        <v>5.8512000000000004</v>
      </c>
      <c r="K18" s="1">
        <f t="shared" ref="K18:K26" si="45">C18</f>
        <v>9</v>
      </c>
      <c r="L18" s="1">
        <f t="shared" ref="L18:L26" si="46">LN(K18)</f>
        <v>2.1972245773362196</v>
      </c>
      <c r="M18" s="3">
        <f t="shared" ref="M18:M26" si="47">1/G18/0.000001</f>
        <v>162.33766233766235</v>
      </c>
      <c r="N18" s="3"/>
      <c r="O18" s="3">
        <f t="shared" ref="O18:O26" si="48">M18*60/$X$29</f>
        <v>9740.2597402597403</v>
      </c>
      <c r="P18" s="3"/>
      <c r="Q18" s="3">
        <f t="shared" ref="Q18:Q26" si="49">O18/$X$40*100</f>
        <v>21.137716450216452</v>
      </c>
      <c r="R18" s="3"/>
      <c r="S18" s="3">
        <f t="shared" ref="S18:S26" si="50">K18</f>
        <v>9</v>
      </c>
      <c r="T18" s="4">
        <f t="shared" ref="T18:T26" si="51">J18</f>
        <v>5.8512000000000004</v>
      </c>
      <c r="U18" s="4"/>
      <c r="V18">
        <f t="shared" ref="V18:V26" si="52">T18*0.001341022</f>
        <v>7.8465879264000005E-3</v>
      </c>
      <c r="W18" s="152">
        <f t="shared" ref="W18:W26" si="53">$V18/$O18*5252</f>
        <v>4.230922058383821E-3</v>
      </c>
      <c r="X18" s="152">
        <f t="shared" ref="X18:X26" si="54">W18-$W$4</f>
        <v>1.2558311580317485E-3</v>
      </c>
      <c r="AM18" s="159" t="s">
        <v>259</v>
      </c>
      <c r="AN18" s="159"/>
      <c r="AO18" s="159"/>
      <c r="AP18" s="159"/>
      <c r="AQ18" s="159"/>
    </row>
    <row r="19" spans="1:46" ht="13.95" customHeight="1" x14ac:dyDescent="0.3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4"/>
        <v>7.7969999999999997</v>
      </c>
      <c r="K19" s="1">
        <f t="shared" si="45"/>
        <v>13</v>
      </c>
      <c r="L19" s="1">
        <f t="shared" si="46"/>
        <v>2.5649493574615367</v>
      </c>
      <c r="M19" s="3">
        <f t="shared" si="47"/>
        <v>196.85039370078741</v>
      </c>
      <c r="N19" s="3"/>
      <c r="O19" s="3">
        <f t="shared" si="48"/>
        <v>11811.023622047245</v>
      </c>
      <c r="P19" s="3"/>
      <c r="Q19" s="3">
        <f t="shared" si="49"/>
        <v>25.631561679790028</v>
      </c>
      <c r="R19" s="3"/>
      <c r="S19" s="3">
        <f t="shared" si="50"/>
        <v>13</v>
      </c>
      <c r="T19" s="4">
        <f t="shared" si="51"/>
        <v>7.7969999999999997</v>
      </c>
      <c r="U19" s="4"/>
      <c r="V19">
        <f t="shared" si="52"/>
        <v>1.0455948534E-2</v>
      </c>
      <c r="W19" s="152">
        <f t="shared" si="53"/>
        <v>4.6494396639814237E-3</v>
      </c>
      <c r="X19" s="152">
        <f t="shared" si="54"/>
        <v>1.6743487636293511E-3</v>
      </c>
      <c r="AM19" s="159" t="s">
        <v>132</v>
      </c>
      <c r="AN19" s="159" t="s">
        <v>100</v>
      </c>
      <c r="AO19" s="159" t="s">
        <v>140</v>
      </c>
      <c r="AP19" s="159" t="s">
        <v>141</v>
      </c>
      <c r="AQ19" s="159" t="s">
        <v>131</v>
      </c>
      <c r="AR19" s="159" t="s">
        <v>165</v>
      </c>
      <c r="AS19" s="159" t="s">
        <v>175</v>
      </c>
    </row>
    <row r="20" spans="1:46" ht="13.95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4"/>
        <v>18.150000000000002</v>
      </c>
      <c r="K20" s="1">
        <f t="shared" si="45"/>
        <v>26</v>
      </c>
      <c r="L20" s="1">
        <f t="shared" si="46"/>
        <v>3.2580965380214821</v>
      </c>
      <c r="M20" s="3">
        <f t="shared" si="47"/>
        <v>314.46540880503147</v>
      </c>
      <c r="N20" s="3"/>
      <c r="O20" s="3">
        <f t="shared" si="48"/>
        <v>18867.92452830189</v>
      </c>
      <c r="P20" s="3"/>
      <c r="Q20" s="3">
        <f t="shared" si="49"/>
        <v>40.946016771488473</v>
      </c>
      <c r="R20" s="3"/>
      <c r="S20" s="3">
        <f t="shared" si="50"/>
        <v>26</v>
      </c>
      <c r="T20" s="4">
        <f t="shared" si="51"/>
        <v>18.150000000000002</v>
      </c>
      <c r="U20" s="4"/>
      <c r="V20">
        <f t="shared" si="52"/>
        <v>2.4339549300000006E-2</v>
      </c>
      <c r="W20" s="152">
        <f t="shared" si="53"/>
        <v>6.7750595849508004E-3</v>
      </c>
      <c r="X20" s="152">
        <f t="shared" si="54"/>
        <v>3.7999686845987279E-3</v>
      </c>
      <c r="AM20" s="159"/>
      <c r="AN20" s="159"/>
      <c r="AO20" s="159" t="s">
        <v>153</v>
      </c>
      <c r="AP20" s="159" t="s">
        <v>154</v>
      </c>
      <c r="AQ20" s="159"/>
      <c r="AR20" s="159"/>
      <c r="AS20" s="159"/>
    </row>
    <row r="21" spans="1:46" ht="13.95" customHeight="1" thickBot="1" x14ac:dyDescent="0.35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4"/>
        <v>28.516800000000003</v>
      </c>
      <c r="K21" s="1">
        <f t="shared" si="45"/>
        <v>36</v>
      </c>
      <c r="L21" s="1">
        <f t="shared" si="46"/>
        <v>3.5835189384561099</v>
      </c>
      <c r="M21" s="3">
        <f t="shared" si="47"/>
        <v>377.35849056603774</v>
      </c>
      <c r="N21" s="3"/>
      <c r="O21" s="3">
        <f t="shared" si="48"/>
        <v>22641.509433962266</v>
      </c>
      <c r="P21" s="3"/>
      <c r="Q21" s="3">
        <f t="shared" si="49"/>
        <v>49.135220125786169</v>
      </c>
      <c r="R21" s="3"/>
      <c r="S21" s="3">
        <f t="shared" si="50"/>
        <v>36</v>
      </c>
      <c r="T21" s="4">
        <f t="shared" si="51"/>
        <v>28.516800000000003</v>
      </c>
      <c r="U21" s="4"/>
      <c r="V21">
        <f t="shared" si="52"/>
        <v>3.8241656169600007E-2</v>
      </c>
      <c r="W21" s="152">
        <f t="shared" si="53"/>
        <v>8.8706620372876483E-3</v>
      </c>
      <c r="X21" s="152">
        <f t="shared" si="54"/>
        <v>5.8955711369355762E-3</v>
      </c>
      <c r="AD21" s="5" t="s">
        <v>56</v>
      </c>
      <c r="AE21" s="5"/>
      <c r="AF21" s="5"/>
      <c r="AG21" s="5"/>
      <c r="AM21" s="159">
        <f t="shared" ref="AM21:AM29" si="55">AN21*$AE$26</f>
        <v>7372.8</v>
      </c>
      <c r="AN21" s="159">
        <v>16</v>
      </c>
      <c r="AO21" s="159">
        <v>3.3218574470251366E-4</v>
      </c>
      <c r="AP21" s="159">
        <v>7.3801227827272476E-4</v>
      </c>
      <c r="AQ21" s="176">
        <v>0.35</v>
      </c>
      <c r="AR21" s="159">
        <v>6.9047658670256907E-8</v>
      </c>
      <c r="AS21" s="159" t="s">
        <v>206</v>
      </c>
    </row>
    <row r="22" spans="1:46" ht="13.95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4"/>
        <v>51.68</v>
      </c>
      <c r="K22" s="1">
        <f t="shared" si="45"/>
        <v>56</v>
      </c>
      <c r="L22" s="1">
        <f t="shared" si="46"/>
        <v>4.0253516907351496</v>
      </c>
      <c r="M22" s="3">
        <f t="shared" si="47"/>
        <v>483.09178743961354</v>
      </c>
      <c r="N22" s="3"/>
      <c r="O22" s="3">
        <f t="shared" si="48"/>
        <v>28985.507246376812</v>
      </c>
      <c r="P22" s="3"/>
      <c r="Q22" s="3">
        <f t="shared" si="49"/>
        <v>62.902576489533011</v>
      </c>
      <c r="R22" s="3"/>
      <c r="S22" s="3">
        <f t="shared" si="50"/>
        <v>56</v>
      </c>
      <c r="T22" s="4">
        <f t="shared" si="51"/>
        <v>51.68</v>
      </c>
      <c r="U22" s="4"/>
      <c r="V22">
        <f t="shared" si="52"/>
        <v>6.9304016960000006E-2</v>
      </c>
      <c r="W22" s="152">
        <f t="shared" si="53"/>
        <v>1.255747204905024E-2</v>
      </c>
      <c r="X22" s="152">
        <f t="shared" si="54"/>
        <v>9.5823811486981676E-3</v>
      </c>
      <c r="AD22" s="62" t="s">
        <v>15</v>
      </c>
      <c r="AE22" s="63">
        <f>X47</f>
        <v>5</v>
      </c>
      <c r="AF22" s="64"/>
      <c r="AG22" s="29"/>
      <c r="AM22" s="159">
        <f t="shared" si="55"/>
        <v>9216</v>
      </c>
      <c r="AN22" s="159">
        <v>20</v>
      </c>
      <c r="AO22" s="159">
        <v>7.4483427705766901E-4</v>
      </c>
      <c r="AP22" s="159">
        <v>6.978697406499287E-4</v>
      </c>
      <c r="AQ22" s="176">
        <v>0.28000000000000003</v>
      </c>
      <c r="AR22" s="159">
        <v>1.3476434112578325E-7</v>
      </c>
      <c r="AS22" s="159" t="s">
        <v>206</v>
      </c>
    </row>
    <row r="23" spans="1:46" ht="13.95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4"/>
        <v>59.349000000000004</v>
      </c>
      <c r="K23" s="1">
        <f t="shared" si="45"/>
        <v>64</v>
      </c>
      <c r="L23" s="1">
        <f t="shared" si="46"/>
        <v>4.1588830833596715</v>
      </c>
      <c r="M23" s="3">
        <f t="shared" si="47"/>
        <v>500.00000000000006</v>
      </c>
      <c r="N23" s="3"/>
      <c r="O23" s="3">
        <f t="shared" si="48"/>
        <v>30000.000000000004</v>
      </c>
      <c r="P23" s="3"/>
      <c r="Q23" s="3">
        <f t="shared" si="49"/>
        <v>65.104166666666671</v>
      </c>
      <c r="R23" s="3"/>
      <c r="S23" s="3">
        <f t="shared" si="50"/>
        <v>64</v>
      </c>
      <c r="T23" s="4">
        <f t="shared" si="51"/>
        <v>59.349000000000004</v>
      </c>
      <c r="U23" s="4"/>
      <c r="V23">
        <f t="shared" si="52"/>
        <v>7.9588314678000011E-2</v>
      </c>
      <c r="W23" s="152">
        <f t="shared" si="53"/>
        <v>1.39332609562952E-2</v>
      </c>
      <c r="X23" s="152">
        <f t="shared" si="54"/>
        <v>1.0958170055943128E-2</v>
      </c>
      <c r="AD23" s="65" t="s">
        <v>14</v>
      </c>
      <c r="AE23" s="66">
        <f>X46</f>
        <v>0</v>
      </c>
      <c r="AF23" s="45"/>
      <c r="AG23" s="31"/>
      <c r="AM23" s="159">
        <f t="shared" si="55"/>
        <v>11520</v>
      </c>
      <c r="AN23" s="159">
        <v>25</v>
      </c>
      <c r="AO23" s="159">
        <v>1.8196732395486779E-3</v>
      </c>
      <c r="AP23" s="159">
        <v>8.2156541787077825E-4</v>
      </c>
      <c r="AQ23" s="176">
        <v>0.19</v>
      </c>
      <c r="AR23" s="159">
        <v>2.1691019419519116E-7</v>
      </c>
      <c r="AS23" s="159" t="s">
        <v>206</v>
      </c>
    </row>
    <row r="24" spans="1:46" ht="13.95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4"/>
        <v>84.545999999999992</v>
      </c>
      <c r="K24" s="1">
        <f t="shared" si="45"/>
        <v>89</v>
      </c>
      <c r="L24" s="1">
        <f t="shared" si="46"/>
        <v>4.4886363697321396</v>
      </c>
      <c r="M24" s="3">
        <f t="shared" si="47"/>
        <v>568.18181818181813</v>
      </c>
      <c r="N24" s="3"/>
      <c r="O24" s="3">
        <f t="shared" si="48"/>
        <v>34090.909090909088</v>
      </c>
      <c r="P24" s="3"/>
      <c r="Q24" s="3">
        <f t="shared" si="49"/>
        <v>73.982007575757564</v>
      </c>
      <c r="R24" s="3"/>
      <c r="S24" s="3">
        <f t="shared" si="50"/>
        <v>89</v>
      </c>
      <c r="T24" s="4">
        <f t="shared" si="51"/>
        <v>84.545999999999992</v>
      </c>
      <c r="U24" s="4"/>
      <c r="V24">
        <f t="shared" si="52"/>
        <v>0.11337804601199999</v>
      </c>
      <c r="W24" s="152">
        <f t="shared" si="53"/>
        <v>1.7466870597880702E-2</v>
      </c>
      <c r="X24" s="152">
        <f t="shared" si="54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M24" s="159">
        <f t="shared" si="55"/>
        <v>16588.8</v>
      </c>
      <c r="AN24" s="159">
        <v>36</v>
      </c>
      <c r="AO24" s="159">
        <v>7.5397784789642732E-3</v>
      </c>
      <c r="AP24" s="159">
        <v>2.7131440751281396E-3</v>
      </c>
      <c r="AQ24" s="176">
        <v>0.14000000000000001</v>
      </c>
      <c r="AR24" s="159">
        <v>3.9763107094788859E-7</v>
      </c>
      <c r="AS24" s="159" t="s">
        <v>206</v>
      </c>
    </row>
    <row r="25" spans="1:46" ht="13.95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4"/>
        <v>153.26999999999998</v>
      </c>
      <c r="K25" s="1">
        <f t="shared" si="45"/>
        <v>143</v>
      </c>
      <c r="L25" s="1">
        <f t="shared" si="46"/>
        <v>4.962844630259907</v>
      </c>
      <c r="M25" s="3">
        <f t="shared" si="47"/>
        <v>699.30069930069931</v>
      </c>
      <c r="N25" s="3"/>
      <c r="O25" s="3">
        <f t="shared" si="48"/>
        <v>41958.041958041955</v>
      </c>
      <c r="P25" s="3"/>
      <c r="Q25" s="3">
        <f t="shared" si="49"/>
        <v>91.054778554778551</v>
      </c>
      <c r="R25" s="3"/>
      <c r="S25" s="3">
        <f t="shared" si="50"/>
        <v>143</v>
      </c>
      <c r="T25" s="4">
        <f t="shared" si="51"/>
        <v>153.26999999999998</v>
      </c>
      <c r="U25" s="4"/>
      <c r="V25">
        <f t="shared" si="52"/>
        <v>0.20553844193999998</v>
      </c>
      <c r="W25" s="152">
        <f t="shared" si="53"/>
        <v>2.5727794880141638E-2</v>
      </c>
      <c r="X25" s="152">
        <f t="shared" si="54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M25" s="159">
        <f t="shared" si="55"/>
        <v>20736</v>
      </c>
      <c r="AN25" s="159">
        <v>45</v>
      </c>
      <c r="AO25" s="159">
        <v>1.7146093021340732E-2</v>
      </c>
      <c r="AP25" s="159">
        <v>7.1180011608729891E-3</v>
      </c>
      <c r="AQ25" s="176">
        <v>0.11</v>
      </c>
      <c r="AR25" s="159">
        <v>5.4549360647282279E-7</v>
      </c>
      <c r="AS25" s="159" t="s">
        <v>206</v>
      </c>
    </row>
    <row r="26" spans="1:46" ht="13.95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4"/>
        <v>214.45920000000001</v>
      </c>
      <c r="K26" s="1">
        <f t="shared" si="45"/>
        <v>165</v>
      </c>
      <c r="L26" s="1">
        <f t="shared" si="46"/>
        <v>5.1059454739005803</v>
      </c>
      <c r="M26" s="3">
        <f t="shared" si="47"/>
        <v>781.25000000000011</v>
      </c>
      <c r="N26" s="3"/>
      <c r="O26" s="3">
        <f t="shared" si="48"/>
        <v>46875.000000000007</v>
      </c>
      <c r="P26" s="3"/>
      <c r="Q26" s="3">
        <f t="shared" si="49"/>
        <v>101.72526041666667</v>
      </c>
      <c r="R26" s="3"/>
      <c r="S26" s="3">
        <f t="shared" si="50"/>
        <v>165</v>
      </c>
      <c r="T26" s="4">
        <f t="shared" si="51"/>
        <v>214.45920000000001</v>
      </c>
      <c r="U26" s="4"/>
      <c r="V26">
        <f t="shared" si="52"/>
        <v>0.28759450530240005</v>
      </c>
      <c r="W26" s="152">
        <f t="shared" si="53"/>
        <v>3.2222855292761705E-2</v>
      </c>
      <c r="X26" s="152">
        <f t="shared" si="54"/>
        <v>2.9247764392409632E-2</v>
      </c>
      <c r="AD26" s="65" t="s">
        <v>27</v>
      </c>
      <c r="AE26" s="66">
        <f>X40/100</f>
        <v>460.8</v>
      </c>
      <c r="AF26" s="30"/>
      <c r="AG26" s="31"/>
      <c r="AM26" s="159">
        <f t="shared" si="55"/>
        <v>23040</v>
      </c>
      <c r="AN26" s="159">
        <v>50</v>
      </c>
      <c r="AO26" s="159">
        <v>2.4979887676232684E-2</v>
      </c>
      <c r="AP26" s="159">
        <v>1.1143313366134135E-2</v>
      </c>
      <c r="AQ26" s="176">
        <v>0.09</v>
      </c>
      <c r="AR26" s="159">
        <v>6.2763945954223071E-7</v>
      </c>
      <c r="AS26" s="159" t="s">
        <v>206</v>
      </c>
    </row>
    <row r="27" spans="1:46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M27" s="159">
        <f t="shared" si="55"/>
        <v>23961.600000000002</v>
      </c>
      <c r="AN27" s="159">
        <v>52</v>
      </c>
      <c r="AO27" s="159">
        <v>2.8687189497277076E-2</v>
      </c>
      <c r="AP27" s="159">
        <v>1.3128852647530663E-2</v>
      </c>
      <c r="AQ27" s="176">
        <v>0.08</v>
      </c>
      <c r="AR27" s="159">
        <v>6.6049780076999385E-7</v>
      </c>
      <c r="AS27" s="159" t="s">
        <v>206</v>
      </c>
    </row>
    <row r="28" spans="1:46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M28" s="159">
        <f t="shared" si="55"/>
        <v>25344</v>
      </c>
      <c r="AN28" s="159">
        <v>55</v>
      </c>
      <c r="AO28" s="159">
        <v>3.4912727705496999E-2</v>
      </c>
      <c r="AP28" s="159">
        <v>1.6549422883591874E-2</v>
      </c>
      <c r="AQ28" s="176">
        <v>7.0000000000000007E-2</v>
      </c>
      <c r="AR28" s="159">
        <v>7.0978531261163862E-7</v>
      </c>
      <c r="AS28" s="159" t="s">
        <v>206</v>
      </c>
    </row>
    <row r="29" spans="1:46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14542.877489600349</v>
      </c>
      <c r="AG29" s="68">
        <f>X53</f>
        <v>-351.26655108461694</v>
      </c>
      <c r="AM29" s="159">
        <f t="shared" si="55"/>
        <v>28569.600000000002</v>
      </c>
      <c r="AN29" s="159">
        <v>62</v>
      </c>
      <c r="AO29" s="159">
        <v>5.2819357330458824E-2</v>
      </c>
      <c r="AP29" s="159">
        <v>2.6818816528704516E-2</v>
      </c>
      <c r="AQ29" s="134">
        <v>0.05</v>
      </c>
      <c r="AR29" s="159">
        <v>8.2478950690880957E-7</v>
      </c>
      <c r="AS29" s="136">
        <f>-AR29/$AE$41</f>
        <v>-1.1180846555655822E-6</v>
      </c>
      <c r="AT29" s="146"/>
    </row>
    <row r="30" spans="1:46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</row>
    <row r="31" spans="1:46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-8469.4388916507069</v>
      </c>
      <c r="AF31" s="69">
        <f>AA55</f>
        <v>0.97555662398469367</v>
      </c>
      <c r="AG31" s="31"/>
    </row>
    <row r="32" spans="1:46" ht="13.95" customHeight="1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8705.4061069276213</v>
      </c>
      <c r="AF32" s="69">
        <f>AA53</f>
        <v>1.0235321332609688</v>
      </c>
      <c r="AG32" s="31"/>
    </row>
    <row r="33" spans="2:50" ht="23.4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</row>
    <row r="35" spans="2:50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163" t="s">
        <v>133</v>
      </c>
      <c r="AE35" s="162">
        <v>31.3</v>
      </c>
      <c r="AF35" s="162">
        <v>-1.58</v>
      </c>
      <c r="AG35" s="31"/>
    </row>
    <row r="36" spans="2:50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AF55</f>
        <v>3.7426817504796325E-8</v>
      </c>
      <c r="Y36" t="s">
        <v>80</v>
      </c>
      <c r="AA36" t="s">
        <v>112</v>
      </c>
      <c r="AD36" s="65" t="s">
        <v>181</v>
      </c>
      <c r="AE36" s="69">
        <f>Y15</f>
        <v>4.4249528005034611</v>
      </c>
      <c r="AF36" s="30"/>
      <c r="AG36" s="31"/>
    </row>
    <row r="37" spans="2:50" ht="15" thickBot="1" x14ac:dyDescent="0.35">
      <c r="W37" t="s">
        <v>35</v>
      </c>
      <c r="AD37" s="65" t="s">
        <v>180</v>
      </c>
      <c r="AE37" s="162">
        <f>$X$43</f>
        <v>2.1213604393365078E-3</v>
      </c>
      <c r="AF37" s="30"/>
      <c r="AG37" s="31"/>
      <c r="AU37" t="s">
        <v>190</v>
      </c>
      <c r="AX37" t="s">
        <v>195</v>
      </c>
    </row>
    <row r="38" spans="2:50" ht="15" thickBot="1" x14ac:dyDescent="0.35">
      <c r="W38" s="34">
        <v>240</v>
      </c>
      <c r="X38" s="35" t="s">
        <v>34</v>
      </c>
      <c r="Y38" s="36"/>
      <c r="Z38" s="35"/>
      <c r="AA38" s="35"/>
      <c r="AB38" s="37"/>
      <c r="AD38" s="65" t="s">
        <v>179</v>
      </c>
      <c r="AE38" s="162">
        <f>$X$42</f>
        <v>1.2250000000000001</v>
      </c>
      <c r="AF38" s="30"/>
      <c r="AG38" s="31"/>
      <c r="AU38" t="s">
        <v>188</v>
      </c>
      <c r="AV38" s="153"/>
      <c r="AW38" s="167" t="s">
        <v>191</v>
      </c>
      <c r="AX38" t="s">
        <v>192</v>
      </c>
    </row>
    <row r="39" spans="2:50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182</v>
      </c>
      <c r="AE39" s="164">
        <f>$AF$13</f>
        <v>-0.70892513020582326</v>
      </c>
      <c r="AF39" s="30"/>
      <c r="AG39" s="31"/>
      <c r="AU39" t="s">
        <v>189</v>
      </c>
      <c r="AX39" t="s">
        <v>193</v>
      </c>
    </row>
    <row r="40" spans="2:50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6">
        <v>1.25</v>
      </c>
      <c r="Z40" s="28" t="s">
        <v>9</v>
      </c>
      <c r="AA40" s="157"/>
      <c r="AB40">
        <f>W38</f>
        <v>240</v>
      </c>
      <c r="AC40" t="s">
        <v>157</v>
      </c>
      <c r="AD40" s="65" t="s">
        <v>184</v>
      </c>
      <c r="AE40" s="92">
        <f>AE13</f>
        <v>2.5988730787182082</v>
      </c>
      <c r="AF40" s="175" t="s">
        <v>261</v>
      </c>
      <c r="AG40" s="175">
        <v>5.5</v>
      </c>
      <c r="AU40" t="s">
        <v>183</v>
      </c>
      <c r="AX40" t="s">
        <v>194</v>
      </c>
    </row>
    <row r="41" spans="2:50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155</v>
      </c>
      <c r="X41" s="158">
        <f>450/454</f>
        <v>0.99118942731277537</v>
      </c>
      <c r="Y41" s="32" t="s">
        <v>156</v>
      </c>
      <c r="Z41" s="169">
        <f>X41/0.224</f>
        <v>4.4249528005034611</v>
      </c>
      <c r="AA41" s="33" t="s">
        <v>159</v>
      </c>
      <c r="AD41" s="65" t="s">
        <v>185</v>
      </c>
      <c r="AE41" s="164">
        <f>1/1.3556</f>
        <v>0.73768073177928595</v>
      </c>
      <c r="AU41" t="s">
        <v>196</v>
      </c>
      <c r="AV41" t="s">
        <v>199</v>
      </c>
    </row>
    <row r="42" spans="2:50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161</v>
      </c>
      <c r="X42" s="5">
        <v>1.2250000000000001</v>
      </c>
      <c r="Y42" t="s">
        <v>162</v>
      </c>
      <c r="Z42" t="s">
        <v>170</v>
      </c>
      <c r="AD42" s="65" t="s">
        <v>186</v>
      </c>
      <c r="AE42" s="166">
        <f>$X$36</f>
        <v>3.7426817504796325E-8</v>
      </c>
      <c r="AU42" t="s">
        <v>197</v>
      </c>
      <c r="AW42" s="167" t="s">
        <v>198</v>
      </c>
      <c r="AX42" t="s">
        <v>204</v>
      </c>
    </row>
    <row r="43" spans="2:50" ht="15" thickBot="1" x14ac:dyDescent="0.35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163</v>
      </c>
      <c r="X43" s="159">
        <f>(55^2-18^2)*PI()/4/1000^2</f>
        <v>2.1213604393365078E-3</v>
      </c>
      <c r="Y43" t="s">
        <v>164</v>
      </c>
      <c r="Z43" t="s">
        <v>169</v>
      </c>
      <c r="AA43" s="159">
        <v>55</v>
      </c>
      <c r="AB43" t="s">
        <v>93</v>
      </c>
      <c r="AD43" s="70" t="s">
        <v>201</v>
      </c>
      <c r="AE43" s="148">
        <f>AA43/1000</f>
        <v>5.5E-2</v>
      </c>
      <c r="AF43" s="32"/>
      <c r="AG43" s="33"/>
      <c r="AU43" t="s">
        <v>200</v>
      </c>
    </row>
    <row r="44" spans="2:50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W44" t="s">
        <v>37</v>
      </c>
      <c r="Z44" t="s">
        <v>176</v>
      </c>
      <c r="AA44" s="159">
        <v>45</v>
      </c>
      <c r="AB44" t="s">
        <v>177</v>
      </c>
      <c r="AC44" t="s">
        <v>178</v>
      </c>
      <c r="AW44" s="167" t="s">
        <v>191</v>
      </c>
      <c r="AX44" t="s">
        <v>205</v>
      </c>
    </row>
    <row r="45" spans="2:50" ht="28.8" x14ac:dyDescent="0.3">
      <c r="B45" s="73">
        <v>90</v>
      </c>
      <c r="C45" s="6">
        <f t="shared" ref="C45:C50" si="56">B45/180*(2.4-0.53)+0.53</f>
        <v>1.4649999999999999</v>
      </c>
      <c r="D45" s="88">
        <f t="shared" ref="D45:D50" si="57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E45" t="s">
        <v>134</v>
      </c>
      <c r="AU45" t="s">
        <v>202</v>
      </c>
    </row>
    <row r="46" spans="2:50" x14ac:dyDescent="0.3">
      <c r="B46" s="73">
        <v>100</v>
      </c>
      <c r="C46" s="6">
        <f t="shared" si="56"/>
        <v>1.568888888888889</v>
      </c>
      <c r="D46" s="88">
        <f t="shared" si="57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-18.379858705839208</v>
      </c>
      <c r="AB46" t="s">
        <v>106</v>
      </c>
      <c r="AE46" t="s">
        <v>128</v>
      </c>
      <c r="AF46">
        <v>25</v>
      </c>
      <c r="AG46" t="s">
        <v>93</v>
      </c>
      <c r="AU46" t="s">
        <v>203</v>
      </c>
    </row>
    <row r="47" spans="2:50" x14ac:dyDescent="0.3">
      <c r="B47" s="73">
        <v>110</v>
      </c>
      <c r="C47" s="6">
        <f t="shared" si="56"/>
        <v>1.6727777777777779</v>
      </c>
      <c r="D47" s="88">
        <f t="shared" si="57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E47" t="s">
        <v>145</v>
      </c>
      <c r="AF47">
        <v>2.1797</v>
      </c>
      <c r="AG47" t="s">
        <v>94</v>
      </c>
    </row>
    <row r="48" spans="2:50" x14ac:dyDescent="0.3">
      <c r="B48" s="73">
        <v>114</v>
      </c>
      <c r="C48" s="6">
        <f t="shared" si="56"/>
        <v>1.7143333333333333</v>
      </c>
      <c r="D48" s="88">
        <f t="shared" si="57"/>
        <v>128.57999999999998</v>
      </c>
      <c r="W48" s="19"/>
      <c r="X48" s="30" t="s">
        <v>40</v>
      </c>
      <c r="Y48" s="30"/>
      <c r="Z48" s="61"/>
      <c r="AA48" s="89">
        <f>(AA47-AA46)/(X47-X46)</f>
        <v>19.075971741167841</v>
      </c>
      <c r="AE48" t="s">
        <v>129</v>
      </c>
      <c r="AF48">
        <f>($AF$46/25.4)^2*$AF$47/1000*2.2/3</f>
        <v>1.5484983053299442E-3</v>
      </c>
      <c r="AG48" t="s">
        <v>96</v>
      </c>
      <c r="AH48" s="151" t="s">
        <v>147</v>
      </c>
      <c r="AI48" s="104"/>
      <c r="AQ48" s="3"/>
    </row>
    <row r="49" spans="2:44" x14ac:dyDescent="0.3">
      <c r="B49" s="73">
        <v>127.5</v>
      </c>
      <c r="C49" s="6">
        <f t="shared" si="56"/>
        <v>1.8545833333333333</v>
      </c>
      <c r="D49" s="88">
        <f t="shared" si="57"/>
        <v>153.82499999999999</v>
      </c>
      <c r="W49" s="19"/>
      <c r="X49" s="30"/>
      <c r="Y49" s="30"/>
      <c r="Z49" s="61"/>
      <c r="AA49" s="89">
        <f>AA47-AA48*(X47-X46)</f>
        <v>-18.379858705839212</v>
      </c>
      <c r="AE49" t="s">
        <v>142</v>
      </c>
      <c r="AF49" s="97">
        <f>3/8/2*25.4</f>
        <v>4.7624999999999993</v>
      </c>
      <c r="AG49" t="s">
        <v>93</v>
      </c>
      <c r="AH49" t="s">
        <v>143</v>
      </c>
      <c r="AR49" s="3"/>
    </row>
    <row r="50" spans="2:44" ht="15" thickBot="1" x14ac:dyDescent="0.35">
      <c r="B50" s="80">
        <v>136.4</v>
      </c>
      <c r="C50" s="6">
        <f t="shared" si="56"/>
        <v>1.9470444444444444</v>
      </c>
      <c r="D50" s="88">
        <f t="shared" si="57"/>
        <v>170.46799999999999</v>
      </c>
      <c r="W50" s="21"/>
      <c r="X50" s="32"/>
      <c r="Y50" s="32"/>
      <c r="Z50" s="47"/>
      <c r="AA50" s="48" t="s">
        <v>124</v>
      </c>
      <c r="AE50" t="s">
        <v>144</v>
      </c>
      <c r="AF50" s="97">
        <f>3/4*25.4</f>
        <v>19.049999999999997</v>
      </c>
      <c r="AG50" t="s">
        <v>93</v>
      </c>
      <c r="AH50" t="s">
        <v>143</v>
      </c>
    </row>
    <row r="51" spans="2:44" x14ac:dyDescent="0.3">
      <c r="AE51" t="s">
        <v>146</v>
      </c>
      <c r="AF51">
        <f>PI()*(AF49/25.4)^2/4*3/4*0.3</f>
        <v>6.2126221909368446E-3</v>
      </c>
      <c r="AG51" t="s">
        <v>149</v>
      </c>
      <c r="AH51" t="s">
        <v>143</v>
      </c>
    </row>
    <row r="52" spans="2:44" ht="15" thickBot="1" x14ac:dyDescent="0.35">
      <c r="W52" t="s">
        <v>38</v>
      </c>
      <c r="AE52" t="s">
        <v>135</v>
      </c>
      <c r="AF52">
        <f>($AF$49/25.4)^2*$AF$51/2</f>
        <v>1.0920624945006168E-4</v>
      </c>
      <c r="AG52" t="s">
        <v>96</v>
      </c>
      <c r="AH52" t="s">
        <v>148</v>
      </c>
    </row>
    <row r="53" spans="2:44" x14ac:dyDescent="0.3">
      <c r="W53" s="49" t="s">
        <v>121</v>
      </c>
      <c r="X53" s="50">
        <f>INDEX(LINEST($P$4:$P$15,$D$4:$D$15^{1,2},FALSE,FALSE),1)</f>
        <v>-351.26655108461694</v>
      </c>
      <c r="Y53" s="28"/>
      <c r="Z53" s="51" t="s">
        <v>123</v>
      </c>
      <c r="AA53" s="52">
        <f>INDEX(LINEST($O$4:$O$15,$P$4:$P$15),1)</f>
        <v>1.0235321332609688</v>
      </c>
      <c r="AE53" t="s">
        <v>95</v>
      </c>
      <c r="AF53">
        <f>AF48+AF52</f>
        <v>1.6577045547800059E-3</v>
      </c>
      <c r="AG53" t="s">
        <v>96</v>
      </c>
    </row>
    <row r="54" spans="2:44" x14ac:dyDescent="0.3">
      <c r="W54" s="43"/>
      <c r="X54" s="54">
        <f>INDEX(LINEST($P$4:$P$15,$D$4:$D$15^{1,2},FALSE,FALSE),2)</f>
        <v>14542.877489600349</v>
      </c>
      <c r="Y54" s="30"/>
      <c r="Z54" s="44"/>
      <c r="AA54" s="46">
        <f>INDEX(LINEST($O$4:$O$15,$P$4:$P$15),2)</f>
        <v>8705.4061069276213</v>
      </c>
      <c r="AE54" t="s">
        <v>95</v>
      </c>
      <c r="AF54">
        <f>AF53/144</f>
        <v>1.1511837185972264E-5</v>
      </c>
      <c r="AG54" t="s">
        <v>97</v>
      </c>
    </row>
    <row r="55" spans="2:44" x14ac:dyDescent="0.3">
      <c r="W55" s="43"/>
      <c r="X55" s="54">
        <f>INDEX(LINEST($P$4:$P$15,$D$4:$D$15^{1,2},FALSE,FALSE),3)</f>
        <v>0</v>
      </c>
      <c r="Y55" s="30"/>
      <c r="Z55" s="44" t="s">
        <v>122</v>
      </c>
      <c r="AA55" s="46">
        <f>INDEX(LINEST($P$4:$P$15,$O$4:$O$15),1)</f>
        <v>0.97555662398469367</v>
      </c>
      <c r="AE55" t="s">
        <v>95</v>
      </c>
      <c r="AF55">
        <f>AF54/2048.5*6.66</f>
        <v>3.7426817504796325E-8</v>
      </c>
      <c r="AG55" t="s">
        <v>98</v>
      </c>
    </row>
    <row r="56" spans="2:44" x14ac:dyDescent="0.3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INDEX(LINEST($P$4:$P$15,$O$4:$O$15),2)</f>
        <v>-8469.4388916507069</v>
      </c>
      <c r="AB56" t="s">
        <v>60</v>
      </c>
    </row>
    <row r="57" spans="2:44" x14ac:dyDescent="0.3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3">
      <c r="W58" s="19"/>
      <c r="X58" s="30"/>
      <c r="Y58" s="30"/>
      <c r="Z58" s="30"/>
      <c r="AA58" s="31"/>
    </row>
    <row r="59" spans="2:44" ht="15" thickBot="1" x14ac:dyDescent="0.35">
      <c r="W59" s="107" t="s">
        <v>62</v>
      </c>
      <c r="X59" s="108">
        <f>EXP((0-$AE$30)/$AF$30)</f>
        <v>7.361501228839896</v>
      </c>
      <c r="Y59" s="32"/>
      <c r="Z59" s="32"/>
      <c r="AA59" s="33"/>
      <c r="AB59" t="s">
        <v>65</v>
      </c>
    </row>
    <row r="60" spans="2:44" ht="15" thickBot="1" x14ac:dyDescent="0.35"/>
    <row r="61" spans="2:44" x14ac:dyDescent="0.3">
      <c r="W61" s="49" t="s">
        <v>92</v>
      </c>
      <c r="X61" s="121">
        <f>INDEX(LINEST($X$4:$X$15,$O$4:$O$15^{1,2}),1)</f>
        <v>1.782679103068748E-11</v>
      </c>
      <c r="Z61" s="49" t="s">
        <v>130</v>
      </c>
      <c r="AA61" s="121">
        <f>INDEX(LINEST($X$67:$X$84,$O$67:$O$84^{1,2}),1)</f>
        <v>1.4325144135226059E-11</v>
      </c>
      <c r="AF61" s="45"/>
      <c r="AG61" s="150"/>
    </row>
    <row r="62" spans="2:44" x14ac:dyDescent="0.3">
      <c r="W62" s="43"/>
      <c r="X62" s="122">
        <f>INDEX(LINEST($X$4:$X$15,$O$4:$O$15^{1,2}),2)</f>
        <v>-1.9381907115184841E-7</v>
      </c>
      <c r="Z62" s="43"/>
      <c r="AA62" s="122">
        <f>INDEX(LINEST($X$67:$X$84,$O$67:$O$84^{1,2}),2)</f>
        <v>-3.0709262345742761E-7</v>
      </c>
      <c r="AF62" s="45"/>
      <c r="AG62" s="150"/>
    </row>
    <row r="63" spans="2:44" ht="15" thickBot="1" x14ac:dyDescent="0.35">
      <c r="W63" s="55"/>
      <c r="X63" s="123">
        <f>INDEX(LINEST($X$4:$X$15,$O$4:$O$15^{1,2}),3)</f>
        <v>6.9658921582847581E-4</v>
      </c>
      <c r="Z63" s="55"/>
      <c r="AA63" s="123">
        <f>INDEX(LINEST($X$67:$X$84,$O$67:$O$84^{1,2}),3)</f>
        <v>2.0111653701195102E-3</v>
      </c>
      <c r="AF63" s="45"/>
      <c r="AG63" s="150"/>
    </row>
    <row r="66" spans="2:25" x14ac:dyDescent="0.3">
      <c r="B66" t="s">
        <v>116</v>
      </c>
      <c r="V66" t="s">
        <v>89</v>
      </c>
      <c r="W66" t="s">
        <v>151</v>
      </c>
      <c r="X66" t="s">
        <v>152</v>
      </c>
    </row>
    <row r="67" spans="2:25" x14ac:dyDescent="0.3">
      <c r="B67" s="113">
        <f t="shared" ref="B67:B72" si="58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9">M67*60/$X$29</f>
        <v>8746.3556851311951</v>
      </c>
      <c r="P67" s="3">
        <f t="shared" ref="P67:P82" si="60">N67*60/$X$29</f>
        <v>0</v>
      </c>
      <c r="Q67" s="3">
        <f t="shared" ref="Q67:Q82" si="61">O67/$X$40*100</f>
        <v>18.980806608357629</v>
      </c>
      <c r="R67" s="3">
        <f t="shared" ref="R67:R82" si="62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2">
        <f>W67-$W$67</f>
        <v>0</v>
      </c>
      <c r="Y67">
        <f t="shared" ref="Y67:Y84" si="63">-X67/2/O67</f>
        <v>0</v>
      </c>
    </row>
    <row r="68" spans="2:25" x14ac:dyDescent="0.3">
      <c r="B68" s="113">
        <f t="shared" si="58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9"/>
        <v>9708.7378640776697</v>
      </c>
      <c r="P68" s="3">
        <f t="shared" si="60"/>
        <v>0</v>
      </c>
      <c r="Q68" s="3">
        <f t="shared" si="61"/>
        <v>21.069309600862997</v>
      </c>
      <c r="R68" s="3">
        <f t="shared" si="62"/>
        <v>0</v>
      </c>
      <c r="S68" s="3">
        <f>K68</f>
        <v>15</v>
      </c>
      <c r="T68" s="4">
        <f>J68</f>
        <v>8.8926600000000011</v>
      </c>
      <c r="U68" s="4"/>
      <c r="V68">
        <f t="shared" ref="V68:V84" si="64">(T68-$T$3)*0.001341022</f>
        <v>5.9576511576400013E-3</v>
      </c>
      <c r="W68" s="127">
        <f>$V68/$O68*5252</f>
        <v>3.2228271396323046E-3</v>
      </c>
      <c r="X68" s="152">
        <f t="shared" ref="X68:X84" si="65">W68-$W$67</f>
        <v>1.967106745261603E-4</v>
      </c>
      <c r="Y68">
        <f t="shared" si="63"/>
        <v>-1.0130599738097255E-8</v>
      </c>
    </row>
    <row r="69" spans="2:25" x14ac:dyDescent="0.3">
      <c r="B69" s="113">
        <f t="shared" si="58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9"/>
        <v>10273.972602739726</v>
      </c>
      <c r="P69" s="3">
        <f t="shared" si="60"/>
        <v>0</v>
      </c>
      <c r="Q69" s="3">
        <f t="shared" si="61"/>
        <v>22.295947488584474</v>
      </c>
      <c r="R69" s="3">
        <f t="shared" si="62"/>
        <v>0</v>
      </c>
      <c r="S69" s="3">
        <f>K69</f>
        <v>12</v>
      </c>
      <c r="T69" s="4">
        <f>J69</f>
        <v>9.2684000000000015</v>
      </c>
      <c r="U69" s="4"/>
      <c r="V69">
        <f t="shared" si="64"/>
        <v>6.4615267639200015E-3</v>
      </c>
      <c r="W69" s="127">
        <f t="shared" ref="W69:W84" si="66">$V69/$O69*5252</f>
        <v>3.3030980202398302E-3</v>
      </c>
      <c r="X69" s="152">
        <f t="shared" si="65"/>
        <v>2.7698155513368591E-4</v>
      </c>
      <c r="Y69">
        <f t="shared" si="63"/>
        <v>-1.3479769016506046E-8</v>
      </c>
    </row>
    <row r="70" spans="2:25" x14ac:dyDescent="0.3">
      <c r="B70" s="113">
        <f t="shared" si="58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9"/>
        <v>11363.636363636364</v>
      </c>
      <c r="P70" s="3">
        <f t="shared" si="60"/>
        <v>0</v>
      </c>
      <c r="Q70" s="3">
        <f t="shared" si="61"/>
        <v>24.660669191919194</v>
      </c>
      <c r="R70" s="3">
        <f t="shared" si="62"/>
        <v>0</v>
      </c>
      <c r="S70" s="3">
        <f>K70</f>
        <v>13</v>
      </c>
      <c r="T70" s="4">
        <f>J70</f>
        <v>10.064</v>
      </c>
      <c r="U70" s="4"/>
      <c r="V70">
        <f t="shared" si="64"/>
        <v>7.52844386712E-3</v>
      </c>
      <c r="W70" s="127">
        <f t="shared" si="66"/>
        <v>3.479466072730053E-3</v>
      </c>
      <c r="X70" s="152">
        <f t="shared" si="65"/>
        <v>4.5334960762390868E-4</v>
      </c>
      <c r="Y70">
        <f t="shared" si="63"/>
        <v>-1.9947382735451983E-8</v>
      </c>
    </row>
    <row r="71" spans="2:25" x14ac:dyDescent="0.3">
      <c r="B71" s="113">
        <f t="shared" si="58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9"/>
        <v>12244.897959183674</v>
      </c>
      <c r="P71" s="3">
        <f t="shared" si="60"/>
        <v>0</v>
      </c>
      <c r="Q71" s="3">
        <f t="shared" si="61"/>
        <v>26.573129251700685</v>
      </c>
      <c r="R71" s="3">
        <f t="shared" si="62"/>
        <v>0</v>
      </c>
      <c r="S71" s="3">
        <f>K71</f>
        <v>14</v>
      </c>
      <c r="T71" s="4">
        <f>J71</f>
        <v>10.679590000000001</v>
      </c>
      <c r="U71" s="4"/>
      <c r="V71">
        <f t="shared" si="64"/>
        <v>8.3539636001000016E-3</v>
      </c>
      <c r="W71" s="127">
        <f t="shared" si="66"/>
        <v>3.5831263742642254E-3</v>
      </c>
      <c r="X71" s="152">
        <f t="shared" si="65"/>
        <v>5.5700990915808109E-4</v>
      </c>
      <c r="Y71">
        <f t="shared" si="63"/>
        <v>-2.2744571290621641E-8</v>
      </c>
    </row>
    <row r="72" spans="2:25" x14ac:dyDescent="0.3">
      <c r="B72" s="113">
        <f t="shared" si="58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7">E72*F72</f>
        <v>12.79233</v>
      </c>
      <c r="K72" s="1">
        <f t="shared" ref="K72:K84" si="68">C72</f>
        <v>20</v>
      </c>
      <c r="L72" s="1">
        <f t="shared" ref="L72:L84" si="69">LN(K72)</f>
        <v>2.9957322735539909</v>
      </c>
      <c r="M72" s="3">
        <f t="shared" ref="M72:M84" si="70">1/G72/0.000001</f>
        <v>285.71428571428572</v>
      </c>
      <c r="N72" s="3"/>
      <c r="O72" s="3">
        <f t="shared" si="59"/>
        <v>17142.857142857145</v>
      </c>
      <c r="P72" s="3">
        <f t="shared" si="60"/>
        <v>0</v>
      </c>
      <c r="Q72" s="3">
        <f t="shared" si="61"/>
        <v>37.202380952380956</v>
      </c>
      <c r="R72" s="3">
        <f t="shared" si="62"/>
        <v>0</v>
      </c>
      <c r="S72" s="3">
        <f t="shared" ref="S72:S84" si="71">K72</f>
        <v>20</v>
      </c>
      <c r="T72" s="4">
        <f t="shared" ref="T72:T84" si="72">J72</f>
        <v>12.79233</v>
      </c>
      <c r="U72" s="4"/>
      <c r="V72">
        <f t="shared" si="64"/>
        <v>1.1187194420379999E-2</v>
      </c>
      <c r="W72" s="127">
        <f t="shared" si="66"/>
        <v>3.4273834639237518E-3</v>
      </c>
      <c r="X72" s="152">
        <f t="shared" si="65"/>
        <v>4.0126699881760756E-4</v>
      </c>
      <c r="Y72">
        <f t="shared" si="63"/>
        <v>-1.1703620798846885E-8</v>
      </c>
    </row>
    <row r="73" spans="2:25" x14ac:dyDescent="0.3">
      <c r="B73" s="113">
        <f t="shared" ref="B73:B84" si="73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7"/>
        <v>17.3124</v>
      </c>
      <c r="K73" s="1">
        <f t="shared" si="68"/>
        <v>25</v>
      </c>
      <c r="L73" s="1">
        <f t="shared" si="69"/>
        <v>3.2188758248682006</v>
      </c>
      <c r="M73" s="3">
        <f t="shared" si="70"/>
        <v>332.22591362126246</v>
      </c>
      <c r="N73" s="3"/>
      <c r="O73" s="3">
        <f t="shared" si="59"/>
        <v>19933.554817275748</v>
      </c>
      <c r="P73" s="3">
        <f t="shared" si="60"/>
        <v>0</v>
      </c>
      <c r="Q73" s="3">
        <f t="shared" si="61"/>
        <v>43.258582502768547</v>
      </c>
      <c r="R73" s="3">
        <f t="shared" si="62"/>
        <v>0</v>
      </c>
      <c r="S73" s="3">
        <f t="shared" si="71"/>
        <v>25</v>
      </c>
      <c r="T73" s="4">
        <f t="shared" si="72"/>
        <v>17.3124</v>
      </c>
      <c r="U73" s="4"/>
      <c r="V73">
        <f t="shared" si="64"/>
        <v>1.7248707731919999E-2</v>
      </c>
      <c r="W73" s="127">
        <f t="shared" si="66"/>
        <v>4.5446090192368654E-3</v>
      </c>
      <c r="X73" s="152">
        <f t="shared" si="65"/>
        <v>1.5184925541307211E-3</v>
      </c>
      <c r="Y73">
        <f t="shared" si="63"/>
        <v>-3.8088854899445583E-8</v>
      </c>
    </row>
    <row r="74" spans="2:25" x14ac:dyDescent="0.3">
      <c r="B74" s="113">
        <f t="shared" si="73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7"/>
        <v>23.790480000000002</v>
      </c>
      <c r="K74" s="1">
        <f t="shared" si="68"/>
        <v>30</v>
      </c>
      <c r="L74" s="1">
        <f t="shared" si="69"/>
        <v>3.4011973816621555</v>
      </c>
      <c r="M74" s="3">
        <f t="shared" si="70"/>
        <v>377.35849056603774</v>
      </c>
      <c r="N74" s="3"/>
      <c r="O74" s="3">
        <f t="shared" si="59"/>
        <v>22641.509433962266</v>
      </c>
      <c r="P74" s="3">
        <f t="shared" si="60"/>
        <v>0</v>
      </c>
      <c r="Q74" s="3">
        <f t="shared" si="61"/>
        <v>49.135220125786169</v>
      </c>
      <c r="R74" s="3">
        <f t="shared" si="62"/>
        <v>0</v>
      </c>
      <c r="S74" s="3">
        <f t="shared" si="71"/>
        <v>30</v>
      </c>
      <c r="T74" s="4">
        <f t="shared" si="72"/>
        <v>23.790480000000002</v>
      </c>
      <c r="U74" s="4"/>
      <c r="V74">
        <f t="shared" si="64"/>
        <v>2.5935955529680001E-2</v>
      </c>
      <c r="W74" s="127">
        <f t="shared" si="66"/>
        <v>6.0161906978496715E-3</v>
      </c>
      <c r="X74" s="152">
        <f t="shared" si="65"/>
        <v>2.9900742327435273E-3</v>
      </c>
      <c r="Y74">
        <f t="shared" si="63"/>
        <v>-6.6030805973086218E-8</v>
      </c>
    </row>
    <row r="75" spans="2:25" x14ac:dyDescent="0.3">
      <c r="B75" s="113">
        <f t="shared" si="73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7"/>
        <v>28.926969999999997</v>
      </c>
      <c r="K75" s="1">
        <f t="shared" si="68"/>
        <v>35</v>
      </c>
      <c r="L75" s="1">
        <f t="shared" si="69"/>
        <v>3.5553480614894135</v>
      </c>
      <c r="M75" s="3">
        <f t="shared" si="70"/>
        <v>400.00000000000006</v>
      </c>
      <c r="N75" s="3"/>
      <c r="O75" s="3">
        <f t="shared" si="59"/>
        <v>24000.000000000004</v>
      </c>
      <c r="P75" s="3">
        <f t="shared" si="60"/>
        <v>0</v>
      </c>
      <c r="Q75" s="3">
        <f t="shared" si="61"/>
        <v>52.083333333333336</v>
      </c>
      <c r="R75" s="3">
        <f t="shared" si="62"/>
        <v>0</v>
      </c>
      <c r="S75" s="3">
        <f t="shared" si="71"/>
        <v>35</v>
      </c>
      <c r="T75" s="4">
        <f t="shared" si="72"/>
        <v>28.926969999999997</v>
      </c>
      <c r="U75" s="4"/>
      <c r="V75">
        <f t="shared" si="64"/>
        <v>3.2824101622459995E-2</v>
      </c>
      <c r="W75" s="127">
        <f t="shared" si="66"/>
        <v>7.1830075717149939E-3</v>
      </c>
      <c r="X75" s="152">
        <f t="shared" si="65"/>
        <v>4.1568911066088496E-3</v>
      </c>
      <c r="Y75">
        <f t="shared" si="63"/>
        <v>-8.6601898054351018E-8</v>
      </c>
    </row>
    <row r="76" spans="2:25" x14ac:dyDescent="0.3">
      <c r="B76" s="113">
        <f t="shared" si="73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7"/>
        <v>32.374200000000002</v>
      </c>
      <c r="K76" s="1">
        <f t="shared" si="68"/>
        <v>40</v>
      </c>
      <c r="L76" s="1">
        <f t="shared" si="69"/>
        <v>3.6888794541139363</v>
      </c>
      <c r="M76" s="3">
        <f t="shared" si="70"/>
        <v>440.52863436123351</v>
      </c>
      <c r="N76" s="3"/>
      <c r="O76" s="3">
        <f t="shared" si="59"/>
        <v>26431.718061674012</v>
      </c>
      <c r="P76" s="3">
        <f t="shared" si="60"/>
        <v>0</v>
      </c>
      <c r="Q76" s="3">
        <f t="shared" si="61"/>
        <v>57.360499265785613</v>
      </c>
      <c r="R76" s="3">
        <f t="shared" si="62"/>
        <v>0</v>
      </c>
      <c r="S76" s="3">
        <f t="shared" si="71"/>
        <v>40</v>
      </c>
      <c r="T76" s="4">
        <f t="shared" si="72"/>
        <v>32.374200000000002</v>
      </c>
      <c r="U76" s="4"/>
      <c r="V76">
        <f t="shared" si="64"/>
        <v>3.7446912891520003E-2</v>
      </c>
      <c r="W76" s="127">
        <f t="shared" si="66"/>
        <v>7.4407265561536179E-3</v>
      </c>
      <c r="X76" s="152">
        <f t="shared" si="65"/>
        <v>4.4146100910474736E-3</v>
      </c>
      <c r="Y76">
        <f t="shared" si="63"/>
        <v>-8.3509707555648035E-8</v>
      </c>
    </row>
    <row r="77" spans="2:25" x14ac:dyDescent="0.3">
      <c r="B77" s="113">
        <f t="shared" si="73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7"/>
        <v>42.16</v>
      </c>
      <c r="K77" s="1">
        <f t="shared" si="68"/>
        <v>50</v>
      </c>
      <c r="L77" s="1">
        <f t="shared" si="69"/>
        <v>3.912023005428146</v>
      </c>
      <c r="M77" s="3">
        <f t="shared" si="70"/>
        <v>495.04950495049508</v>
      </c>
      <c r="N77" s="3"/>
      <c r="O77" s="3">
        <f t="shared" si="59"/>
        <v>29702.970297029704</v>
      </c>
      <c r="P77" s="3">
        <f t="shared" si="60"/>
        <v>0</v>
      </c>
      <c r="Q77" s="3">
        <f t="shared" si="61"/>
        <v>64.459570957095707</v>
      </c>
      <c r="R77" s="3">
        <f t="shared" si="62"/>
        <v>0</v>
      </c>
      <c r="S77" s="3">
        <f t="shared" si="71"/>
        <v>50</v>
      </c>
      <c r="T77" s="4">
        <f t="shared" si="72"/>
        <v>42.16</v>
      </c>
      <c r="U77" s="4"/>
      <c r="V77">
        <f t="shared" si="64"/>
        <v>5.0569885979119995E-2</v>
      </c>
      <c r="W77" s="127">
        <f t="shared" si="66"/>
        <v>8.9416323857987191E-3</v>
      </c>
      <c r="X77" s="152">
        <f t="shared" si="65"/>
        <v>5.9155159206925748E-3</v>
      </c>
      <c r="Y77">
        <f t="shared" si="63"/>
        <v>-9.957785133165834E-8</v>
      </c>
    </row>
    <row r="78" spans="2:25" x14ac:dyDescent="0.3">
      <c r="B78" s="113">
        <f t="shared" si="73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7"/>
        <v>52.727999999999994</v>
      </c>
      <c r="K78" s="1">
        <f t="shared" si="68"/>
        <v>60</v>
      </c>
      <c r="L78" s="1">
        <f t="shared" si="69"/>
        <v>4.0943445622221004</v>
      </c>
      <c r="M78" s="3">
        <f t="shared" si="70"/>
        <v>534.75935828877004</v>
      </c>
      <c r="N78" s="3"/>
      <c r="O78" s="3">
        <f t="shared" si="59"/>
        <v>32085.561497326202</v>
      </c>
      <c r="P78" s="3">
        <f t="shared" si="60"/>
        <v>0</v>
      </c>
      <c r="Q78" s="3">
        <f t="shared" si="61"/>
        <v>69.630124777183596</v>
      </c>
      <c r="R78" s="3">
        <f t="shared" si="62"/>
        <v>0</v>
      </c>
      <c r="S78" s="3">
        <f t="shared" si="71"/>
        <v>60</v>
      </c>
      <c r="T78" s="4">
        <f t="shared" si="72"/>
        <v>52.727999999999994</v>
      </c>
      <c r="U78" s="4"/>
      <c r="V78">
        <f t="shared" si="64"/>
        <v>6.4741806475119998E-2</v>
      </c>
      <c r="W78" s="127">
        <f t="shared" si="66"/>
        <v>1.0597413657095125E-2</v>
      </c>
      <c r="X78" s="152">
        <f t="shared" si="65"/>
        <v>7.5712971919889805E-3</v>
      </c>
      <c r="Y78">
        <f t="shared" si="63"/>
        <v>-1.1798604790849495E-7</v>
      </c>
    </row>
    <row r="79" spans="2:25" x14ac:dyDescent="0.3">
      <c r="B79" s="113">
        <f t="shared" si="73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7"/>
        <v>64.944000000000003</v>
      </c>
      <c r="K79" s="1">
        <f t="shared" si="68"/>
        <v>75</v>
      </c>
      <c r="L79" s="1">
        <f t="shared" si="69"/>
        <v>4.3174881135363101</v>
      </c>
      <c r="M79" s="3">
        <f t="shared" si="70"/>
        <v>606.06060606060612</v>
      </c>
      <c r="N79" s="3"/>
      <c r="O79" s="3">
        <f t="shared" si="59"/>
        <v>36363.636363636368</v>
      </c>
      <c r="P79" s="3">
        <f t="shared" si="60"/>
        <v>0</v>
      </c>
      <c r="Q79" s="3">
        <f t="shared" si="61"/>
        <v>78.914141414141426</v>
      </c>
      <c r="R79" s="3">
        <f t="shared" si="62"/>
        <v>0</v>
      </c>
      <c r="S79" s="3">
        <f t="shared" si="71"/>
        <v>75</v>
      </c>
      <c r="T79" s="4">
        <f t="shared" si="72"/>
        <v>64.944000000000003</v>
      </c>
      <c r="U79" s="4"/>
      <c r="V79">
        <f t="shared" si="64"/>
        <v>8.1123731227120008E-2</v>
      </c>
      <c r="W79" s="127">
        <f t="shared" si="66"/>
        <v>1.1716700501132942E-2</v>
      </c>
      <c r="X79" s="152">
        <f t="shared" si="65"/>
        <v>8.6905840360267973E-3</v>
      </c>
      <c r="Y79">
        <f t="shared" si="63"/>
        <v>-1.1949553049536844E-7</v>
      </c>
    </row>
    <row r="80" spans="2:25" x14ac:dyDescent="0.3">
      <c r="B80" s="113">
        <f t="shared" si="73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7"/>
        <v>81.4572</v>
      </c>
      <c r="K80" s="1">
        <f t="shared" si="68"/>
        <v>90</v>
      </c>
      <c r="L80" s="1">
        <f t="shared" si="69"/>
        <v>4.499809670330265</v>
      </c>
      <c r="M80" s="3">
        <f t="shared" si="70"/>
        <v>662.25165562913912</v>
      </c>
      <c r="N80" s="3"/>
      <c r="O80" s="3">
        <f t="shared" si="59"/>
        <v>39735.099337748346</v>
      </c>
      <c r="P80" s="3">
        <f t="shared" si="60"/>
        <v>0</v>
      </c>
      <c r="Q80" s="3">
        <f t="shared" si="61"/>
        <v>86.230684326710815</v>
      </c>
      <c r="R80" s="3">
        <f t="shared" si="62"/>
        <v>0</v>
      </c>
      <c r="S80" s="3">
        <f t="shared" si="71"/>
        <v>90</v>
      </c>
      <c r="T80" s="4">
        <f t="shared" si="72"/>
        <v>81.4572</v>
      </c>
      <c r="U80" s="4"/>
      <c r="V80">
        <f t="shared" si="64"/>
        <v>0.10326829571752001</v>
      </c>
      <c r="W80" s="127">
        <f t="shared" si="66"/>
        <v>1.3649521409228446E-2</v>
      </c>
      <c r="X80" s="152">
        <f t="shared" si="65"/>
        <v>1.0623404944122301E-2</v>
      </c>
      <c r="Y80">
        <f t="shared" si="63"/>
        <v>-1.3367784554687227E-7</v>
      </c>
    </row>
    <row r="81" spans="2:25" x14ac:dyDescent="0.3">
      <c r="B81" s="113">
        <f t="shared" si="73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7"/>
        <v>94.001099999999994</v>
      </c>
      <c r="K81" s="1">
        <f t="shared" si="68"/>
        <v>109</v>
      </c>
      <c r="L81" s="1">
        <f t="shared" si="69"/>
        <v>4.6913478822291435</v>
      </c>
      <c r="M81" s="3">
        <f t="shared" si="70"/>
        <v>680.27210884353735</v>
      </c>
      <c r="N81" s="3"/>
      <c r="O81" s="3">
        <f t="shared" si="59"/>
        <v>40816.326530612241</v>
      </c>
      <c r="P81" s="3">
        <f t="shared" si="60"/>
        <v>0</v>
      </c>
      <c r="Q81" s="3">
        <f t="shared" si="61"/>
        <v>88.577097505668917</v>
      </c>
      <c r="R81" s="3">
        <f t="shared" si="62"/>
        <v>0</v>
      </c>
      <c r="S81" s="3">
        <f t="shared" si="71"/>
        <v>109</v>
      </c>
      <c r="T81" s="4">
        <f t="shared" si="72"/>
        <v>94.001099999999994</v>
      </c>
      <c r="U81" s="4"/>
      <c r="V81">
        <f t="shared" si="64"/>
        <v>0.12008994158332</v>
      </c>
      <c r="W81" s="127">
        <f t="shared" si="66"/>
        <v>1.5452453143292119E-2</v>
      </c>
      <c r="X81" s="152">
        <f t="shared" si="65"/>
        <v>1.2426336678185976E-2</v>
      </c>
      <c r="Y81">
        <f t="shared" si="63"/>
        <v>-1.5222262430777822E-7</v>
      </c>
    </row>
    <row r="82" spans="2:25" ht="15" thickBot="1" x14ac:dyDescent="0.35">
      <c r="B82" s="116">
        <f t="shared" si="73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7"/>
        <v>117.19680000000001</v>
      </c>
      <c r="K82" s="1">
        <f t="shared" si="68"/>
        <v>130</v>
      </c>
      <c r="L82" s="1">
        <f t="shared" si="69"/>
        <v>4.8675344504555822</v>
      </c>
      <c r="M82" s="3">
        <f t="shared" si="70"/>
        <v>724.63768115942037</v>
      </c>
      <c r="N82" s="3"/>
      <c r="O82" s="3">
        <f t="shared" si="59"/>
        <v>43478.260869565223</v>
      </c>
      <c r="P82" s="3">
        <f t="shared" si="60"/>
        <v>0</v>
      </c>
      <c r="Q82" s="3">
        <f t="shared" si="61"/>
        <v>94.353864734299535</v>
      </c>
      <c r="R82" s="3">
        <f t="shared" si="62"/>
        <v>0</v>
      </c>
      <c r="S82" s="3">
        <f t="shared" si="71"/>
        <v>130</v>
      </c>
      <c r="T82" s="4">
        <f t="shared" si="72"/>
        <v>117.19680000000001</v>
      </c>
      <c r="U82" s="4"/>
      <c r="V82">
        <f t="shared" si="64"/>
        <v>0.15119588558872002</v>
      </c>
      <c r="W82" s="127">
        <f t="shared" si="66"/>
        <v>1.8263858195575022E-2</v>
      </c>
      <c r="X82" s="152">
        <f t="shared" si="65"/>
        <v>1.5237741730468879E-2</v>
      </c>
      <c r="Y82">
        <f t="shared" si="63"/>
        <v>-1.7523402990039207E-7</v>
      </c>
    </row>
    <row r="83" spans="2:25" x14ac:dyDescent="0.3">
      <c r="B83" s="144">
        <f t="shared" si="73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7"/>
        <v>139.86000000000001</v>
      </c>
      <c r="K83" s="1">
        <f t="shared" si="68"/>
        <v>149</v>
      </c>
      <c r="L83" s="1">
        <f t="shared" si="69"/>
        <v>5.0039463059454592</v>
      </c>
      <c r="M83" s="1">
        <f t="shared" si="70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71"/>
        <v>149</v>
      </c>
      <c r="T83" s="4">
        <f t="shared" si="72"/>
        <v>139.86000000000001</v>
      </c>
      <c r="U83" s="4"/>
      <c r="V83">
        <f t="shared" si="64"/>
        <v>0.18158773537912004</v>
      </c>
      <c r="W83" s="127">
        <f t="shared" si="66"/>
        <v>2.0822423498943188E-2</v>
      </c>
      <c r="X83" s="152">
        <f t="shared" si="65"/>
        <v>1.7796307033837045E-2</v>
      </c>
      <c r="Y83">
        <f t="shared" si="63"/>
        <v>-1.942763517860544E-7</v>
      </c>
    </row>
    <row r="84" spans="2:25" x14ac:dyDescent="0.3">
      <c r="B84" s="144">
        <f t="shared" si="73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7"/>
        <v>177.22499999999999</v>
      </c>
      <c r="K84" s="1">
        <f t="shared" si="68"/>
        <v>164</v>
      </c>
      <c r="L84" s="1">
        <f t="shared" si="69"/>
        <v>5.0998664278241987</v>
      </c>
      <c r="M84" s="1">
        <f t="shared" si="70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71"/>
        <v>164</v>
      </c>
      <c r="T84" s="4">
        <f t="shared" si="72"/>
        <v>177.22499999999999</v>
      </c>
      <c r="U84" s="4"/>
      <c r="V84">
        <f t="shared" si="64"/>
        <v>0.23169502240912002</v>
      </c>
      <c r="W84" s="127">
        <f t="shared" si="66"/>
        <v>2.539185911052097E-2</v>
      </c>
      <c r="X84" s="152">
        <f t="shared" si="65"/>
        <v>2.2365742645414827E-2</v>
      </c>
      <c r="Y84">
        <f t="shared" si="63"/>
        <v>-2.3334924826716135E-7</v>
      </c>
    </row>
    <row r="87" spans="2:25" x14ac:dyDescent="0.3">
      <c r="B87" t="s">
        <v>117</v>
      </c>
      <c r="V87" t="s">
        <v>90</v>
      </c>
      <c r="X87" t="s">
        <v>91</v>
      </c>
    </row>
    <row r="88" spans="2:25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74">C88</f>
        <v>11</v>
      </c>
      <c r="L88" s="1">
        <f t="shared" ref="L88:L102" si="75">LN(K88)</f>
        <v>2.3978952727983707</v>
      </c>
      <c r="M88" s="3">
        <f t="shared" ref="M88:M102" si="76">1/G88/0.000001</f>
        <v>204.91803278688525</v>
      </c>
      <c r="N88" s="3"/>
      <c r="O88" s="3">
        <f t="shared" ref="O88:O100" si="77">M88*60/$X$29</f>
        <v>12295.081967213115</v>
      </c>
      <c r="P88" s="3">
        <f t="shared" ref="P88:P100" si="78">N88*60/$X$29</f>
        <v>0</v>
      </c>
      <c r="Q88" s="3">
        <f t="shared" ref="Q88:Q100" si="79">O88/$X$40*100</f>
        <v>26.682035519125684</v>
      </c>
      <c r="R88" s="3">
        <f t="shared" ref="R88:R100" si="80">P88/$X$40*100</f>
        <v>0</v>
      </c>
      <c r="S88" s="3">
        <f t="shared" ref="S88:S102" si="81">K88</f>
        <v>11</v>
      </c>
      <c r="T88" s="4">
        <f t="shared" ref="T88:T102" si="82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83">-X88/2/O88</f>
        <v>0</v>
      </c>
    </row>
    <row r="89" spans="2:25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4">E89*F89</f>
        <v>10.736400000000001</v>
      </c>
      <c r="K89" s="1">
        <f t="shared" si="74"/>
        <v>15</v>
      </c>
      <c r="L89" s="1">
        <f t="shared" si="75"/>
        <v>2.7080502011022101</v>
      </c>
      <c r="M89" s="3">
        <f t="shared" si="76"/>
        <v>256.41025641025641</v>
      </c>
      <c r="N89" s="3"/>
      <c r="O89" s="3">
        <f t="shared" si="77"/>
        <v>15384.615384615385</v>
      </c>
      <c r="P89" s="3">
        <f t="shared" si="78"/>
        <v>0</v>
      </c>
      <c r="Q89" s="3">
        <f t="shared" si="79"/>
        <v>33.386752136752136</v>
      </c>
      <c r="R89" s="3">
        <f t="shared" si="80"/>
        <v>0</v>
      </c>
      <c r="S89" s="3">
        <f t="shared" si="81"/>
        <v>15</v>
      </c>
      <c r="T89" s="4">
        <f t="shared" si="82"/>
        <v>10.736400000000001</v>
      </c>
      <c r="U89" s="4"/>
      <c r="V89">
        <f t="shared" ref="V89:V102" si="85">T89*0.001341022</f>
        <v>1.4397748600800004E-2</v>
      </c>
      <c r="W89" s="127">
        <f t="shared" ref="W89:W102" si="86">$V89/$O89*5252</f>
        <v>4.9151034173411049E-3</v>
      </c>
      <c r="X89" s="127">
        <f t="shared" ref="X89:X102" si="87">W89-$W$88</f>
        <v>3.5845674991758555E-4</v>
      </c>
      <c r="Y89">
        <f t="shared" si="83"/>
        <v>-1.1649844372321531E-8</v>
      </c>
    </row>
    <row r="90" spans="2:25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4"/>
        <v>14.331199999999999</v>
      </c>
      <c r="K90" s="1">
        <f t="shared" si="74"/>
        <v>20</v>
      </c>
      <c r="L90" s="1">
        <f t="shared" si="75"/>
        <v>2.9957322735539909</v>
      </c>
      <c r="M90" s="3">
        <f t="shared" si="76"/>
        <v>306.74846625766872</v>
      </c>
      <c r="N90" s="3"/>
      <c r="O90" s="3">
        <f t="shared" si="77"/>
        <v>18404.907975460123</v>
      </c>
      <c r="P90" s="3">
        <f t="shared" si="78"/>
        <v>0</v>
      </c>
      <c r="Q90" s="3">
        <f t="shared" si="79"/>
        <v>39.941206543967276</v>
      </c>
      <c r="R90" s="3">
        <f t="shared" si="80"/>
        <v>0</v>
      </c>
      <c r="S90" s="3">
        <f t="shared" si="81"/>
        <v>20</v>
      </c>
      <c r="T90" s="4">
        <f t="shared" si="82"/>
        <v>14.331199999999999</v>
      </c>
      <c r="U90" s="4"/>
      <c r="V90">
        <f t="shared" si="85"/>
        <v>1.92184544864E-2</v>
      </c>
      <c r="W90" s="127">
        <f t="shared" si="86"/>
        <v>5.4841525476331228E-3</v>
      </c>
      <c r="X90" s="127">
        <f t="shared" si="87"/>
        <v>9.2750588020960346E-4</v>
      </c>
      <c r="Y90">
        <f t="shared" si="83"/>
        <v>-2.519724307902756E-8</v>
      </c>
    </row>
    <row r="91" spans="2:25" x14ac:dyDescent="0.3">
      <c r="B91" s="113">
        <f t="shared" ref="B91:B102" si="88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4"/>
        <v>18.75488</v>
      </c>
      <c r="K91" s="1">
        <f t="shared" si="74"/>
        <v>25</v>
      </c>
      <c r="L91" s="1">
        <f t="shared" si="75"/>
        <v>3.2188758248682006</v>
      </c>
      <c r="M91" s="3">
        <f t="shared" si="76"/>
        <v>348.43205574912895</v>
      </c>
      <c r="N91" s="3"/>
      <c r="O91" s="3">
        <f t="shared" si="77"/>
        <v>20905.923344947736</v>
      </c>
      <c r="P91" s="3">
        <f t="shared" si="78"/>
        <v>0</v>
      </c>
      <c r="Q91" s="3">
        <f t="shared" si="79"/>
        <v>45.368757259001164</v>
      </c>
      <c r="R91" s="3">
        <f t="shared" si="80"/>
        <v>0</v>
      </c>
      <c r="S91" s="3">
        <f t="shared" si="81"/>
        <v>25</v>
      </c>
      <c r="T91" s="4">
        <f t="shared" si="82"/>
        <v>18.75488</v>
      </c>
      <c r="U91" s="4"/>
      <c r="V91">
        <f t="shared" si="85"/>
        <v>2.5150706687360001E-2</v>
      </c>
      <c r="W91" s="127">
        <f t="shared" si="86"/>
        <v>6.3183773011363711E-3</v>
      </c>
      <c r="X91" s="127">
        <f t="shared" si="87"/>
        <v>1.7617306337128517E-3</v>
      </c>
      <c r="Y91">
        <f t="shared" si="83"/>
        <v>-4.21347243229657E-8</v>
      </c>
    </row>
    <row r="92" spans="2:25" x14ac:dyDescent="0.3">
      <c r="B92" s="113">
        <f t="shared" si="88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4"/>
        <v>22.945799999999998</v>
      </c>
      <c r="K92" s="1">
        <f t="shared" si="74"/>
        <v>30</v>
      </c>
      <c r="L92" s="1">
        <f t="shared" si="75"/>
        <v>3.4011973816621555</v>
      </c>
      <c r="M92" s="3">
        <f t="shared" si="76"/>
        <v>378.78787878787881</v>
      </c>
      <c r="N92" s="3"/>
      <c r="O92" s="3">
        <f t="shared" si="77"/>
        <v>22727.272727272728</v>
      </c>
      <c r="P92" s="3">
        <f t="shared" si="78"/>
        <v>0</v>
      </c>
      <c r="Q92" s="3">
        <f t="shared" si="79"/>
        <v>49.321338383838388</v>
      </c>
      <c r="R92" s="3">
        <f t="shared" si="80"/>
        <v>0</v>
      </c>
      <c r="S92" s="3">
        <f t="shared" si="81"/>
        <v>30</v>
      </c>
      <c r="T92" s="4">
        <f t="shared" si="82"/>
        <v>22.945799999999998</v>
      </c>
      <c r="U92" s="4"/>
      <c r="V92">
        <f t="shared" si="85"/>
        <v>3.0770822607600001E-2</v>
      </c>
      <c r="W92" s="127">
        <f t="shared" si="86"/>
        <v>7.1107678547450686E-3</v>
      </c>
      <c r="X92" s="127">
        <f t="shared" si="87"/>
        <v>2.5541211873215492E-3</v>
      </c>
      <c r="Y92">
        <f t="shared" si="83"/>
        <v>-5.6190666121074085E-8</v>
      </c>
    </row>
    <row r="93" spans="2:25" x14ac:dyDescent="0.3">
      <c r="B93" s="113">
        <f t="shared" si="88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4"/>
        <v>28.194600000000005</v>
      </c>
      <c r="K93" s="1">
        <f t="shared" si="74"/>
        <v>35</v>
      </c>
      <c r="L93" s="1">
        <f t="shared" si="75"/>
        <v>3.5553480614894135</v>
      </c>
      <c r="M93" s="3">
        <f t="shared" si="76"/>
        <v>416.66666666666669</v>
      </c>
      <c r="N93" s="3"/>
      <c r="O93" s="3">
        <f t="shared" si="77"/>
        <v>25000</v>
      </c>
      <c r="P93" s="3">
        <f t="shared" si="78"/>
        <v>0</v>
      </c>
      <c r="Q93" s="3">
        <f t="shared" si="79"/>
        <v>54.253472222222221</v>
      </c>
      <c r="R93" s="3">
        <f t="shared" si="80"/>
        <v>0</v>
      </c>
      <c r="S93" s="3">
        <f t="shared" si="81"/>
        <v>35</v>
      </c>
      <c r="T93" s="4">
        <f t="shared" si="82"/>
        <v>28.194600000000005</v>
      </c>
      <c r="U93" s="4"/>
      <c r="V93">
        <f t="shared" si="85"/>
        <v>3.7809578881200012E-2</v>
      </c>
      <c r="W93" s="127">
        <f t="shared" si="86"/>
        <v>7.9430363313624987E-3</v>
      </c>
      <c r="X93" s="127">
        <f t="shared" si="87"/>
        <v>3.3863896639389794E-3</v>
      </c>
      <c r="Y93">
        <f t="shared" si="83"/>
        <v>-6.7727793278779586E-8</v>
      </c>
    </row>
    <row r="94" spans="2:25" x14ac:dyDescent="0.3">
      <c r="B94" s="113">
        <f t="shared" si="88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4"/>
        <v>31.509999999999994</v>
      </c>
      <c r="K94" s="1">
        <f t="shared" si="74"/>
        <v>40</v>
      </c>
      <c r="L94" s="1">
        <f t="shared" si="75"/>
        <v>3.6888794541139363</v>
      </c>
      <c r="M94" s="3">
        <f t="shared" si="76"/>
        <v>444.44444444444451</v>
      </c>
      <c r="N94" s="3"/>
      <c r="O94" s="3">
        <f t="shared" si="77"/>
        <v>26666.666666666672</v>
      </c>
      <c r="P94" s="3">
        <f t="shared" si="78"/>
        <v>0</v>
      </c>
      <c r="Q94" s="3">
        <f t="shared" si="79"/>
        <v>57.870370370370381</v>
      </c>
      <c r="R94" s="3">
        <f t="shared" si="80"/>
        <v>0</v>
      </c>
      <c r="S94" s="3">
        <f t="shared" si="81"/>
        <v>40</v>
      </c>
      <c r="T94" s="4">
        <f t="shared" si="82"/>
        <v>31.509999999999994</v>
      </c>
      <c r="U94" s="4"/>
      <c r="V94">
        <f t="shared" si="85"/>
        <v>4.2255603219999993E-2</v>
      </c>
      <c r="W94" s="127">
        <f t="shared" si="86"/>
        <v>8.3222410541789974E-3</v>
      </c>
      <c r="X94" s="127">
        <f t="shared" si="87"/>
        <v>3.765594386755478E-3</v>
      </c>
      <c r="Y94">
        <f t="shared" si="83"/>
        <v>-7.0604894751665205E-8</v>
      </c>
    </row>
    <row r="95" spans="2:25" x14ac:dyDescent="0.3">
      <c r="B95" s="113">
        <f t="shared" si="88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4"/>
        <v>41.222999999999999</v>
      </c>
      <c r="K95" s="1">
        <f t="shared" si="74"/>
        <v>50</v>
      </c>
      <c r="L95" s="1">
        <f t="shared" si="75"/>
        <v>3.912023005428146</v>
      </c>
      <c r="M95" s="3">
        <f t="shared" si="76"/>
        <v>497.51243781094524</v>
      </c>
      <c r="N95" s="3"/>
      <c r="O95" s="3">
        <f t="shared" si="77"/>
        <v>29850.746268656716</v>
      </c>
      <c r="P95" s="3">
        <f t="shared" si="78"/>
        <v>0</v>
      </c>
      <c r="Q95" s="3">
        <f t="shared" si="79"/>
        <v>64.780265339966832</v>
      </c>
      <c r="R95" s="3">
        <f t="shared" si="80"/>
        <v>0</v>
      </c>
      <c r="S95" s="3">
        <f t="shared" si="81"/>
        <v>50</v>
      </c>
      <c r="T95" s="4">
        <f t="shared" si="82"/>
        <v>41.222999999999999</v>
      </c>
      <c r="U95" s="4"/>
      <c r="V95">
        <f t="shared" si="85"/>
        <v>5.5280949906E-2</v>
      </c>
      <c r="W95" s="127">
        <f t="shared" si="86"/>
        <v>9.7262408883614527E-3</v>
      </c>
      <c r="X95" s="127">
        <f t="shared" si="87"/>
        <v>5.1695942209379333E-3</v>
      </c>
      <c r="Y95">
        <f t="shared" si="83"/>
        <v>-8.6590703200710378E-8</v>
      </c>
    </row>
    <row r="96" spans="2:25" x14ac:dyDescent="0.3">
      <c r="B96" s="113">
        <f t="shared" si="88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4"/>
        <v>51.816000000000003</v>
      </c>
      <c r="K96" s="1">
        <f t="shared" si="74"/>
        <v>60</v>
      </c>
      <c r="L96" s="1">
        <f t="shared" si="75"/>
        <v>4.0943445622221004</v>
      </c>
      <c r="M96" s="3">
        <f t="shared" si="76"/>
        <v>531.91489361702133</v>
      </c>
      <c r="N96" s="3"/>
      <c r="O96" s="3">
        <f t="shared" si="77"/>
        <v>31914.89361702128</v>
      </c>
      <c r="P96" s="3">
        <f t="shared" si="78"/>
        <v>0</v>
      </c>
      <c r="Q96" s="3">
        <f t="shared" si="79"/>
        <v>69.259751773049643</v>
      </c>
      <c r="R96" s="3">
        <f t="shared" si="80"/>
        <v>0</v>
      </c>
      <c r="S96" s="3">
        <f t="shared" si="81"/>
        <v>60</v>
      </c>
      <c r="T96" s="4">
        <f t="shared" si="82"/>
        <v>51.816000000000003</v>
      </c>
      <c r="U96" s="4"/>
      <c r="V96">
        <f t="shared" si="85"/>
        <v>6.9486395952000013E-2</v>
      </c>
      <c r="W96" s="127">
        <f t="shared" si="86"/>
        <v>1.1434866614916992E-2</v>
      </c>
      <c r="X96" s="127">
        <f t="shared" si="87"/>
        <v>6.8782199474934731E-3</v>
      </c>
      <c r="Y96">
        <f t="shared" si="83"/>
        <v>-1.0775877917739773E-7</v>
      </c>
    </row>
    <row r="97" spans="2:25" x14ac:dyDescent="0.3">
      <c r="B97" s="113">
        <f t="shared" si="88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4"/>
        <v>66.481399999999994</v>
      </c>
      <c r="K97" s="1">
        <f t="shared" si="74"/>
        <v>75</v>
      </c>
      <c r="L97" s="1">
        <f t="shared" si="75"/>
        <v>4.3174881135363101</v>
      </c>
      <c r="M97" s="3">
        <f t="shared" si="76"/>
        <v>613.49693251533745</v>
      </c>
      <c r="N97" s="3"/>
      <c r="O97" s="3">
        <f t="shared" si="77"/>
        <v>36809.815950920245</v>
      </c>
      <c r="P97" s="3">
        <f t="shared" si="78"/>
        <v>0</v>
      </c>
      <c r="Q97" s="3">
        <f t="shared" si="79"/>
        <v>79.882413087934552</v>
      </c>
      <c r="R97" s="3">
        <f t="shared" si="80"/>
        <v>0</v>
      </c>
      <c r="S97" s="3">
        <f t="shared" si="81"/>
        <v>75</v>
      </c>
      <c r="T97" s="4">
        <f t="shared" si="82"/>
        <v>66.481399999999994</v>
      </c>
      <c r="U97" s="4"/>
      <c r="V97">
        <f t="shared" si="85"/>
        <v>8.9153019990799998E-2</v>
      </c>
      <c r="W97" s="127">
        <f t="shared" si="86"/>
        <v>1.2720293456940682E-2</v>
      </c>
      <c r="X97" s="127">
        <f t="shared" si="87"/>
        <v>8.1636467895171635E-3</v>
      </c>
      <c r="Y97">
        <f t="shared" si="83"/>
        <v>-1.1088953555760814E-7</v>
      </c>
    </row>
    <row r="98" spans="2:25" x14ac:dyDescent="0.3">
      <c r="B98" s="113">
        <f t="shared" si="88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4"/>
        <v>80.820000000000007</v>
      </c>
      <c r="K98" s="1">
        <f t="shared" si="74"/>
        <v>90</v>
      </c>
      <c r="L98" s="1">
        <f t="shared" si="75"/>
        <v>4.499809670330265</v>
      </c>
      <c r="M98" s="3">
        <f t="shared" si="76"/>
        <v>657.89473684210532</v>
      </c>
      <c r="N98" s="3"/>
      <c r="O98" s="3">
        <f t="shared" si="77"/>
        <v>39473.68421052632</v>
      </c>
      <c r="P98" s="3">
        <f t="shared" si="78"/>
        <v>0</v>
      </c>
      <c r="Q98" s="3">
        <f t="shared" si="79"/>
        <v>85.663377192982466</v>
      </c>
      <c r="R98" s="3">
        <f t="shared" si="80"/>
        <v>0</v>
      </c>
      <c r="S98" s="3">
        <f t="shared" si="81"/>
        <v>90</v>
      </c>
      <c r="T98" s="4">
        <f t="shared" si="82"/>
        <v>80.820000000000007</v>
      </c>
      <c r="U98" s="4"/>
      <c r="V98">
        <f t="shared" si="85"/>
        <v>0.10838139804000002</v>
      </c>
      <c r="W98" s="127">
        <f t="shared" si="86"/>
        <v>1.4420217263487361E-2</v>
      </c>
      <c r="X98" s="127">
        <f t="shared" si="87"/>
        <v>9.8635705960638427E-3</v>
      </c>
      <c r="Y98">
        <f t="shared" si="83"/>
        <v>-1.2493856088347532E-7</v>
      </c>
    </row>
    <row r="99" spans="2:25" x14ac:dyDescent="0.3">
      <c r="B99" s="113">
        <f t="shared" si="88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4"/>
        <v>99.012000000000015</v>
      </c>
      <c r="K99" s="1">
        <f t="shared" si="74"/>
        <v>109</v>
      </c>
      <c r="L99" s="1">
        <f t="shared" si="75"/>
        <v>4.6913478822291435</v>
      </c>
      <c r="M99" s="3">
        <f t="shared" si="76"/>
        <v>719.42446043165478</v>
      </c>
      <c r="N99" s="3"/>
      <c r="O99" s="3">
        <f t="shared" si="77"/>
        <v>43165.467625899284</v>
      </c>
      <c r="P99" s="3">
        <f t="shared" si="78"/>
        <v>0</v>
      </c>
      <c r="Q99" s="3">
        <f t="shared" si="79"/>
        <v>93.675059952038382</v>
      </c>
      <c r="R99" s="3">
        <f t="shared" si="80"/>
        <v>0</v>
      </c>
      <c r="S99" s="3">
        <f t="shared" si="81"/>
        <v>109</v>
      </c>
      <c r="T99" s="4">
        <f t="shared" si="82"/>
        <v>99.012000000000015</v>
      </c>
      <c r="U99" s="4"/>
      <c r="V99">
        <f t="shared" si="85"/>
        <v>0.13277727026400002</v>
      </c>
      <c r="W99" s="127">
        <f t="shared" si="86"/>
        <v>1.6155187509381233E-2</v>
      </c>
      <c r="X99" s="127">
        <f t="shared" si="87"/>
        <v>1.1598540841957713E-2</v>
      </c>
      <c r="Y99">
        <f t="shared" si="83"/>
        <v>-1.3434976475267684E-7</v>
      </c>
    </row>
    <row r="100" spans="2:25" ht="15" thickBot="1" x14ac:dyDescent="0.35">
      <c r="B100" s="116">
        <f t="shared" si="88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4"/>
        <v>118.28099999999999</v>
      </c>
      <c r="K100" s="1">
        <f t="shared" si="74"/>
        <v>130</v>
      </c>
      <c r="L100" s="1">
        <f t="shared" si="75"/>
        <v>4.8675344504555822</v>
      </c>
      <c r="M100" s="3">
        <f t="shared" si="76"/>
        <v>740.74074074074076</v>
      </c>
      <c r="N100" s="3"/>
      <c r="O100" s="3">
        <f t="shared" si="77"/>
        <v>44444.444444444445</v>
      </c>
      <c r="P100" s="3">
        <f t="shared" si="78"/>
        <v>0</v>
      </c>
      <c r="Q100" s="3">
        <f t="shared" si="79"/>
        <v>96.450617283950621</v>
      </c>
      <c r="R100" s="3">
        <f t="shared" si="80"/>
        <v>0</v>
      </c>
      <c r="S100" s="3">
        <f t="shared" si="81"/>
        <v>130</v>
      </c>
      <c r="T100" s="4">
        <f t="shared" si="82"/>
        <v>118.28099999999999</v>
      </c>
      <c r="U100" s="4"/>
      <c r="V100">
        <f t="shared" si="85"/>
        <v>0.15861742318200001</v>
      </c>
      <c r="W100" s="127">
        <f t="shared" si="86"/>
        <v>1.8743820897416941E-2</v>
      </c>
      <c r="X100" s="127">
        <f t="shared" si="87"/>
        <v>1.418717422999342E-2</v>
      </c>
      <c r="Y100">
        <f t="shared" si="83"/>
        <v>-1.5960571008742599E-7</v>
      </c>
    </row>
    <row r="101" spans="2:25" x14ac:dyDescent="0.3">
      <c r="B101" s="144">
        <f t="shared" si="88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4"/>
        <v>152.48400000000001</v>
      </c>
      <c r="K101" s="1">
        <f t="shared" si="74"/>
        <v>152</v>
      </c>
      <c r="L101" s="1">
        <f t="shared" si="75"/>
        <v>5.0238805208462765</v>
      </c>
      <c r="M101" s="1">
        <f t="shared" si="76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81"/>
        <v>152</v>
      </c>
      <c r="T101" s="4">
        <f t="shared" si="82"/>
        <v>152.48400000000001</v>
      </c>
      <c r="U101" s="4"/>
      <c r="V101">
        <f t="shared" si="85"/>
        <v>0.20448439864800003</v>
      </c>
      <c r="W101" s="127">
        <f t="shared" si="86"/>
        <v>2.2910977316251649E-2</v>
      </c>
      <c r="X101" s="127">
        <f t="shared" si="87"/>
        <v>1.8354330648828129E-2</v>
      </c>
      <c r="Y101">
        <f t="shared" si="83"/>
        <v>-1.9577952692083334E-7</v>
      </c>
    </row>
    <row r="102" spans="2:25" x14ac:dyDescent="0.3">
      <c r="B102" s="144">
        <f t="shared" si="88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4"/>
        <v>183.08879999999999</v>
      </c>
      <c r="K102" s="1">
        <f t="shared" si="74"/>
        <v>164</v>
      </c>
      <c r="L102" s="1">
        <f t="shared" si="75"/>
        <v>5.0998664278241987</v>
      </c>
      <c r="M102" s="1">
        <f t="shared" si="76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81"/>
        <v>164</v>
      </c>
      <c r="T102" s="4">
        <f t="shared" si="82"/>
        <v>183.08879999999999</v>
      </c>
      <c r="U102" s="4"/>
      <c r="V102">
        <f t="shared" si="85"/>
        <v>0.24552610875360001</v>
      </c>
      <c r="W102" s="127">
        <f t="shared" si="86"/>
        <v>2.6563764337382487E-2</v>
      </c>
      <c r="X102" s="127">
        <f t="shared" si="87"/>
        <v>2.2007117669958966E-2</v>
      </c>
      <c r="Y102">
        <f t="shared" si="83"/>
        <v>-2.2667331200057733E-7</v>
      </c>
    </row>
    <row r="103" spans="2:25" x14ac:dyDescent="0.3">
      <c r="W103" s="127"/>
    </row>
    <row r="104" spans="2:25" x14ac:dyDescent="0.3">
      <c r="W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opLeftCell="AU7" zoomScaleNormal="100" zoomScaleSheetLayoutView="80" workbookViewId="0">
      <selection activeCell="BE18" sqref="BE18"/>
    </sheetView>
  </sheetViews>
  <sheetFormatPr defaultRowHeight="14.4" x14ac:dyDescent="0.3"/>
  <cols>
    <col min="53" max="53" width="13.77734375" bestFit="1" customWidth="1"/>
    <col min="54" max="55" width="13.77734375" customWidth="1"/>
    <col min="56" max="56" width="9.5546875" bestFit="1" customWidth="1"/>
    <col min="57" max="57" width="9.88671875" bestFit="1" customWidth="1"/>
    <col min="58" max="58" width="10.44140625" customWidth="1"/>
    <col min="61" max="61" width="11.88671875" customWidth="1"/>
  </cols>
  <sheetData>
    <row r="1" spans="1:74" x14ac:dyDescent="0.3">
      <c r="A1" t="s">
        <v>256</v>
      </c>
      <c r="B1" t="s">
        <v>258</v>
      </c>
      <c r="C1" t="s">
        <v>257</v>
      </c>
      <c r="D1" t="s">
        <v>256</v>
      </c>
      <c r="F1" t="s">
        <v>255</v>
      </c>
      <c r="G1" t="s">
        <v>254</v>
      </c>
      <c r="H1" t="s">
        <v>253</v>
      </c>
      <c r="I1" t="s">
        <v>252</v>
      </c>
      <c r="K1" t="s">
        <v>251</v>
      </c>
      <c r="L1" t="s">
        <v>250</v>
      </c>
      <c r="M1" t="s">
        <v>249</v>
      </c>
      <c r="N1" t="s">
        <v>248</v>
      </c>
      <c r="Q1" t="s">
        <v>247</v>
      </c>
      <c r="R1" t="s">
        <v>246</v>
      </c>
      <c r="S1" t="s">
        <v>245</v>
      </c>
      <c r="T1" t="s">
        <v>244</v>
      </c>
      <c r="V1" t="s">
        <v>243</v>
      </c>
      <c r="W1" t="s">
        <v>242</v>
      </c>
      <c r="X1" t="s">
        <v>241</v>
      </c>
      <c r="Y1" t="s">
        <v>240</v>
      </c>
      <c r="AA1" t="s">
        <v>239</v>
      </c>
      <c r="AB1" t="s">
        <v>238</v>
      </c>
      <c r="AC1" t="s">
        <v>237</v>
      </c>
      <c r="AD1" t="s">
        <v>236</v>
      </c>
      <c r="AF1" t="s">
        <v>235</v>
      </c>
      <c r="AG1" t="s">
        <v>234</v>
      </c>
      <c r="AH1" t="s">
        <v>233</v>
      </c>
      <c r="AI1" t="s">
        <v>232</v>
      </c>
      <c r="AK1" t="s">
        <v>231</v>
      </c>
      <c r="AL1" t="s">
        <v>230</v>
      </c>
      <c r="AM1" t="s">
        <v>229</v>
      </c>
      <c r="AN1" t="s">
        <v>228</v>
      </c>
      <c r="AP1" t="s">
        <v>227</v>
      </c>
      <c r="AQ1" t="s">
        <v>226</v>
      </c>
      <c r="AR1" t="s">
        <v>225</v>
      </c>
      <c r="AS1" t="s">
        <v>224</v>
      </c>
      <c r="AU1" t="s">
        <v>132</v>
      </c>
      <c r="AV1" t="s">
        <v>100</v>
      </c>
      <c r="AW1" t="s">
        <v>131</v>
      </c>
      <c r="AX1" t="s">
        <v>223</v>
      </c>
      <c r="AY1" t="s">
        <v>100</v>
      </c>
      <c r="AZ1" t="s">
        <v>222</v>
      </c>
      <c r="BA1" t="s">
        <v>221</v>
      </c>
      <c r="BB1" t="s">
        <v>220</v>
      </c>
      <c r="BC1" t="s">
        <v>219</v>
      </c>
      <c r="BD1" t="s">
        <v>153</v>
      </c>
      <c r="BE1" t="s">
        <v>218</v>
      </c>
      <c r="BF1" t="s">
        <v>154</v>
      </c>
      <c r="BG1" t="s">
        <v>260</v>
      </c>
      <c r="BM1" t="s">
        <v>209</v>
      </c>
      <c r="BN1" t="s">
        <v>217</v>
      </c>
      <c r="BO1" t="s">
        <v>216</v>
      </c>
      <c r="BP1" t="s">
        <v>215</v>
      </c>
      <c r="BQ1" t="s">
        <v>214</v>
      </c>
      <c r="BR1" t="s">
        <v>213</v>
      </c>
      <c r="BS1" t="s">
        <v>212</v>
      </c>
      <c r="BT1" t="s">
        <v>211</v>
      </c>
    </row>
    <row r="2" spans="1:74" x14ac:dyDescent="0.3">
      <c r="A2">
        <v>0.15848999999999999</v>
      </c>
      <c r="B2">
        <v>-4.9408320000000003</v>
      </c>
      <c r="C2">
        <v>-2.994281</v>
      </c>
      <c r="D2">
        <v>0.15848999999999999</v>
      </c>
      <c r="F2">
        <v>-0.42992900000000001</v>
      </c>
      <c r="G2">
        <v>-4.1864169999999996</v>
      </c>
      <c r="H2">
        <f t="shared" ref="H2:H27" si="0">F2-$BS2</f>
        <v>-0.42774745840454065</v>
      </c>
      <c r="I2">
        <f t="shared" ref="I2:I27" si="1">G2-$BT2</f>
        <v>-2.3704074257768983</v>
      </c>
      <c r="K2">
        <v>-2.8938109999999999</v>
      </c>
      <c r="L2">
        <v>-2.904855</v>
      </c>
      <c r="M2">
        <f t="shared" ref="M2:M27" si="2">K2-$BS2+2.9</f>
        <v>8.3705415954593576E-3</v>
      </c>
      <c r="N2">
        <f t="shared" ref="N2:N27" si="3">L2-$BT2</f>
        <v>-1.0888454257768985</v>
      </c>
      <c r="Q2">
        <v>-5.2822250000000004</v>
      </c>
      <c r="R2">
        <v>-3.2415039999999999</v>
      </c>
      <c r="S2">
        <f t="shared" ref="S2:S27" si="4">Q2-$BS2+5</f>
        <v>-0.28004345840454103</v>
      </c>
      <c r="T2">
        <f t="shared" ref="T2:T27" si="5">R2-$BT2</f>
        <v>-1.4254944257768984</v>
      </c>
      <c r="V2">
        <v>-6.5492330000000001</v>
      </c>
      <c r="W2">
        <v>-2.0257909999999999</v>
      </c>
      <c r="X2">
        <f t="shared" ref="X2:X27" si="6">V2-$BS2+6.5</f>
        <v>-4.7051458404540725E-2</v>
      </c>
      <c r="Y2">
        <f t="shared" ref="Y2:Y27" si="7">W2-$BT2</f>
        <v>-0.2097814257768984</v>
      </c>
      <c r="AA2">
        <v>-8.7596170000000004</v>
      </c>
      <c r="AB2">
        <v>-3.2052520000000002</v>
      </c>
      <c r="AC2">
        <f t="shared" ref="AC2:AC27" si="8">AA2-$BS2+8.5</f>
        <v>-0.25743545840454196</v>
      </c>
      <c r="AD2">
        <f t="shared" ref="AD2:AD27" si="9">AB2-$BT2</f>
        <v>-1.3892424257768987</v>
      </c>
      <c r="AF2">
        <v>-9.9920299999999997</v>
      </c>
      <c r="AG2">
        <v>-3.2547579999999998</v>
      </c>
      <c r="AH2">
        <f t="shared" ref="AH2:AH27" si="10">AF2-$BS2+8.5+1</f>
        <v>-0.48984845840454128</v>
      </c>
      <c r="AI2">
        <f t="shared" ref="AI2:AI27" si="11">AG2-$BT2</f>
        <v>-1.4387484257768983</v>
      </c>
      <c r="AK2">
        <v>-10.370361000000001</v>
      </c>
      <c r="AL2">
        <v>-0.93419300000000005</v>
      </c>
      <c r="AM2">
        <f t="shared" ref="AM2:AM27" si="12">AK2-$BS2+8.5+1.8</f>
        <v>-6.8179458404542315E-2</v>
      </c>
      <c r="AN2">
        <f t="shared" ref="AN2:AN27" si="13">AL2-$BT2</f>
        <v>0.88181657422310145</v>
      </c>
      <c r="AP2">
        <v>-12.910539</v>
      </c>
      <c r="AQ2">
        <v>-2.5300259999999999</v>
      </c>
      <c r="AR2">
        <f t="shared" ref="AR2:AR27" si="14">AP2-$BS2+8.5+1.8+2.5</f>
        <v>-0.1083574584045417</v>
      </c>
      <c r="AS2">
        <f t="shared" ref="AS2:AS27" si="15">AQ2-$BT2</f>
        <v>-0.71401642577689839</v>
      </c>
      <c r="AU2">
        <f t="shared" ref="AU2:AU10" si="16">AV2*$AX$13</f>
        <v>7372.8</v>
      </c>
      <c r="AV2">
        <v>16</v>
      </c>
      <c r="AW2">
        <v>0.33</v>
      </c>
      <c r="AX2">
        <f t="shared" ref="AX2:AX10" si="17">$AX$12*$AV2^$AY$12</f>
        <v>0.3917732370086745</v>
      </c>
      <c r="AY2">
        <v>20</v>
      </c>
      <c r="AZ2">
        <f t="shared" ref="AZ2:AZ10" si="18">10^(LOG10($AX2/$AX$12)/$AY$12)</f>
        <v>16.000000000000007</v>
      </c>
      <c r="BA2" s="146">
        <f>$AX$14+$AY$14*$AV2*$AX$13+$AZ$14*($AV2*$AX$13)^2</f>
        <v>2.3663188085633704E-4</v>
      </c>
      <c r="BB2" s="146">
        <f>BB3</f>
        <v>1.0190599989802014E-7</v>
      </c>
      <c r="BC2" s="146">
        <f>$AY$14+2*$AV2*$AZ$14*$AX$13</f>
        <v>6.9047658670256907E-8</v>
      </c>
      <c r="BD2" s="146">
        <f t="shared" ref="BD2:BD10" si="19">$AV2*$AX$13*$BA2/5252</f>
        <v>3.3218574470251366E-4</v>
      </c>
      <c r="BE2" s="146">
        <f t="shared" ref="BE2:BE10" si="20">$AX$11+$AY$11*$AV2*$AX$13+$AZ$11*($AV2*$AX$13)^2</f>
        <v>5.2572163702912741E-4</v>
      </c>
      <c r="BF2" s="146">
        <f t="shared" ref="BF2:BF10" si="21">$AV2*$AX$13*$BE2/5252</f>
        <v>7.3801227827272476E-4</v>
      </c>
      <c r="BH2" s="159" t="s">
        <v>64</v>
      </c>
      <c r="BI2" s="159" t="s">
        <v>81</v>
      </c>
      <c r="BJ2" s="159" t="s">
        <v>101</v>
      </c>
      <c r="BK2" s="159" t="s">
        <v>210</v>
      </c>
      <c r="BL2" s="159"/>
      <c r="BM2" t="str">
        <f t="shared" ref="BM2:BM33" si="22">COMPLEX(1,$A2*$BV$2)</f>
        <v>1+0.015849i</v>
      </c>
      <c r="BN2">
        <f t="shared" ref="BN2:BN33" si="23">20*LOG10(1/IMABS(BM2))</f>
        <v>-1.0907707977296768E-3</v>
      </c>
      <c r="BO2">
        <f t="shared" ref="BO2:BO33" si="24">-ATAN2(IMREAL(BM2),IMAGINARY(BM2))*180/PI()</f>
        <v>-0.90800478711155075</v>
      </c>
      <c r="BP2" t="str">
        <f t="shared" ref="BP2:BP33" si="25">COMPLEX(1,$A2*$BV$2)</f>
        <v>1+0.015849i</v>
      </c>
      <c r="BQ2">
        <f t="shared" ref="BQ2:BQ33" si="26">20*LOG10(1/IMABS(BP2))</f>
        <v>-1.0907707977296768E-3</v>
      </c>
      <c r="BR2">
        <f t="shared" ref="BR2:BR33" si="27">-ATAN2(IMREAL(BP2),IMAGINARY(BP2))*180/PI()</f>
        <v>-0.90800478711155075</v>
      </c>
      <c r="BS2">
        <f t="shared" ref="BS2:BS33" si="28">BN2+BQ2</f>
        <v>-2.1815415954593536E-3</v>
      </c>
      <c r="BT2">
        <f t="shared" ref="BT2:BT33" si="29">BO2+BR2</f>
        <v>-1.8160095742231015</v>
      </c>
      <c r="BU2" t="s">
        <v>209</v>
      </c>
      <c r="BV2">
        <v>0.1</v>
      </c>
    </row>
    <row r="3" spans="1:74" x14ac:dyDescent="0.3">
      <c r="A3">
        <v>0.19952600000000001</v>
      </c>
      <c r="B3">
        <v>-4.7440859999999994</v>
      </c>
      <c r="C3">
        <v>-4.7175609999999999</v>
      </c>
      <c r="D3">
        <v>0.19952600000000001</v>
      </c>
      <c r="F3">
        <v>-0.23302899999999999</v>
      </c>
      <c r="G3">
        <v>-5.5567060000000001</v>
      </c>
      <c r="H3">
        <f t="shared" si="0"/>
        <v>-0.22957178120096469</v>
      </c>
      <c r="I3">
        <f t="shared" si="1"/>
        <v>-3.2706097969014087</v>
      </c>
      <c r="K3">
        <v>-2.8889740000000002</v>
      </c>
      <c r="L3">
        <v>-4.0108730000000001</v>
      </c>
      <c r="M3">
        <f t="shared" si="2"/>
        <v>1.4483218799035136E-2</v>
      </c>
      <c r="N3">
        <f t="shared" si="3"/>
        <v>-1.7247767969014087</v>
      </c>
      <c r="Q3">
        <v>-5.1479369999999998</v>
      </c>
      <c r="R3">
        <v>-3.4354170000000002</v>
      </c>
      <c r="S3">
        <f t="shared" si="4"/>
        <v>-0.14447978120096483</v>
      </c>
      <c r="T3">
        <f t="shared" si="5"/>
        <v>-1.1493207969014088</v>
      </c>
      <c r="V3">
        <v>-6.7811310000000002</v>
      </c>
      <c r="W3">
        <v>-3.739557</v>
      </c>
      <c r="X3">
        <f t="shared" si="6"/>
        <v>-0.27767378120096531</v>
      </c>
      <c r="Y3">
        <f t="shared" si="7"/>
        <v>-1.4534607969014086</v>
      </c>
      <c r="AA3">
        <v>-8.5261110000000002</v>
      </c>
      <c r="AB3">
        <v>-4.2732029999999996</v>
      </c>
      <c r="AC3">
        <f t="shared" si="8"/>
        <v>-2.2653781200965284E-2</v>
      </c>
      <c r="AD3">
        <f t="shared" si="9"/>
        <v>-1.9871067969014082</v>
      </c>
      <c r="AF3">
        <v>-9.4582370000000004</v>
      </c>
      <c r="AG3">
        <v>-3.0504989999999998</v>
      </c>
      <c r="AH3">
        <f t="shared" si="10"/>
        <v>4.5220218799034484E-2</v>
      </c>
      <c r="AI3">
        <f t="shared" si="11"/>
        <v>-0.76440279690140844</v>
      </c>
      <c r="AK3">
        <v>-10.658111999999999</v>
      </c>
      <c r="AL3">
        <v>-1.585437</v>
      </c>
      <c r="AM3">
        <f t="shared" si="12"/>
        <v>-0.35465478120096416</v>
      </c>
      <c r="AN3">
        <f t="shared" si="13"/>
        <v>0.70065920309859142</v>
      </c>
      <c r="AP3">
        <v>-12.907645</v>
      </c>
      <c r="AQ3">
        <v>-6.5651609999999998</v>
      </c>
      <c r="AR3">
        <f t="shared" si="14"/>
        <v>-0.10418778120096572</v>
      </c>
      <c r="AS3">
        <f t="shared" si="15"/>
        <v>-4.2790647969014088</v>
      </c>
      <c r="AU3">
        <f t="shared" si="16"/>
        <v>9216</v>
      </c>
      <c r="AV3">
        <v>20</v>
      </c>
      <c r="AW3">
        <v>0.28000000000000003</v>
      </c>
      <c r="AX3">
        <f t="shared" si="17"/>
        <v>0.27537020278635105</v>
      </c>
      <c r="AY3">
        <v>20</v>
      </c>
      <c r="AZ3">
        <f t="shared" si="18"/>
        <v>19.999999999999996</v>
      </c>
      <c r="BA3" s="146">
        <f t="shared" ref="BA3:BA10" si="30">$AX$14+$AY$14*$AV3*$AX$13+$AZ$14*($AV3*$AX$13)^2</f>
        <v>4.2446501986836776E-4</v>
      </c>
      <c r="BB3" s="146">
        <f t="shared" ref="BB3:BB10" si="31">(BA3-BA2)/(AU3-AU2)</f>
        <v>1.0190599989802014E-7</v>
      </c>
      <c r="BC3" s="146">
        <f t="shared" ref="BC3:BC10" si="32">$AY$14+2*$AV3*$AZ$14*$AX$13</f>
        <v>1.3476434112578325E-7</v>
      </c>
      <c r="BD3" s="146">
        <f t="shared" si="19"/>
        <v>7.4483427705766901E-4</v>
      </c>
      <c r="BE3" s="146">
        <f t="shared" si="20"/>
        <v>3.9770094161169982E-4</v>
      </c>
      <c r="BF3" s="146">
        <f t="shared" si="21"/>
        <v>6.978697406499287E-4</v>
      </c>
      <c r="BH3" s="159">
        <v>0</v>
      </c>
      <c r="BI3" s="159"/>
      <c r="BJ3" s="159"/>
      <c r="BK3" s="159"/>
      <c r="BL3" s="159"/>
      <c r="BM3" t="str">
        <f t="shared" si="22"/>
        <v>1+0.0199526i</v>
      </c>
      <c r="BN3">
        <f t="shared" si="23"/>
        <v>-1.7286093995176428E-3</v>
      </c>
      <c r="BO3">
        <f t="shared" si="24"/>
        <v>-1.1430481015492957</v>
      </c>
      <c r="BP3" t="str">
        <f t="shared" si="25"/>
        <v>1+0.0199526i</v>
      </c>
      <c r="BQ3">
        <f t="shared" si="26"/>
        <v>-1.7286093995176428E-3</v>
      </c>
      <c r="BR3">
        <f t="shared" si="27"/>
        <v>-1.1430481015492957</v>
      </c>
      <c r="BS3">
        <f t="shared" si="28"/>
        <v>-3.4572187990352856E-3</v>
      </c>
      <c r="BT3">
        <f t="shared" si="29"/>
        <v>-2.2860962030985914</v>
      </c>
      <c r="BU3" t="s">
        <v>208</v>
      </c>
      <c r="BV3">
        <v>0.1</v>
      </c>
    </row>
    <row r="4" spans="1:74" x14ac:dyDescent="0.3">
      <c r="A4">
        <v>0.25118699999999999</v>
      </c>
      <c r="B4">
        <v>-4.6149339999999999</v>
      </c>
      <c r="C4">
        <v>-5.3965300000000003</v>
      </c>
      <c r="D4">
        <v>0.25118699999999999</v>
      </c>
      <c r="F4">
        <v>-0.26123000000000002</v>
      </c>
      <c r="G4">
        <v>-6.5221330000000002</v>
      </c>
      <c r="H4">
        <f t="shared" si="0"/>
        <v>-0.25575137402505432</v>
      </c>
      <c r="I4">
        <f t="shared" si="1"/>
        <v>-3.644347149942841</v>
      </c>
      <c r="K4">
        <v>-2.980829</v>
      </c>
      <c r="L4">
        <v>-4.9779210000000003</v>
      </c>
      <c r="M4">
        <f t="shared" si="2"/>
        <v>-7.535037402505429E-2</v>
      </c>
      <c r="N4">
        <f t="shared" si="3"/>
        <v>-2.1001351499428411</v>
      </c>
      <c r="Q4">
        <v>-4.8882909999999997</v>
      </c>
      <c r="R4">
        <v>-4.0246870000000001</v>
      </c>
      <c r="S4">
        <f t="shared" si="4"/>
        <v>0.11718762597494603</v>
      </c>
      <c r="T4">
        <f t="shared" si="5"/>
        <v>-1.146901149942841</v>
      </c>
      <c r="V4">
        <v>-6.6150640000000003</v>
      </c>
      <c r="W4">
        <v>-4.0613539999999997</v>
      </c>
      <c r="X4">
        <f t="shared" si="6"/>
        <v>-0.10958537402505453</v>
      </c>
      <c r="Y4">
        <f t="shared" si="7"/>
        <v>-1.1835681499428405</v>
      </c>
      <c r="AA4">
        <v>-8.7095579999999995</v>
      </c>
      <c r="AB4">
        <v>-5.7330870000000003</v>
      </c>
      <c r="AC4">
        <f t="shared" si="8"/>
        <v>-0.20407937402505461</v>
      </c>
      <c r="AD4">
        <f t="shared" si="9"/>
        <v>-2.8553011499428411</v>
      </c>
      <c r="AF4">
        <v>-9.5221579999999992</v>
      </c>
      <c r="AG4">
        <v>-3.4055939999999998</v>
      </c>
      <c r="AH4">
        <f t="shared" si="10"/>
        <v>-1.6679374025054372E-2</v>
      </c>
      <c r="AI4">
        <f t="shared" si="11"/>
        <v>-0.52780814994284064</v>
      </c>
      <c r="AK4">
        <v>-10.468105</v>
      </c>
      <c r="AL4">
        <v>-4.0954360000000003</v>
      </c>
      <c r="AM4">
        <f t="shared" si="12"/>
        <v>-0.16262637402505464</v>
      </c>
      <c r="AN4">
        <f t="shared" si="13"/>
        <v>-1.2176501499428412</v>
      </c>
      <c r="AP4">
        <v>-12.419302</v>
      </c>
      <c r="AQ4">
        <v>-7.9671830000000003</v>
      </c>
      <c r="AR4">
        <f t="shared" si="14"/>
        <v>0.38617662597494462</v>
      </c>
      <c r="AS4">
        <f t="shared" si="15"/>
        <v>-5.0893971499428412</v>
      </c>
      <c r="AU4">
        <f t="shared" si="16"/>
        <v>11520</v>
      </c>
      <c r="AV4">
        <v>25</v>
      </c>
      <c r="AW4">
        <v>0.19</v>
      </c>
      <c r="AX4">
        <f t="shared" si="17"/>
        <v>0.19355265092014706</v>
      </c>
      <c r="AY4">
        <v>25</v>
      </c>
      <c r="AZ4">
        <f t="shared" si="18"/>
        <v>24.999999999999996</v>
      </c>
      <c r="BA4" s="146">
        <f t="shared" si="30"/>
        <v>8.2959408455812993E-4</v>
      </c>
      <c r="BB4" s="146">
        <f t="shared" si="31"/>
        <v>1.7583726766048705E-7</v>
      </c>
      <c r="BC4" s="146">
        <f t="shared" si="32"/>
        <v>2.1691019419519116E-7</v>
      </c>
      <c r="BD4" s="146">
        <f t="shared" si="19"/>
        <v>1.8196732395486779E-3</v>
      </c>
      <c r="BE4" s="146">
        <f t="shared" si="20"/>
        <v>3.7455395613344858E-4</v>
      </c>
      <c r="BF4" s="146">
        <f t="shared" si="21"/>
        <v>8.2156541787077825E-4</v>
      </c>
      <c r="BH4" s="159">
        <v>0</v>
      </c>
      <c r="BI4" s="159"/>
      <c r="BJ4" s="159"/>
      <c r="BK4" s="159"/>
      <c r="BL4" s="159"/>
      <c r="BM4" t="str">
        <f t="shared" si="22"/>
        <v>1+0.0251187i</v>
      </c>
      <c r="BN4">
        <f t="shared" si="23"/>
        <v>-2.7393129874728594E-3</v>
      </c>
      <c r="BO4">
        <f t="shared" si="24"/>
        <v>-1.4388929250285796</v>
      </c>
      <c r="BP4" t="str">
        <f t="shared" si="25"/>
        <v>1+0.0251187i</v>
      </c>
      <c r="BQ4">
        <f t="shared" si="26"/>
        <v>-2.7393129874728594E-3</v>
      </c>
      <c r="BR4">
        <f t="shared" si="27"/>
        <v>-1.4388929250285796</v>
      </c>
      <c r="BS4">
        <f t="shared" si="28"/>
        <v>-5.4786259749457188E-3</v>
      </c>
      <c r="BT4">
        <f t="shared" si="29"/>
        <v>-2.8777858500571591</v>
      </c>
    </row>
    <row r="5" spans="1:74" x14ac:dyDescent="0.3">
      <c r="A5">
        <v>0.31623099999999998</v>
      </c>
      <c r="B5">
        <v>-4.6418189999999999</v>
      </c>
      <c r="C5">
        <v>-7.2550369999999997</v>
      </c>
      <c r="D5">
        <v>0.31623099999999998</v>
      </c>
      <c r="F5">
        <v>-0.142535</v>
      </c>
      <c r="G5">
        <v>-8.9471520000000009</v>
      </c>
      <c r="H5">
        <f t="shared" si="0"/>
        <v>-0.13385327293330865</v>
      </c>
      <c r="I5">
        <f t="shared" si="1"/>
        <v>-5.3246188836488901</v>
      </c>
      <c r="K5">
        <v>-2.9444889999999999</v>
      </c>
      <c r="L5">
        <v>-6.1255259999999998</v>
      </c>
      <c r="M5">
        <f t="shared" si="2"/>
        <v>-3.5807272933308543E-2</v>
      </c>
      <c r="N5">
        <f t="shared" si="3"/>
        <v>-2.5029928836488891</v>
      </c>
      <c r="Q5">
        <v>-4.9779650000000002</v>
      </c>
      <c r="R5">
        <v>-6.448061</v>
      </c>
      <c r="S5">
        <f t="shared" si="4"/>
        <v>3.0716727066691263E-2</v>
      </c>
      <c r="T5">
        <f t="shared" si="5"/>
        <v>-2.8255278836488893</v>
      </c>
      <c r="V5">
        <v>-6.9147239999999996</v>
      </c>
      <c r="W5">
        <v>-5.8054579999999998</v>
      </c>
      <c r="X5">
        <f t="shared" si="6"/>
        <v>-0.40604227293330819</v>
      </c>
      <c r="Y5">
        <f t="shared" si="7"/>
        <v>-2.182924883648889</v>
      </c>
      <c r="AA5">
        <v>-8.3086249999999993</v>
      </c>
      <c r="AB5">
        <v>-5.8273739999999998</v>
      </c>
      <c r="AC5">
        <f t="shared" si="8"/>
        <v>0.20005672706669131</v>
      </c>
      <c r="AD5">
        <f t="shared" si="9"/>
        <v>-2.2048408836488891</v>
      </c>
      <c r="AF5">
        <v>-9.6407959999999999</v>
      </c>
      <c r="AG5">
        <v>-7.2218239999999998</v>
      </c>
      <c r="AH5">
        <f t="shared" si="10"/>
        <v>-0.13211427293330935</v>
      </c>
      <c r="AI5">
        <f t="shared" si="11"/>
        <v>-3.5992908836488891</v>
      </c>
      <c r="AK5">
        <v>-10.177533</v>
      </c>
      <c r="AL5">
        <v>-6.0854939999999997</v>
      </c>
      <c r="AM5">
        <f t="shared" si="12"/>
        <v>0.13114872706669023</v>
      </c>
      <c r="AN5">
        <f t="shared" si="13"/>
        <v>-2.462960883648889</v>
      </c>
      <c r="AP5">
        <v>-12.570760999999999</v>
      </c>
      <c r="AQ5">
        <v>-7.4876719999999999</v>
      </c>
      <c r="AR5">
        <f t="shared" si="14"/>
        <v>0.23792072706669121</v>
      </c>
      <c r="AS5">
        <f t="shared" si="15"/>
        <v>-3.8651388836488891</v>
      </c>
      <c r="AU5">
        <f t="shared" si="16"/>
        <v>16588.8</v>
      </c>
      <c r="AV5">
        <v>36</v>
      </c>
      <c r="AW5">
        <v>0.14000000000000001</v>
      </c>
      <c r="AX5">
        <f t="shared" si="17"/>
        <v>0.10878935110598625</v>
      </c>
      <c r="AY5">
        <v>36</v>
      </c>
      <c r="AZ5">
        <f t="shared" si="18"/>
        <v>36.000000000000014</v>
      </c>
      <c r="BA5" s="146">
        <f t="shared" si="30"/>
        <v>2.3870874669367505E-3</v>
      </c>
      <c r="BB5" s="146">
        <f t="shared" si="31"/>
        <v>3.0727063257153976E-7</v>
      </c>
      <c r="BC5" s="146">
        <f t="shared" si="32"/>
        <v>3.9763107094788859E-7</v>
      </c>
      <c r="BD5" s="146">
        <f t="shared" si="19"/>
        <v>7.5397784789642732E-3</v>
      </c>
      <c r="BE5" s="146">
        <f t="shared" si="20"/>
        <v>8.5897911136266578E-4</v>
      </c>
      <c r="BF5" s="146">
        <f t="shared" si="21"/>
        <v>2.7131440751281396E-3</v>
      </c>
      <c r="BH5" s="159">
        <v>12.367954907596399</v>
      </c>
      <c r="BI5" s="159">
        <v>3.9916956312460647</v>
      </c>
      <c r="BJ5" s="159"/>
      <c r="BK5" s="159"/>
      <c r="BL5" s="159"/>
      <c r="BM5" t="str">
        <f t="shared" si="22"/>
        <v>1+0.0316231i</v>
      </c>
      <c r="BN5">
        <f t="shared" si="23"/>
        <v>-4.3408635333456761E-3</v>
      </c>
      <c r="BO5">
        <f t="shared" si="24"/>
        <v>-1.8112665581755554</v>
      </c>
      <c r="BP5" t="str">
        <f t="shared" si="25"/>
        <v>1+0.0316231i</v>
      </c>
      <c r="BQ5">
        <f t="shared" si="26"/>
        <v>-4.3408635333456761E-3</v>
      </c>
      <c r="BR5">
        <f t="shared" si="27"/>
        <v>-1.8112665581755554</v>
      </c>
      <c r="BS5">
        <f t="shared" si="28"/>
        <v>-8.6817270666913523E-3</v>
      </c>
      <c r="BT5">
        <f t="shared" si="29"/>
        <v>-3.6225331163511107</v>
      </c>
    </row>
    <row r="6" spans="1:74" x14ac:dyDescent="0.3">
      <c r="A6">
        <v>0.39811099999999999</v>
      </c>
      <c r="B6">
        <v>-4.620825</v>
      </c>
      <c r="C6">
        <v>-8.7725939999999998</v>
      </c>
      <c r="D6">
        <v>0.39811099999999999</v>
      </c>
      <c r="F6">
        <v>-7.1936E-2</v>
      </c>
      <c r="G6">
        <v>-10.141465</v>
      </c>
      <c r="H6">
        <f t="shared" si="0"/>
        <v>-5.8180425693426539E-2</v>
      </c>
      <c r="I6">
        <f t="shared" si="1"/>
        <v>-5.5818568441789402</v>
      </c>
      <c r="K6">
        <v>-2.8623699999999999</v>
      </c>
      <c r="L6">
        <v>-7.9429100000000004</v>
      </c>
      <c r="M6">
        <f t="shared" si="2"/>
        <v>5.1385574306573645E-2</v>
      </c>
      <c r="N6">
        <f t="shared" si="3"/>
        <v>-3.3833018441789404</v>
      </c>
      <c r="Q6">
        <v>-4.939832</v>
      </c>
      <c r="R6">
        <v>-8.478783</v>
      </c>
      <c r="S6">
        <f t="shared" si="4"/>
        <v>7.3923574306573592E-2</v>
      </c>
      <c r="T6">
        <f t="shared" si="5"/>
        <v>-3.91917484417894</v>
      </c>
      <c r="V6">
        <v>-6.4541639999999996</v>
      </c>
      <c r="W6">
        <v>-6.5765690000000001</v>
      </c>
      <c r="X6">
        <f t="shared" si="6"/>
        <v>5.9591574306574024E-2</v>
      </c>
      <c r="Y6">
        <f t="shared" si="7"/>
        <v>-2.0169608441789402</v>
      </c>
      <c r="AA6">
        <v>-8.5357529999999997</v>
      </c>
      <c r="AB6">
        <v>-7.6803910000000002</v>
      </c>
      <c r="AC6">
        <f t="shared" si="8"/>
        <v>-2.1997425693426109E-2</v>
      </c>
      <c r="AD6">
        <f t="shared" si="9"/>
        <v>-3.1207828441789403</v>
      </c>
      <c r="AF6">
        <v>-9.5391030000000008</v>
      </c>
      <c r="AG6">
        <v>-6.1710339999999997</v>
      </c>
      <c r="AH6">
        <f t="shared" si="10"/>
        <v>-2.5347425693427184E-2</v>
      </c>
      <c r="AI6">
        <f t="shared" si="11"/>
        <v>-1.6114258441789397</v>
      </c>
      <c r="AK6">
        <v>-10.180593999999999</v>
      </c>
      <c r="AL6">
        <v>-4.4594950000000004</v>
      </c>
      <c r="AM6">
        <f t="shared" si="12"/>
        <v>0.13316157430657438</v>
      </c>
      <c r="AN6">
        <f t="shared" si="13"/>
        <v>0.10011315582105951</v>
      </c>
      <c r="AP6">
        <v>-12.577301</v>
      </c>
      <c r="AQ6">
        <v>-13.849178</v>
      </c>
      <c r="AR6">
        <f t="shared" si="14"/>
        <v>0.23645457430657313</v>
      </c>
      <c r="AS6">
        <f t="shared" si="15"/>
        <v>-9.2895698441789403</v>
      </c>
      <c r="AU6">
        <f t="shared" si="16"/>
        <v>20736</v>
      </c>
      <c r="AV6">
        <v>45</v>
      </c>
      <c r="AW6">
        <v>0.11</v>
      </c>
      <c r="AX6">
        <f t="shared" si="17"/>
        <v>7.6466034034855926E-2</v>
      </c>
      <c r="AY6">
        <v>45</v>
      </c>
      <c r="AZ6">
        <f t="shared" si="18"/>
        <v>44.999999999999993</v>
      </c>
      <c r="BA6" s="146">
        <f t="shared" si="30"/>
        <v>4.3427507980363387E-3</v>
      </c>
      <c r="BB6" s="146">
        <f t="shared" si="31"/>
        <v>4.7156233871035585E-7</v>
      </c>
      <c r="BC6" s="146">
        <f t="shared" si="32"/>
        <v>5.4549360647282279E-7</v>
      </c>
      <c r="BD6" s="146">
        <f t="shared" si="19"/>
        <v>1.7146093021340732E-2</v>
      </c>
      <c r="BE6" s="146">
        <f t="shared" si="20"/>
        <v>1.8028425008152459E-3</v>
      </c>
      <c r="BF6" s="146">
        <f t="shared" si="21"/>
        <v>7.1180011608729891E-3</v>
      </c>
      <c r="BH6" s="159">
        <v>15.047408792585415</v>
      </c>
      <c r="BI6" s="159">
        <v>0.70091118459969781</v>
      </c>
      <c r="BJ6" s="159"/>
      <c r="BK6" s="159"/>
      <c r="BL6" s="159"/>
      <c r="BM6" t="str">
        <f t="shared" si="22"/>
        <v>1+0.0398111i</v>
      </c>
      <c r="BN6">
        <f t="shared" si="23"/>
        <v>-6.8777871532867295E-3</v>
      </c>
      <c r="BO6">
        <f t="shared" si="24"/>
        <v>-2.27980407791053</v>
      </c>
      <c r="BP6" t="str">
        <f t="shared" si="25"/>
        <v>1+0.0398111i</v>
      </c>
      <c r="BQ6">
        <f t="shared" si="26"/>
        <v>-6.8777871532867295E-3</v>
      </c>
      <c r="BR6">
        <f t="shared" si="27"/>
        <v>-2.27980407791053</v>
      </c>
      <c r="BS6">
        <f t="shared" si="28"/>
        <v>-1.3755574306573459E-2</v>
      </c>
      <c r="BT6">
        <f t="shared" si="29"/>
        <v>-4.5596081558210599</v>
      </c>
    </row>
    <row r="7" spans="1:74" x14ac:dyDescent="0.3">
      <c r="A7">
        <v>0.50119100000000005</v>
      </c>
      <c r="B7">
        <v>-4.6131639999999994</v>
      </c>
      <c r="C7">
        <v>-10.115921</v>
      </c>
      <c r="D7">
        <v>0.50119100000000005</v>
      </c>
      <c r="F7">
        <v>-0.13211000000000001</v>
      </c>
      <c r="G7">
        <v>-13.315619</v>
      </c>
      <c r="H7">
        <f t="shared" si="0"/>
        <v>-0.11031906090141437</v>
      </c>
      <c r="I7">
        <f t="shared" si="1"/>
        <v>-7.5771948085785095</v>
      </c>
      <c r="K7">
        <v>-2.947336</v>
      </c>
      <c r="L7">
        <v>-12.084807</v>
      </c>
      <c r="M7">
        <f t="shared" si="2"/>
        <v>-2.5545060901414285E-2</v>
      </c>
      <c r="N7">
        <f t="shared" si="3"/>
        <v>-6.3463828085785092</v>
      </c>
      <c r="Q7">
        <v>-4.8434049999999997</v>
      </c>
      <c r="R7">
        <v>-10.51665</v>
      </c>
      <c r="S7">
        <f t="shared" si="4"/>
        <v>0.17838593909858602</v>
      </c>
      <c r="T7">
        <f t="shared" si="5"/>
        <v>-4.7782258085785099</v>
      </c>
      <c r="V7">
        <v>-6.8532479999999998</v>
      </c>
      <c r="W7">
        <v>-7.2730069999999998</v>
      </c>
      <c r="X7">
        <f t="shared" si="6"/>
        <v>-0.33145706090141402</v>
      </c>
      <c r="Y7">
        <f t="shared" si="7"/>
        <v>-1.5345828085785094</v>
      </c>
      <c r="AA7">
        <v>-8.3539169999999991</v>
      </c>
      <c r="AB7">
        <v>-8.6422410000000003</v>
      </c>
      <c r="AC7">
        <f t="shared" si="8"/>
        <v>0.16787393909858572</v>
      </c>
      <c r="AD7">
        <f t="shared" si="9"/>
        <v>-2.9038168085785099</v>
      </c>
      <c r="AF7">
        <v>-9.2658699999999996</v>
      </c>
      <c r="AG7">
        <v>-6.3931839999999998</v>
      </c>
      <c r="AH7">
        <f t="shared" si="10"/>
        <v>0.25592093909858527</v>
      </c>
      <c r="AI7">
        <f t="shared" si="11"/>
        <v>-0.65475980857850935</v>
      </c>
      <c r="AK7">
        <v>-10.029669999999999</v>
      </c>
      <c r="AL7">
        <v>-4.4137019999999998</v>
      </c>
      <c r="AM7">
        <f t="shared" si="12"/>
        <v>0.2921209390985855</v>
      </c>
      <c r="AN7">
        <f t="shared" si="13"/>
        <v>1.3247221914214906</v>
      </c>
      <c r="AP7">
        <v>-12.665015</v>
      </c>
      <c r="AQ7">
        <v>-8.7011459999999996</v>
      </c>
      <c r="AR7">
        <f t="shared" si="14"/>
        <v>0.15677593909858434</v>
      </c>
      <c r="AS7">
        <f t="shared" si="15"/>
        <v>-2.9627218085785092</v>
      </c>
      <c r="AU7">
        <f t="shared" si="16"/>
        <v>23040</v>
      </c>
      <c r="AV7">
        <v>50</v>
      </c>
      <c r="AW7">
        <v>0.09</v>
      </c>
      <c r="AX7">
        <f t="shared" si="17"/>
        <v>6.4739856241990537E-2</v>
      </c>
      <c r="AY7">
        <v>50</v>
      </c>
      <c r="AZ7">
        <f t="shared" si="18"/>
        <v>50.000000000000014</v>
      </c>
      <c r="BA7" s="146">
        <f t="shared" si="30"/>
        <v>5.6942000900856793E-3</v>
      </c>
      <c r="BB7" s="146">
        <f t="shared" si="31"/>
        <v>5.8656653300752638E-7</v>
      </c>
      <c r="BC7" s="146">
        <f t="shared" si="32"/>
        <v>6.2763945954223071E-7</v>
      </c>
      <c r="BD7" s="146">
        <f t="shared" si="19"/>
        <v>2.4979887676232684E-2</v>
      </c>
      <c r="BE7" s="146">
        <f t="shared" si="20"/>
        <v>2.5401337586343957E-3</v>
      </c>
      <c r="BF7" s="146">
        <f t="shared" si="21"/>
        <v>1.1143313366134135E-2</v>
      </c>
      <c r="BH7" s="159">
        <v>37.649471024806083</v>
      </c>
      <c r="BI7" s="159">
        <v>8.8118975354312457E-2</v>
      </c>
      <c r="BJ7" s="159">
        <v>18.349332141930159</v>
      </c>
      <c r="BK7" s="159">
        <v>0.2622861097452871</v>
      </c>
      <c r="BL7" s="159"/>
      <c r="BM7" t="str">
        <f t="shared" si="22"/>
        <v>1+0.0501191i</v>
      </c>
      <c r="BN7">
        <f t="shared" si="23"/>
        <v>-1.0895469549292816E-2</v>
      </c>
      <c r="BO7">
        <f t="shared" si="24"/>
        <v>-2.8692120957107452</v>
      </c>
      <c r="BP7" t="str">
        <f t="shared" si="25"/>
        <v>1+0.0501191i</v>
      </c>
      <c r="BQ7">
        <f t="shared" si="26"/>
        <v>-1.0895469549292816E-2</v>
      </c>
      <c r="BR7">
        <f t="shared" si="27"/>
        <v>-2.8692120957107452</v>
      </c>
      <c r="BS7">
        <f t="shared" si="28"/>
        <v>-2.1790939098585631E-2</v>
      </c>
      <c r="BT7">
        <f t="shared" si="29"/>
        <v>-5.7384241914214904</v>
      </c>
    </row>
    <row r="8" spans="1:74" x14ac:dyDescent="0.3">
      <c r="A8">
        <v>0.630969</v>
      </c>
      <c r="B8">
        <v>-4.643141</v>
      </c>
      <c r="C8">
        <v>-12.665053</v>
      </c>
      <c r="D8">
        <v>0.630969</v>
      </c>
      <c r="F8">
        <v>-9.6851000000000007E-2</v>
      </c>
      <c r="G8">
        <v>-16.694671</v>
      </c>
      <c r="H8">
        <f t="shared" si="0"/>
        <v>-6.2339226934071103E-2</v>
      </c>
      <c r="I8">
        <f t="shared" si="1"/>
        <v>-9.473871234972405</v>
      </c>
      <c r="K8">
        <v>-2.876814</v>
      </c>
      <c r="L8">
        <v>-14.956378000000001</v>
      </c>
      <c r="M8">
        <f t="shared" si="2"/>
        <v>5.7697773065928715E-2</v>
      </c>
      <c r="N8">
        <f t="shared" si="3"/>
        <v>-7.7355782349724063</v>
      </c>
      <c r="Q8">
        <v>-5.2400320000000002</v>
      </c>
      <c r="R8">
        <v>-12.147575</v>
      </c>
      <c r="S8">
        <f t="shared" si="4"/>
        <v>-0.20552022693407146</v>
      </c>
      <c r="T8">
        <f t="shared" si="5"/>
        <v>-4.9267752349724052</v>
      </c>
      <c r="V8">
        <v>-6.7714559999999997</v>
      </c>
      <c r="W8">
        <v>-10.831569999999999</v>
      </c>
      <c r="X8">
        <f t="shared" si="6"/>
        <v>-0.23694422693407091</v>
      </c>
      <c r="Y8">
        <f t="shared" si="7"/>
        <v>-3.6107702349724047</v>
      </c>
      <c r="AA8">
        <v>-8.4955029999999994</v>
      </c>
      <c r="AB8">
        <v>-11.9773</v>
      </c>
      <c r="AC8">
        <f t="shared" si="8"/>
        <v>3.9008773065930313E-2</v>
      </c>
      <c r="AD8">
        <f t="shared" si="9"/>
        <v>-4.756500234972405</v>
      </c>
      <c r="AF8">
        <v>-9.5089129999999997</v>
      </c>
      <c r="AG8">
        <v>-9.5750550000000008</v>
      </c>
      <c r="AH8">
        <f t="shared" si="10"/>
        <v>2.5598773065929947E-2</v>
      </c>
      <c r="AI8">
        <f t="shared" si="11"/>
        <v>-2.3542552349724062</v>
      </c>
      <c r="AK8">
        <v>-9.9944450000000007</v>
      </c>
      <c r="AL8">
        <v>-9.0157439999999998</v>
      </c>
      <c r="AM8">
        <f t="shared" si="12"/>
        <v>0.34006677306592903</v>
      </c>
      <c r="AN8">
        <f t="shared" si="13"/>
        <v>-1.7949442349724052</v>
      </c>
      <c r="AP8">
        <v>-12.090496</v>
      </c>
      <c r="AQ8">
        <v>-10.161440000000001</v>
      </c>
      <c r="AR8">
        <f t="shared" si="14"/>
        <v>0.74401577306592981</v>
      </c>
      <c r="AS8">
        <f t="shared" si="15"/>
        <v>-2.9406402349724061</v>
      </c>
      <c r="AU8">
        <f t="shared" si="16"/>
        <v>23961.600000000002</v>
      </c>
      <c r="AV8">
        <v>52</v>
      </c>
      <c r="AW8">
        <v>0.08</v>
      </c>
      <c r="AX8">
        <f t="shared" si="17"/>
        <v>6.0849785914015388E-2</v>
      </c>
      <c r="AY8">
        <v>52</v>
      </c>
      <c r="AZ8">
        <f t="shared" si="18"/>
        <v>52.000000000000036</v>
      </c>
      <c r="BA8" s="146">
        <f t="shared" si="30"/>
        <v>6.2877737396375534E-3</v>
      </c>
      <c r="BB8" s="146">
        <f t="shared" si="31"/>
        <v>6.4406863015611191E-7</v>
      </c>
      <c r="BC8" s="146">
        <f t="shared" si="32"/>
        <v>6.6049780076999385E-7</v>
      </c>
      <c r="BD8" s="146">
        <f t="shared" si="19"/>
        <v>2.8687189497277076E-2</v>
      </c>
      <c r="BE8" s="146">
        <f t="shared" si="20"/>
        <v>2.8776348033867118E-3</v>
      </c>
      <c r="BF8" s="146">
        <f t="shared" si="21"/>
        <v>1.3128852647530663E-2</v>
      </c>
      <c r="BH8" s="159">
        <v>48.010895849896535</v>
      </c>
      <c r="BI8" s="159">
        <v>6.2906429754981188E-2</v>
      </c>
      <c r="BJ8" s="159">
        <v>28.457488763966595</v>
      </c>
      <c r="BK8" s="159">
        <v>0.15327768207325029</v>
      </c>
      <c r="BL8" s="159"/>
      <c r="BM8" t="str">
        <f t="shared" si="22"/>
        <v>1+0.0630969i</v>
      </c>
      <c r="BN8">
        <f t="shared" si="23"/>
        <v>-1.7255886532964452E-2</v>
      </c>
      <c r="BO8">
        <f t="shared" si="24"/>
        <v>-3.6103998825137973</v>
      </c>
      <c r="BP8" t="str">
        <f t="shared" si="25"/>
        <v>1+0.0630969i</v>
      </c>
      <c r="BQ8">
        <f t="shared" si="26"/>
        <v>-1.7255886532964452E-2</v>
      </c>
      <c r="BR8">
        <f t="shared" si="27"/>
        <v>-3.6103998825137973</v>
      </c>
      <c r="BS8">
        <f t="shared" si="28"/>
        <v>-3.4511773065928904E-2</v>
      </c>
      <c r="BT8">
        <f t="shared" si="29"/>
        <v>-7.2207997650275946</v>
      </c>
    </row>
    <row r="9" spans="1:74" x14ac:dyDescent="0.3">
      <c r="A9">
        <v>0.79433399999999998</v>
      </c>
      <c r="B9">
        <v>-4.6992429999999992</v>
      </c>
      <c r="C9">
        <v>-16.017576999999999</v>
      </c>
      <c r="D9">
        <v>0.79433399999999998</v>
      </c>
      <c r="F9">
        <v>-0.334509</v>
      </c>
      <c r="G9">
        <v>-21.477564000000001</v>
      </c>
      <c r="H9">
        <f t="shared" si="0"/>
        <v>-0.2798761227421297</v>
      </c>
      <c r="I9">
        <f t="shared" si="1"/>
        <v>-12.394239062607511</v>
      </c>
      <c r="K9">
        <v>-3.1520860000000002</v>
      </c>
      <c r="L9">
        <v>-17.390222999999999</v>
      </c>
      <c r="M9">
        <f t="shared" si="2"/>
        <v>-0.19745312274213012</v>
      </c>
      <c r="N9">
        <f t="shared" si="3"/>
        <v>-8.3068980626075088</v>
      </c>
      <c r="Q9">
        <v>-5.1842730000000001</v>
      </c>
      <c r="R9">
        <v>-15.625861</v>
      </c>
      <c r="S9">
        <f t="shared" si="4"/>
        <v>-0.12964012274212955</v>
      </c>
      <c r="T9">
        <f t="shared" si="5"/>
        <v>-6.5425360626075104</v>
      </c>
      <c r="V9">
        <v>-6.7899219999999998</v>
      </c>
      <c r="W9">
        <v>-13.257664999999999</v>
      </c>
      <c r="X9">
        <f t="shared" si="6"/>
        <v>-0.23528912274212921</v>
      </c>
      <c r="Y9">
        <f t="shared" si="7"/>
        <v>-4.1743400626075093</v>
      </c>
      <c r="AA9">
        <v>-8.1819550000000003</v>
      </c>
      <c r="AB9">
        <v>-13.324439999999999</v>
      </c>
      <c r="AC9">
        <f t="shared" si="8"/>
        <v>0.37267787725786938</v>
      </c>
      <c r="AD9">
        <f t="shared" si="9"/>
        <v>-4.2411150626075091</v>
      </c>
      <c r="AF9">
        <v>-9.7523049999999998</v>
      </c>
      <c r="AG9">
        <v>-14.235982999999999</v>
      </c>
      <c r="AH9">
        <f t="shared" si="10"/>
        <v>-0.19767212274213009</v>
      </c>
      <c r="AI9">
        <f t="shared" si="11"/>
        <v>-5.1526580626075091</v>
      </c>
      <c r="AK9">
        <v>-10.302702</v>
      </c>
      <c r="AL9">
        <v>-10.936987</v>
      </c>
      <c r="AM9">
        <f t="shared" si="12"/>
        <v>5.1930877257869712E-2</v>
      </c>
      <c r="AN9">
        <f t="shared" si="13"/>
        <v>-1.8536620626075102</v>
      </c>
      <c r="AP9">
        <v>-12.58591</v>
      </c>
      <c r="AQ9">
        <v>-13.754139</v>
      </c>
      <c r="AR9">
        <f t="shared" si="14"/>
        <v>0.26872287725786936</v>
      </c>
      <c r="AS9">
        <f t="shared" si="15"/>
        <v>-4.6708140626075103</v>
      </c>
      <c r="AU9">
        <f t="shared" si="16"/>
        <v>25344</v>
      </c>
      <c r="AV9">
        <v>55</v>
      </c>
      <c r="AW9">
        <v>7.0000000000000007E-2</v>
      </c>
      <c r="AX9">
        <f t="shared" si="17"/>
        <v>5.5689239628374895E-2</v>
      </c>
      <c r="AY9">
        <v>55</v>
      </c>
      <c r="AZ9">
        <f t="shared" si="18"/>
        <v>55.000000000000014</v>
      </c>
      <c r="BA9" s="146">
        <f t="shared" si="30"/>
        <v>7.2349134276069376E-3</v>
      </c>
      <c r="BB9" s="146">
        <f t="shared" si="31"/>
        <v>6.8514155669081719E-7</v>
      </c>
      <c r="BC9" s="146">
        <f t="shared" si="32"/>
        <v>7.0978531261163862E-7</v>
      </c>
      <c r="BD9" s="146">
        <f t="shared" si="19"/>
        <v>3.4912727705496999E-2</v>
      </c>
      <c r="BE9" s="146">
        <f t="shared" si="20"/>
        <v>3.4295126651130254E-3</v>
      </c>
      <c r="BF9" s="146">
        <f t="shared" si="21"/>
        <v>1.6549422883591874E-2</v>
      </c>
      <c r="BH9" s="159">
        <v>61.364409667042004</v>
      </c>
      <c r="BI9" s="159">
        <v>4.5959283219000051E-2</v>
      </c>
      <c r="BJ9" s="159">
        <v>41.484597621753984</v>
      </c>
      <c r="BK9" s="159">
        <v>9.3499270545763416E-2</v>
      </c>
      <c r="BL9" s="159"/>
      <c r="BM9" t="str">
        <f t="shared" si="22"/>
        <v>1+0.0794334i</v>
      </c>
      <c r="BN9">
        <f t="shared" si="23"/>
        <v>-2.7316438628935156E-2</v>
      </c>
      <c r="BO9">
        <f t="shared" si="24"/>
        <v>-4.541662468696245</v>
      </c>
      <c r="BP9" t="str">
        <f t="shared" si="25"/>
        <v>1+0.0794334i</v>
      </c>
      <c r="BQ9">
        <f t="shared" si="26"/>
        <v>-2.7316438628935156E-2</v>
      </c>
      <c r="BR9">
        <f t="shared" si="27"/>
        <v>-4.541662468696245</v>
      </c>
      <c r="BS9">
        <f t="shared" si="28"/>
        <v>-5.4632877257870312E-2</v>
      </c>
      <c r="BT9">
        <f t="shared" si="29"/>
        <v>-9.08332493739249</v>
      </c>
    </row>
    <row r="10" spans="1:74" x14ac:dyDescent="0.3">
      <c r="A10">
        <v>1.0000290000000001</v>
      </c>
      <c r="B10">
        <v>-4.7017779999999991</v>
      </c>
      <c r="C10">
        <v>-19.738320999999999</v>
      </c>
      <c r="D10">
        <v>1.0000290000000001</v>
      </c>
      <c r="F10">
        <v>-0.330231</v>
      </c>
      <c r="G10">
        <v>-26.252358999999998</v>
      </c>
      <c r="H10">
        <f t="shared" si="0"/>
        <v>-0.24379853633963214</v>
      </c>
      <c r="I10">
        <f t="shared" si="1"/>
        <v>-14.830843699826694</v>
      </c>
      <c r="K10">
        <v>-3.1495799999999998</v>
      </c>
      <c r="L10">
        <v>-22.497748000000001</v>
      </c>
      <c r="M10">
        <f t="shared" si="2"/>
        <v>-0.16314753633963219</v>
      </c>
      <c r="N10">
        <f t="shared" si="3"/>
        <v>-11.076232699826697</v>
      </c>
      <c r="Q10">
        <v>-5.3453850000000003</v>
      </c>
      <c r="R10">
        <v>-19.030441</v>
      </c>
      <c r="S10">
        <f t="shared" si="4"/>
        <v>-0.25895253633963211</v>
      </c>
      <c r="T10">
        <f t="shared" si="5"/>
        <v>-7.6089256998266954</v>
      </c>
      <c r="V10">
        <v>-6.6647150000000002</v>
      </c>
      <c r="W10">
        <v>-18.112368</v>
      </c>
      <c r="X10">
        <f t="shared" si="6"/>
        <v>-7.8282536339632003E-2</v>
      </c>
      <c r="Y10">
        <f t="shared" si="7"/>
        <v>-6.6908526998266957</v>
      </c>
      <c r="AA10">
        <v>-8.5142559999999996</v>
      </c>
      <c r="AB10">
        <v>-15.536229000000001</v>
      </c>
      <c r="AC10">
        <f t="shared" si="8"/>
        <v>7.2176463660367673E-2</v>
      </c>
      <c r="AD10">
        <f t="shared" si="9"/>
        <v>-4.1147136998266962</v>
      </c>
      <c r="AF10">
        <v>-9.8176989999999993</v>
      </c>
      <c r="AG10">
        <v>-15.092798999999999</v>
      </c>
      <c r="AH10">
        <f t="shared" si="10"/>
        <v>-0.23126653633963201</v>
      </c>
      <c r="AI10">
        <f t="shared" si="11"/>
        <v>-3.6712836998266951</v>
      </c>
      <c r="AK10">
        <v>-10.496855999999999</v>
      </c>
      <c r="AL10">
        <v>-17.998950000000001</v>
      </c>
      <c r="AM10">
        <f t="shared" si="12"/>
        <v>-0.11042353633963198</v>
      </c>
      <c r="AN10">
        <f t="shared" si="13"/>
        <v>-6.5774346998266964</v>
      </c>
      <c r="AP10">
        <v>-12.883661999999999</v>
      </c>
      <c r="AQ10">
        <v>-20.443895000000001</v>
      </c>
      <c r="AR10">
        <f t="shared" si="14"/>
        <v>2.7704636603678168E-3</v>
      </c>
      <c r="AS10">
        <f t="shared" si="15"/>
        <v>-9.022379699826697</v>
      </c>
      <c r="AU10">
        <f t="shared" si="16"/>
        <v>28569.600000000002</v>
      </c>
      <c r="AV10">
        <v>62</v>
      </c>
      <c r="AW10">
        <v>0.05</v>
      </c>
      <c r="AX10">
        <f t="shared" si="17"/>
        <v>4.6085623567052196E-2</v>
      </c>
      <c r="AY10">
        <v>62</v>
      </c>
      <c r="AZ10">
        <f t="shared" si="18"/>
        <v>62.000000000000064</v>
      </c>
      <c r="BA10" s="146">
        <f t="shared" si="30"/>
        <v>9.7098756965295178E-3</v>
      </c>
      <c r="BB10" s="146">
        <f t="shared" si="31"/>
        <v>7.6728740976022404E-7</v>
      </c>
      <c r="BC10" s="146">
        <f t="shared" si="32"/>
        <v>8.2478950690880957E-7</v>
      </c>
      <c r="BD10" s="146">
        <f t="shared" si="19"/>
        <v>5.2819357330458824E-2</v>
      </c>
      <c r="BE10" s="146">
        <f t="shared" si="20"/>
        <v>4.9301503839310357E-3</v>
      </c>
      <c r="BF10" s="146">
        <f t="shared" si="21"/>
        <v>2.6818816528704516E-2</v>
      </c>
      <c r="BH10" s="159">
        <v>69.444433699664401</v>
      </c>
      <c r="BI10" s="159">
        <v>3.9517474546856557E-2</v>
      </c>
      <c r="BJ10" s="159">
        <v>49.367118588734272</v>
      </c>
      <c r="BK10" s="159">
        <v>8.2313306461443872E-2</v>
      </c>
      <c r="BL10" s="159"/>
      <c r="BM10" t="str">
        <f t="shared" si="22"/>
        <v>1+0.1000029i</v>
      </c>
      <c r="BN10">
        <f t="shared" si="23"/>
        <v>-4.3216231830183929E-2</v>
      </c>
      <c r="BO10">
        <f t="shared" si="24"/>
        <v>-5.7107576500866521</v>
      </c>
      <c r="BP10" t="str">
        <f t="shared" si="25"/>
        <v>1+0.1000029i</v>
      </c>
      <c r="BQ10">
        <f t="shared" si="26"/>
        <v>-4.3216231830183929E-2</v>
      </c>
      <c r="BR10">
        <f t="shared" si="27"/>
        <v>-5.7107576500866521</v>
      </c>
      <c r="BS10">
        <f t="shared" si="28"/>
        <v>-8.6432463660367859E-2</v>
      </c>
      <c r="BT10">
        <f t="shared" si="29"/>
        <v>-11.421515300173304</v>
      </c>
    </row>
    <row r="11" spans="1:74" x14ac:dyDescent="0.3">
      <c r="A11">
        <v>1.2589030000000001</v>
      </c>
      <c r="B11">
        <v>-4.7710380000000008</v>
      </c>
      <c r="C11">
        <v>-24.449511000000001</v>
      </c>
      <c r="D11">
        <v>1.2589030000000001</v>
      </c>
      <c r="F11">
        <v>-0.621255</v>
      </c>
      <c r="G11">
        <v>-33.633620999999998</v>
      </c>
      <c r="H11">
        <f t="shared" si="0"/>
        <v>-0.48467725864802913</v>
      </c>
      <c r="I11">
        <f t="shared" si="1"/>
        <v>-19.283148020471536</v>
      </c>
      <c r="K11">
        <v>-3.2747679999999999</v>
      </c>
      <c r="L11">
        <v>-28.184376</v>
      </c>
      <c r="M11">
        <f t="shared" si="2"/>
        <v>-0.23819025864802912</v>
      </c>
      <c r="N11">
        <f t="shared" si="3"/>
        <v>-13.83390302047154</v>
      </c>
      <c r="Q11">
        <v>-5.4348239999999999</v>
      </c>
      <c r="R11">
        <v>-24.747506999999999</v>
      </c>
      <c r="S11">
        <f t="shared" si="4"/>
        <v>-0.29824625864802901</v>
      </c>
      <c r="T11">
        <f t="shared" si="5"/>
        <v>-10.397034020471539</v>
      </c>
      <c r="V11">
        <v>-7.0627599999999999</v>
      </c>
      <c r="W11">
        <v>-23.652546000000001</v>
      </c>
      <c r="X11">
        <f t="shared" si="6"/>
        <v>-0.42618225864802906</v>
      </c>
      <c r="Y11">
        <f t="shared" si="7"/>
        <v>-9.3020730204715409</v>
      </c>
      <c r="AA11">
        <v>-8.4074770000000001</v>
      </c>
      <c r="AB11">
        <v>-23.938400999999999</v>
      </c>
      <c r="AC11">
        <f t="shared" si="8"/>
        <v>0.22910074135197078</v>
      </c>
      <c r="AD11">
        <f t="shared" si="9"/>
        <v>-9.5879280204715389</v>
      </c>
      <c r="AF11">
        <v>-9.5374619999999997</v>
      </c>
      <c r="AG11">
        <v>-19.508673000000002</v>
      </c>
      <c r="AH11">
        <f t="shared" si="10"/>
        <v>9.9115741351971209E-2</v>
      </c>
      <c r="AI11">
        <f t="shared" si="11"/>
        <v>-5.1582000204715417</v>
      </c>
      <c r="AK11">
        <v>-10.150512000000001</v>
      </c>
      <c r="AL11">
        <v>-19.669879999999999</v>
      </c>
      <c r="AM11">
        <f t="shared" si="12"/>
        <v>0.28606574135197005</v>
      </c>
      <c r="AN11">
        <f t="shared" si="13"/>
        <v>-5.3194070204715391</v>
      </c>
      <c r="AP11">
        <v>-12.827563</v>
      </c>
      <c r="AQ11">
        <v>-26.368919999999999</v>
      </c>
      <c r="AR11">
        <f t="shared" si="14"/>
        <v>0.10901474135197109</v>
      </c>
      <c r="AS11">
        <f t="shared" si="15"/>
        <v>-12.018447020471539</v>
      </c>
      <c r="AW11" s="174" t="s">
        <v>130</v>
      </c>
      <c r="AX11" s="173">
        <v>2.0111653701195102E-3</v>
      </c>
      <c r="AY11" s="173">
        <v>-3.0709262345742761E-7</v>
      </c>
      <c r="AZ11" s="172">
        <v>1.4325144135226059E-11</v>
      </c>
      <c r="BC11" s="146"/>
      <c r="BH11" s="159">
        <v>76.75084997835306</v>
      </c>
      <c r="BI11" s="159">
        <v>3.5072283984146982E-2</v>
      </c>
      <c r="BJ11" s="159">
        <v>56.494941386998597</v>
      </c>
      <c r="BK11" s="159">
        <v>6.3631390354086409E-2</v>
      </c>
      <c r="BL11" s="159"/>
      <c r="BM11" t="str">
        <f t="shared" si="22"/>
        <v>1+0.1258903i</v>
      </c>
      <c r="BN11">
        <f t="shared" si="23"/>
        <v>-6.8288870675985422E-2</v>
      </c>
      <c r="BO11">
        <f t="shared" si="24"/>
        <v>-7.17523648976423</v>
      </c>
      <c r="BP11" t="str">
        <f t="shared" si="25"/>
        <v>1+0.1258903i</v>
      </c>
      <c r="BQ11">
        <f t="shared" si="26"/>
        <v>-6.8288870675985422E-2</v>
      </c>
      <c r="BR11">
        <f t="shared" si="27"/>
        <v>-7.17523648976423</v>
      </c>
      <c r="BS11">
        <f t="shared" si="28"/>
        <v>-0.13657774135197084</v>
      </c>
      <c r="BT11">
        <f t="shared" si="29"/>
        <v>-14.35047297952846</v>
      </c>
    </row>
    <row r="12" spans="1:74" x14ac:dyDescent="0.3">
      <c r="A12">
        <v>1.584862</v>
      </c>
      <c r="B12">
        <v>-4.8872680000000006</v>
      </c>
      <c r="C12">
        <v>-30.905425000000001</v>
      </c>
      <c r="D12">
        <v>1.584862</v>
      </c>
      <c r="F12">
        <v>-0.87881699999999996</v>
      </c>
      <c r="G12">
        <v>-41.559429999999999</v>
      </c>
      <c r="H12">
        <f t="shared" si="0"/>
        <v>-0.66334086728436692</v>
      </c>
      <c r="I12">
        <f t="shared" si="1"/>
        <v>-23.548054739114093</v>
      </c>
      <c r="K12">
        <v>-3.494831</v>
      </c>
      <c r="L12">
        <v>-35.410595000000001</v>
      </c>
      <c r="M12">
        <f t="shared" si="2"/>
        <v>-0.37935486728436718</v>
      </c>
      <c r="N12">
        <f t="shared" si="3"/>
        <v>-17.399219739114095</v>
      </c>
      <c r="Q12">
        <v>-5.3572879999999996</v>
      </c>
      <c r="R12">
        <v>-30.974862000000002</v>
      </c>
      <c r="S12">
        <f t="shared" si="4"/>
        <v>-0.14181186728436668</v>
      </c>
      <c r="T12">
        <f t="shared" si="5"/>
        <v>-12.963486739114096</v>
      </c>
      <c r="V12">
        <v>-7.043304</v>
      </c>
      <c r="W12">
        <v>-29.399804</v>
      </c>
      <c r="X12">
        <f t="shared" si="6"/>
        <v>-0.32782786728436708</v>
      </c>
      <c r="Y12">
        <f t="shared" si="7"/>
        <v>-11.388428739114094</v>
      </c>
      <c r="AA12">
        <v>-8.441827</v>
      </c>
      <c r="AB12">
        <v>-24.564988</v>
      </c>
      <c r="AC12">
        <f t="shared" si="8"/>
        <v>0.27364913271563296</v>
      </c>
      <c r="AD12">
        <f t="shared" si="9"/>
        <v>-6.5536127391140937</v>
      </c>
      <c r="AF12">
        <v>-9.8969079999999998</v>
      </c>
      <c r="AG12">
        <v>-26.391096000000001</v>
      </c>
      <c r="AH12">
        <f t="shared" si="10"/>
        <v>-0.18143186728436689</v>
      </c>
      <c r="AI12">
        <f t="shared" si="11"/>
        <v>-8.3797207391140951</v>
      </c>
      <c r="AK12">
        <v>-10.254908</v>
      </c>
      <c r="AL12">
        <v>-24.506974</v>
      </c>
      <c r="AM12">
        <f t="shared" si="12"/>
        <v>0.26056813271563262</v>
      </c>
      <c r="AN12">
        <f t="shared" si="13"/>
        <v>-6.4955987391140937</v>
      </c>
      <c r="AP12">
        <v>-12.956659999999999</v>
      </c>
      <c r="AQ12">
        <v>-28.004284999999999</v>
      </c>
      <c r="AR12">
        <f t="shared" si="14"/>
        <v>5.8816132715633351E-2</v>
      </c>
      <c r="AS12">
        <f t="shared" si="15"/>
        <v>-9.9929097391140935</v>
      </c>
      <c r="AW12" s="170" t="s">
        <v>133</v>
      </c>
      <c r="AX12" s="170">
        <v>31.3</v>
      </c>
      <c r="AY12" s="170">
        <v>-1.58</v>
      </c>
      <c r="BC12" s="146"/>
      <c r="BH12" s="159">
        <v>87.210974546743557</v>
      </c>
      <c r="BI12" s="159">
        <v>3.0207645977385542E-2</v>
      </c>
      <c r="BJ12" s="159">
        <v>66.699385197396992</v>
      </c>
      <c r="BK12" s="159">
        <v>4.8062113370621579E-2</v>
      </c>
      <c r="BL12" s="159"/>
      <c r="BM12" t="str">
        <f t="shared" si="22"/>
        <v>1+0.1584862i</v>
      </c>
      <c r="BN12">
        <f t="shared" si="23"/>
        <v>-0.10773806635781653</v>
      </c>
      <c r="BO12">
        <f t="shared" si="24"/>
        <v>-9.005687630442953</v>
      </c>
      <c r="BP12" t="str">
        <f t="shared" si="25"/>
        <v>1+0.1584862i</v>
      </c>
      <c r="BQ12">
        <f t="shared" si="26"/>
        <v>-0.10773806635781653</v>
      </c>
      <c r="BR12">
        <f t="shared" si="27"/>
        <v>-9.005687630442953</v>
      </c>
      <c r="BS12">
        <f t="shared" si="28"/>
        <v>-0.21547613271563307</v>
      </c>
      <c r="BT12">
        <f t="shared" si="29"/>
        <v>-18.011375260885906</v>
      </c>
    </row>
    <row r="13" spans="1:74" x14ac:dyDescent="0.3">
      <c r="A13">
        <v>1.995295</v>
      </c>
      <c r="B13">
        <v>-5.0632009999999994</v>
      </c>
      <c r="C13">
        <v>-37.710261000000003</v>
      </c>
      <c r="D13">
        <v>1.995295</v>
      </c>
      <c r="F13">
        <v>-1.3856949999999999</v>
      </c>
      <c r="G13">
        <v>-51.229346</v>
      </c>
      <c r="H13">
        <f t="shared" si="0"/>
        <v>-1.0465983190338792</v>
      </c>
      <c r="I13">
        <f t="shared" si="1"/>
        <v>-28.661327401559934</v>
      </c>
      <c r="K13">
        <v>-3.9579399999999998</v>
      </c>
      <c r="L13">
        <v>-43.658507</v>
      </c>
      <c r="M13">
        <f t="shared" si="2"/>
        <v>-0.71884331903387944</v>
      </c>
      <c r="N13">
        <f t="shared" si="3"/>
        <v>-21.090488401559934</v>
      </c>
      <c r="Q13">
        <v>-5.7668809999999997</v>
      </c>
      <c r="R13">
        <v>-38.127158999999999</v>
      </c>
      <c r="S13">
        <f t="shared" si="4"/>
        <v>-0.42778431903387926</v>
      </c>
      <c r="T13">
        <f t="shared" si="5"/>
        <v>-15.559140401559933</v>
      </c>
      <c r="V13">
        <v>-7.4702770000000003</v>
      </c>
      <c r="W13">
        <v>-34.991785</v>
      </c>
      <c r="X13">
        <f t="shared" si="6"/>
        <v>-0.63118031903387983</v>
      </c>
      <c r="Y13">
        <f t="shared" si="7"/>
        <v>-12.423766401559934</v>
      </c>
      <c r="AA13">
        <v>-9.0509719999999998</v>
      </c>
      <c r="AB13">
        <v>-34.376584999999999</v>
      </c>
      <c r="AC13">
        <f t="shared" si="8"/>
        <v>-0.21187531903387935</v>
      </c>
      <c r="AD13">
        <f t="shared" si="9"/>
        <v>-11.808566401559933</v>
      </c>
      <c r="AF13">
        <v>-10.356608</v>
      </c>
      <c r="AG13">
        <v>-33.743842000000001</v>
      </c>
      <c r="AH13">
        <f t="shared" si="10"/>
        <v>-0.51751131903387915</v>
      </c>
      <c r="AI13">
        <f t="shared" si="11"/>
        <v>-11.175823401559935</v>
      </c>
      <c r="AK13">
        <v>-10.416722999999999</v>
      </c>
      <c r="AL13">
        <v>-31.747354000000001</v>
      </c>
      <c r="AM13">
        <f t="shared" si="12"/>
        <v>0.2223736809661212</v>
      </c>
      <c r="AN13">
        <f t="shared" si="13"/>
        <v>-9.1793354015599355</v>
      </c>
      <c r="AP13">
        <v>-13.09956</v>
      </c>
      <c r="AQ13">
        <v>-30.265502000000001</v>
      </c>
      <c r="AR13">
        <f t="shared" si="14"/>
        <v>3.9536680966119953E-2</v>
      </c>
      <c r="AS13">
        <f t="shared" si="15"/>
        <v>-7.6974834015599356</v>
      </c>
      <c r="AW13" s="170" t="s">
        <v>27</v>
      </c>
      <c r="AX13" s="170">
        <v>460.8</v>
      </c>
      <c r="BC13" s="146"/>
      <c r="BH13" s="159">
        <v>93.835177516070971</v>
      </c>
      <c r="BI13" s="159">
        <v>2.7768510934620131E-2</v>
      </c>
      <c r="BJ13" s="159">
        <v>73.161670282743401</v>
      </c>
      <c r="BK13" s="159">
        <v>3.9676981378982325E-2</v>
      </c>
      <c r="BL13" s="159"/>
      <c r="BM13" t="str">
        <f t="shared" si="22"/>
        <v>1+0.1995295i</v>
      </c>
      <c r="BN13">
        <f t="shared" si="23"/>
        <v>-0.16954834048306031</v>
      </c>
      <c r="BO13">
        <f t="shared" si="24"/>
        <v>-11.284009299220033</v>
      </c>
      <c r="BP13" t="str">
        <f t="shared" si="25"/>
        <v>1+0.1995295i</v>
      </c>
      <c r="BQ13">
        <f t="shared" si="26"/>
        <v>-0.16954834048306031</v>
      </c>
      <c r="BR13">
        <f t="shared" si="27"/>
        <v>-11.284009299220033</v>
      </c>
      <c r="BS13">
        <f t="shared" si="28"/>
        <v>-0.33909668096612061</v>
      </c>
      <c r="BT13">
        <f t="shared" si="29"/>
        <v>-22.568018598440066</v>
      </c>
    </row>
    <row r="14" spans="1:74" x14ac:dyDescent="0.3">
      <c r="A14">
        <v>2.5117669999999999</v>
      </c>
      <c r="B14">
        <v>-5.4194099999999992</v>
      </c>
      <c r="C14">
        <v>-46.003827999999999</v>
      </c>
      <c r="D14">
        <v>2.5117669999999999</v>
      </c>
      <c r="F14">
        <v>-2.1437889999999999</v>
      </c>
      <c r="G14">
        <v>-63.523969000000001</v>
      </c>
      <c r="H14">
        <f t="shared" si="0"/>
        <v>-1.6123905090309001</v>
      </c>
      <c r="I14">
        <f t="shared" si="1"/>
        <v>-35.324609113974134</v>
      </c>
      <c r="K14">
        <v>-4.3322029999999998</v>
      </c>
      <c r="L14">
        <v>-54.888092</v>
      </c>
      <c r="M14">
        <f t="shared" si="2"/>
        <v>-0.90080450903090004</v>
      </c>
      <c r="N14">
        <f t="shared" si="3"/>
        <v>-26.688732113974137</v>
      </c>
      <c r="Q14">
        <v>-6.2202510000000002</v>
      </c>
      <c r="R14">
        <v>-48.374541999999998</v>
      </c>
      <c r="S14">
        <f t="shared" si="4"/>
        <v>-0.6888525090308999</v>
      </c>
      <c r="T14">
        <f t="shared" si="5"/>
        <v>-20.175182113974135</v>
      </c>
      <c r="V14">
        <v>-7.526834</v>
      </c>
      <c r="W14">
        <v>-44.980901000000003</v>
      </c>
      <c r="X14">
        <f t="shared" si="6"/>
        <v>-0.49543550903089972</v>
      </c>
      <c r="Y14">
        <f t="shared" si="7"/>
        <v>-16.781541113974139</v>
      </c>
      <c r="AA14">
        <v>-9.2202079999999995</v>
      </c>
      <c r="AB14">
        <v>-41.443969000000003</v>
      </c>
      <c r="AC14">
        <f t="shared" si="8"/>
        <v>-0.1888095090309001</v>
      </c>
      <c r="AD14">
        <f t="shared" si="9"/>
        <v>-13.244609113974139</v>
      </c>
      <c r="AF14">
        <v>-10.273344</v>
      </c>
      <c r="AG14">
        <v>-38.851602</v>
      </c>
      <c r="AH14">
        <f t="shared" si="10"/>
        <v>-0.2419455090309004</v>
      </c>
      <c r="AI14">
        <f t="shared" si="11"/>
        <v>-10.652242113974136</v>
      </c>
      <c r="AK14">
        <v>-10.621969999999999</v>
      </c>
      <c r="AL14">
        <v>-37.044438999999997</v>
      </c>
      <c r="AM14">
        <f t="shared" si="12"/>
        <v>0.20942849096910021</v>
      </c>
      <c r="AN14">
        <f t="shared" si="13"/>
        <v>-8.8450791139741334</v>
      </c>
      <c r="AP14">
        <v>-13.258786000000001</v>
      </c>
      <c r="AQ14">
        <v>-38.106889000000002</v>
      </c>
      <c r="AR14">
        <f t="shared" si="14"/>
        <v>7.2612490969098609E-2</v>
      </c>
      <c r="AS14">
        <f t="shared" si="15"/>
        <v>-9.9075291139741388</v>
      </c>
      <c r="AW14" s="170" t="s">
        <v>92</v>
      </c>
      <c r="AX14" s="170">
        <v>6.9658921582847581E-4</v>
      </c>
      <c r="AY14" s="170">
        <v>-1.9381907115184841E-7</v>
      </c>
      <c r="AZ14" s="170">
        <v>1.782679103068748E-11</v>
      </c>
      <c r="BC14" s="146"/>
      <c r="BH14" s="159">
        <v>95.760447741647312</v>
      </c>
      <c r="BI14" s="159">
        <v>2.7131780912102672E-2</v>
      </c>
      <c r="BJ14" s="159">
        <v>75.03988040426492</v>
      </c>
      <c r="BK14" s="159">
        <v>3.7281900353922377E-2</v>
      </c>
      <c r="BL14" s="159"/>
      <c r="BM14" t="str">
        <f t="shared" si="22"/>
        <v>1+0.2511767i</v>
      </c>
      <c r="BN14">
        <f t="shared" si="23"/>
        <v>-0.26569924548454993</v>
      </c>
      <c r="BO14">
        <f t="shared" si="24"/>
        <v>-14.099679943012932</v>
      </c>
      <c r="BP14" t="str">
        <f t="shared" si="25"/>
        <v>1+0.2511767i</v>
      </c>
      <c r="BQ14">
        <f t="shared" si="26"/>
        <v>-0.26569924548454993</v>
      </c>
      <c r="BR14">
        <f t="shared" si="27"/>
        <v>-14.099679943012932</v>
      </c>
      <c r="BS14">
        <f t="shared" si="28"/>
        <v>-0.53139849096909986</v>
      </c>
      <c r="BT14">
        <f t="shared" si="29"/>
        <v>-28.199359886025864</v>
      </c>
    </row>
    <row r="15" spans="1:74" x14ac:dyDescent="0.3">
      <c r="A15">
        <v>3.162147</v>
      </c>
      <c r="B15">
        <v>-5.9853749999999994</v>
      </c>
      <c r="C15">
        <v>-55.990496</v>
      </c>
      <c r="D15">
        <v>3.162147</v>
      </c>
      <c r="F15">
        <v>-3.1794090000000002</v>
      </c>
      <c r="G15">
        <v>-77.403970000000001</v>
      </c>
      <c r="H15">
        <f t="shared" si="0"/>
        <v>-2.3516205478833054</v>
      </c>
      <c r="I15">
        <f t="shared" si="1"/>
        <v>-42.308529918655118</v>
      </c>
      <c r="K15">
        <v>-5.2673370000000004</v>
      </c>
      <c r="L15">
        <v>-67.730967000000007</v>
      </c>
      <c r="M15">
        <f t="shared" si="2"/>
        <v>-1.5395485478833053</v>
      </c>
      <c r="N15">
        <f t="shared" si="3"/>
        <v>-32.635526918655124</v>
      </c>
      <c r="Q15">
        <v>-6.7917249999999996</v>
      </c>
      <c r="R15">
        <v>-59.475906999999999</v>
      </c>
      <c r="S15">
        <f t="shared" si="4"/>
        <v>-0.96393654788330529</v>
      </c>
      <c r="T15">
        <f t="shared" si="5"/>
        <v>-24.380466918655117</v>
      </c>
      <c r="V15">
        <v>-8.0454830000000008</v>
      </c>
      <c r="W15">
        <v>-54.924391999999997</v>
      </c>
      <c r="X15">
        <f t="shared" si="6"/>
        <v>-0.71769454788330656</v>
      </c>
      <c r="Y15">
        <f t="shared" si="7"/>
        <v>-19.828951918655115</v>
      </c>
      <c r="AA15">
        <v>-9.8051019999999998</v>
      </c>
      <c r="AB15">
        <v>-50.294750000000001</v>
      </c>
      <c r="AC15">
        <f t="shared" si="8"/>
        <v>-0.47731354788330549</v>
      </c>
      <c r="AD15">
        <f t="shared" si="9"/>
        <v>-15.199309918655118</v>
      </c>
      <c r="AF15">
        <v>-10.496484000000001</v>
      </c>
      <c r="AG15">
        <v>-48.218651000000001</v>
      </c>
      <c r="AH15">
        <f t="shared" si="10"/>
        <v>-0.16869554788330632</v>
      </c>
      <c r="AI15">
        <f t="shared" si="11"/>
        <v>-13.123210918655118</v>
      </c>
      <c r="AK15">
        <v>-11.027995000000001</v>
      </c>
      <c r="AL15">
        <v>-47.907817000000001</v>
      </c>
      <c r="AM15">
        <f t="shared" si="12"/>
        <v>9.9793452116693659E-2</v>
      </c>
      <c r="AN15">
        <f t="shared" si="13"/>
        <v>-12.812376918655119</v>
      </c>
      <c r="AP15">
        <v>-13.832655000000001</v>
      </c>
      <c r="AQ15">
        <v>-50.137827000000001</v>
      </c>
      <c r="AR15">
        <f t="shared" si="14"/>
        <v>-0.20486654788330672</v>
      </c>
      <c r="AS15">
        <f t="shared" si="15"/>
        <v>-15.042386918655119</v>
      </c>
      <c r="AW15" s="171" t="s">
        <v>207</v>
      </c>
      <c r="AX15" s="170">
        <v>-0.65641091051665401</v>
      </c>
      <c r="BC15" s="146"/>
      <c r="BH15" s="159">
        <v>98.439901626636328</v>
      </c>
      <c r="BI15" s="159">
        <v>2.6292721207050156E-2</v>
      </c>
      <c r="BJ15" s="159"/>
      <c r="BK15" s="159"/>
      <c r="BL15" s="159"/>
      <c r="BM15" t="str">
        <f t="shared" si="22"/>
        <v>1+0.3162147i</v>
      </c>
      <c r="BN15">
        <f t="shared" si="23"/>
        <v>-0.41389422605834736</v>
      </c>
      <c r="BO15">
        <f t="shared" si="24"/>
        <v>-17.547720040672441</v>
      </c>
      <c r="BP15" t="str">
        <f t="shared" si="25"/>
        <v>1+0.3162147i</v>
      </c>
      <c r="BQ15">
        <f t="shared" si="26"/>
        <v>-0.41389422605834736</v>
      </c>
      <c r="BR15">
        <f t="shared" si="27"/>
        <v>-17.547720040672441</v>
      </c>
      <c r="BS15">
        <f t="shared" si="28"/>
        <v>-0.82778845211669472</v>
      </c>
      <c r="BT15">
        <f t="shared" si="29"/>
        <v>-35.095440081344883</v>
      </c>
    </row>
    <row r="16" spans="1:74" x14ac:dyDescent="0.3">
      <c r="A16">
        <v>3.981109</v>
      </c>
      <c r="B16">
        <v>-7.2127429999999997</v>
      </c>
      <c r="C16">
        <v>-68.044466999999997</v>
      </c>
      <c r="D16">
        <v>3.981109</v>
      </c>
      <c r="F16">
        <v>-4.5219509999999996</v>
      </c>
      <c r="G16">
        <v>-93.484380999999999</v>
      </c>
      <c r="H16">
        <f t="shared" si="0"/>
        <v>-3.2440880533920851</v>
      </c>
      <c r="I16">
        <f t="shared" si="1"/>
        <v>-50.068299810980101</v>
      </c>
      <c r="K16">
        <v>-6.2910329999999997</v>
      </c>
      <c r="L16">
        <v>-81.878120999999993</v>
      </c>
      <c r="M16">
        <f t="shared" si="2"/>
        <v>-2.1131700533920852</v>
      </c>
      <c r="N16">
        <f t="shared" si="3"/>
        <v>-38.462039810980095</v>
      </c>
      <c r="Q16">
        <v>-7.8347530000000001</v>
      </c>
      <c r="R16">
        <v>-73.513490000000004</v>
      </c>
      <c r="S16">
        <f t="shared" si="4"/>
        <v>-1.5568900533920855</v>
      </c>
      <c r="T16">
        <f t="shared" si="5"/>
        <v>-30.097408810980106</v>
      </c>
      <c r="V16">
        <v>-8.7913899999999998</v>
      </c>
      <c r="W16">
        <v>-67.709374999999994</v>
      </c>
      <c r="X16">
        <f t="shared" si="6"/>
        <v>-1.0135270533920853</v>
      </c>
      <c r="Y16">
        <f t="shared" si="7"/>
        <v>-24.293293810980096</v>
      </c>
      <c r="AA16">
        <v>-10.136825999999999</v>
      </c>
      <c r="AB16">
        <v>-63.063271999999998</v>
      </c>
      <c r="AC16">
        <f t="shared" si="8"/>
        <v>-0.35896305339208467</v>
      </c>
      <c r="AD16">
        <f t="shared" si="9"/>
        <v>-19.647190810980099</v>
      </c>
      <c r="AF16">
        <v>-11.364051</v>
      </c>
      <c r="AG16">
        <v>-60.192681999999998</v>
      </c>
      <c r="AH16">
        <f t="shared" si="10"/>
        <v>-0.58618805339208535</v>
      </c>
      <c r="AI16">
        <f t="shared" si="11"/>
        <v>-16.776600810980099</v>
      </c>
      <c r="AK16">
        <v>-11.702182000000001</v>
      </c>
      <c r="AL16">
        <v>-59.200918000000001</v>
      </c>
      <c r="AM16">
        <f t="shared" si="12"/>
        <v>-0.12431905339208593</v>
      </c>
      <c r="AN16">
        <f t="shared" si="13"/>
        <v>-15.784836810980103</v>
      </c>
      <c r="AP16">
        <v>-14.112617</v>
      </c>
      <c r="AQ16">
        <v>-56.618287000000002</v>
      </c>
      <c r="AR16">
        <f t="shared" si="14"/>
        <v>-3.4754053392085815E-2</v>
      </c>
      <c r="AS16">
        <f t="shared" si="15"/>
        <v>-13.202205810980104</v>
      </c>
      <c r="BM16" t="str">
        <f t="shared" si="22"/>
        <v>1+0.3981109i</v>
      </c>
      <c r="BN16">
        <f t="shared" si="23"/>
        <v>-0.63893147330395728</v>
      </c>
      <c r="BO16">
        <f t="shared" si="24"/>
        <v>-21.708040594509949</v>
      </c>
      <c r="BP16" t="str">
        <f t="shared" si="25"/>
        <v>1+0.3981109i</v>
      </c>
      <c r="BQ16">
        <f t="shared" si="26"/>
        <v>-0.63893147330395728</v>
      </c>
      <c r="BR16">
        <f t="shared" si="27"/>
        <v>-21.708040594509949</v>
      </c>
      <c r="BS16">
        <f t="shared" si="28"/>
        <v>-1.2778629466079146</v>
      </c>
      <c r="BT16">
        <f t="shared" si="29"/>
        <v>-43.416081189019899</v>
      </c>
    </row>
    <row r="17" spans="1:72" x14ac:dyDescent="0.3">
      <c r="A17">
        <v>5.0121130000000003</v>
      </c>
      <c r="B17">
        <v>-8.8242010000000004</v>
      </c>
      <c r="C17">
        <v>-79.489788000000004</v>
      </c>
      <c r="D17">
        <v>5.0121130000000003</v>
      </c>
      <c r="F17">
        <v>-6.3816810000000004</v>
      </c>
      <c r="G17">
        <v>-110.330659</v>
      </c>
      <c r="H17">
        <f t="shared" si="0"/>
        <v>-4.4350576552988059</v>
      </c>
      <c r="I17">
        <f t="shared" si="1"/>
        <v>-57.08956665308105</v>
      </c>
      <c r="K17">
        <v>-7.7791810000000003</v>
      </c>
      <c r="L17">
        <v>-97.814845000000005</v>
      </c>
      <c r="M17">
        <f t="shared" si="2"/>
        <v>-2.932557655298806</v>
      </c>
      <c r="N17">
        <f t="shared" si="3"/>
        <v>-44.573752653081058</v>
      </c>
      <c r="Q17">
        <v>-9.0379199999999997</v>
      </c>
      <c r="R17">
        <v>-89.142735999999999</v>
      </c>
      <c r="S17">
        <f t="shared" si="4"/>
        <v>-2.0912966552988053</v>
      </c>
      <c r="T17">
        <f t="shared" si="5"/>
        <v>-35.901643653081052</v>
      </c>
      <c r="V17">
        <v>-9.8730820000000001</v>
      </c>
      <c r="W17">
        <v>-82.616490999999996</v>
      </c>
      <c r="X17">
        <f t="shared" si="6"/>
        <v>-1.4264586552988057</v>
      </c>
      <c r="Y17">
        <f t="shared" si="7"/>
        <v>-29.375398653081049</v>
      </c>
      <c r="AA17">
        <v>-11.304062999999999</v>
      </c>
      <c r="AB17">
        <v>-77.430845000000005</v>
      </c>
      <c r="AC17">
        <f t="shared" si="8"/>
        <v>-0.85743965529880484</v>
      </c>
      <c r="AD17">
        <f t="shared" si="9"/>
        <v>-24.189752653081058</v>
      </c>
      <c r="AF17">
        <v>-12.251906999999999</v>
      </c>
      <c r="AG17">
        <v>-74.531109000000001</v>
      </c>
      <c r="AH17">
        <f t="shared" si="10"/>
        <v>-0.80528365529880475</v>
      </c>
      <c r="AI17">
        <f t="shared" si="11"/>
        <v>-21.290016653081054</v>
      </c>
      <c r="AK17">
        <v>-12.494814</v>
      </c>
      <c r="AL17">
        <v>-71.241861</v>
      </c>
      <c r="AM17">
        <f t="shared" si="12"/>
        <v>-0.24819065529880535</v>
      </c>
      <c r="AN17">
        <f t="shared" si="13"/>
        <v>-18.000768653081053</v>
      </c>
      <c r="AP17">
        <v>-15.245404000000001</v>
      </c>
      <c r="AQ17">
        <v>-72.155293</v>
      </c>
      <c r="AR17">
        <f t="shared" si="14"/>
        <v>-0.49878065529880633</v>
      </c>
      <c r="AS17">
        <f t="shared" si="15"/>
        <v>-18.914200653081053</v>
      </c>
      <c r="BM17" t="str">
        <f t="shared" si="22"/>
        <v>1+0.5012113i</v>
      </c>
      <c r="BN17">
        <f t="shared" si="23"/>
        <v>-0.97331167235059723</v>
      </c>
      <c r="BO17">
        <f t="shared" si="24"/>
        <v>-26.620546173459473</v>
      </c>
      <c r="BP17" t="str">
        <f t="shared" si="25"/>
        <v>1+0.5012113i</v>
      </c>
      <c r="BQ17">
        <f t="shared" si="26"/>
        <v>-0.97331167235059723</v>
      </c>
      <c r="BR17">
        <f t="shared" si="27"/>
        <v>-26.620546173459473</v>
      </c>
      <c r="BS17">
        <f t="shared" si="28"/>
        <v>-1.9466233447011945</v>
      </c>
      <c r="BT17">
        <f t="shared" si="29"/>
        <v>-53.241092346918947</v>
      </c>
    </row>
    <row r="18" spans="1:72" x14ac:dyDescent="0.3">
      <c r="A18">
        <v>6.3094749999999999</v>
      </c>
      <c r="B18">
        <v>-10.436655</v>
      </c>
      <c r="C18">
        <v>-91.708522000000002</v>
      </c>
      <c r="D18">
        <v>6.3094749999999999</v>
      </c>
      <c r="F18">
        <v>-8.63795</v>
      </c>
      <c r="G18">
        <v>-128.26998</v>
      </c>
      <c r="H18">
        <f t="shared" si="0"/>
        <v>-5.7272179161074259</v>
      </c>
      <c r="I18">
        <f t="shared" si="1"/>
        <v>-63.770431726573065</v>
      </c>
      <c r="K18">
        <v>-9.7414009999999998</v>
      </c>
      <c r="L18">
        <v>-116.561954</v>
      </c>
      <c r="M18">
        <f t="shared" si="2"/>
        <v>-3.9306689161074257</v>
      </c>
      <c r="N18">
        <f t="shared" si="3"/>
        <v>-52.062405726573061</v>
      </c>
      <c r="Q18">
        <v>-10.282708</v>
      </c>
      <c r="R18">
        <v>-102.65052799999999</v>
      </c>
      <c r="S18">
        <f t="shared" si="4"/>
        <v>-2.3719759161074254</v>
      </c>
      <c r="T18">
        <f t="shared" si="5"/>
        <v>-38.150979726573055</v>
      </c>
      <c r="V18">
        <v>-11.287694</v>
      </c>
      <c r="W18">
        <v>-98.162126999999998</v>
      </c>
      <c r="X18">
        <f t="shared" si="6"/>
        <v>-1.876961916107426</v>
      </c>
      <c r="Y18">
        <f t="shared" si="7"/>
        <v>-33.662578726573059</v>
      </c>
      <c r="AA18">
        <v>-12.476191999999999</v>
      </c>
      <c r="AB18">
        <v>-91.135182</v>
      </c>
      <c r="AC18">
        <f t="shared" si="8"/>
        <v>-1.0654599161074252</v>
      </c>
      <c r="AD18">
        <f t="shared" si="9"/>
        <v>-26.635633726573062</v>
      </c>
      <c r="AF18">
        <v>-13.378944000000001</v>
      </c>
      <c r="AG18">
        <v>-88.977658000000005</v>
      </c>
      <c r="AH18">
        <f t="shared" si="10"/>
        <v>-0.96821191610742652</v>
      </c>
      <c r="AI18">
        <f t="shared" si="11"/>
        <v>-24.478109726573066</v>
      </c>
      <c r="AK18">
        <v>-13.56185</v>
      </c>
      <c r="AL18">
        <v>-86.639334000000005</v>
      </c>
      <c r="AM18">
        <f t="shared" si="12"/>
        <v>-0.3511179161074256</v>
      </c>
      <c r="AN18">
        <f t="shared" si="13"/>
        <v>-22.139785726573066</v>
      </c>
      <c r="AP18">
        <v>-15.53144</v>
      </c>
      <c r="AQ18">
        <v>-79.570302999999996</v>
      </c>
      <c r="AR18">
        <f t="shared" si="14"/>
        <v>0.17929208389257401</v>
      </c>
      <c r="AS18">
        <f t="shared" si="15"/>
        <v>-15.070754726573057</v>
      </c>
      <c r="BM18" t="str">
        <f t="shared" si="22"/>
        <v>1+0.6309475i</v>
      </c>
      <c r="BN18">
        <f t="shared" si="23"/>
        <v>-1.455366041946287</v>
      </c>
      <c r="BO18">
        <f t="shared" si="24"/>
        <v>-32.249774136713469</v>
      </c>
      <c r="BP18" t="str">
        <f t="shared" si="25"/>
        <v>1+0.6309475i</v>
      </c>
      <c r="BQ18">
        <f t="shared" si="26"/>
        <v>-1.455366041946287</v>
      </c>
      <c r="BR18">
        <f t="shared" si="27"/>
        <v>-32.249774136713469</v>
      </c>
      <c r="BS18">
        <f t="shared" si="28"/>
        <v>-2.9107320838925741</v>
      </c>
      <c r="BT18">
        <f t="shared" si="29"/>
        <v>-64.499548273426939</v>
      </c>
    </row>
    <row r="19" spans="1:72" x14ac:dyDescent="0.3">
      <c r="A19">
        <v>7.9433439999999997</v>
      </c>
      <c r="B19">
        <v>-12.414909</v>
      </c>
      <c r="C19">
        <v>-104.776256</v>
      </c>
      <c r="D19">
        <v>7.9433439999999997</v>
      </c>
      <c r="F19">
        <v>-11.443386</v>
      </c>
      <c r="G19">
        <v>-147.63089500000001</v>
      </c>
      <c r="H19">
        <f t="shared" si="0"/>
        <v>-7.1944817820711773</v>
      </c>
      <c r="I19">
        <f t="shared" si="1"/>
        <v>-70.70824592273388</v>
      </c>
      <c r="K19">
        <v>-12.055149</v>
      </c>
      <c r="L19">
        <v>-133.99275</v>
      </c>
      <c r="M19">
        <f t="shared" si="2"/>
        <v>-4.9062447820711768</v>
      </c>
      <c r="N19">
        <f t="shared" si="3"/>
        <v>-57.070100922733872</v>
      </c>
      <c r="Q19">
        <v>-12.446922000000001</v>
      </c>
      <c r="R19">
        <v>-122.36213600000001</v>
      </c>
      <c r="S19">
        <f t="shared" si="4"/>
        <v>-3.1980177820711777</v>
      </c>
      <c r="T19">
        <f t="shared" si="5"/>
        <v>-45.439486922733877</v>
      </c>
      <c r="V19">
        <v>-13.137185000000001</v>
      </c>
      <c r="W19">
        <v>-117.571324</v>
      </c>
      <c r="X19">
        <f t="shared" si="6"/>
        <v>-2.3882807820711776</v>
      </c>
      <c r="Y19">
        <f t="shared" si="7"/>
        <v>-40.648674922733875</v>
      </c>
      <c r="AA19">
        <v>-14.082272</v>
      </c>
      <c r="AB19">
        <v>-111.375378</v>
      </c>
      <c r="AC19">
        <f t="shared" si="8"/>
        <v>-1.3333677820711767</v>
      </c>
      <c r="AD19">
        <f t="shared" si="9"/>
        <v>-34.452728922733868</v>
      </c>
      <c r="AF19">
        <v>-15.048959</v>
      </c>
      <c r="AG19">
        <v>-105.02180199999999</v>
      </c>
      <c r="AH19">
        <f t="shared" si="10"/>
        <v>-1.300054782071177</v>
      </c>
      <c r="AI19">
        <f t="shared" si="11"/>
        <v>-28.099152922733865</v>
      </c>
      <c r="AK19">
        <v>-15.078332</v>
      </c>
      <c r="AL19">
        <v>-104.616173</v>
      </c>
      <c r="AM19">
        <f t="shared" si="12"/>
        <v>-0.52942778207117658</v>
      </c>
      <c r="AN19">
        <f t="shared" si="13"/>
        <v>-27.693523922733874</v>
      </c>
      <c r="AP19">
        <v>-16.863849999999999</v>
      </c>
      <c r="AQ19">
        <v>-97.112522999999996</v>
      </c>
      <c r="AR19">
        <f t="shared" si="14"/>
        <v>0.18505421792882348</v>
      </c>
      <c r="AS19">
        <f t="shared" si="15"/>
        <v>-20.189873922733867</v>
      </c>
      <c r="BM19" t="str">
        <f t="shared" si="22"/>
        <v>1+0.7943344i</v>
      </c>
      <c r="BN19">
        <f t="shared" si="23"/>
        <v>-2.1244521089644115</v>
      </c>
      <c r="BO19">
        <f t="shared" si="24"/>
        <v>-38.461324538633065</v>
      </c>
      <c r="BP19" t="str">
        <f t="shared" si="25"/>
        <v>1+0.7943344i</v>
      </c>
      <c r="BQ19">
        <f t="shared" si="26"/>
        <v>-2.1244521089644115</v>
      </c>
      <c r="BR19">
        <f t="shared" si="27"/>
        <v>-38.461324538633065</v>
      </c>
      <c r="BS19">
        <f t="shared" si="28"/>
        <v>-4.248904217928823</v>
      </c>
      <c r="BT19">
        <f t="shared" si="29"/>
        <v>-76.922649077266129</v>
      </c>
    </row>
    <row r="20" spans="1:72" x14ac:dyDescent="0.3">
      <c r="A20">
        <v>10.000294999999999</v>
      </c>
      <c r="B20">
        <v>-14.779495000000001</v>
      </c>
      <c r="C20">
        <v>-117.170357</v>
      </c>
      <c r="D20">
        <v>10.000294999999999</v>
      </c>
      <c r="F20">
        <v>-14.837838</v>
      </c>
      <c r="G20">
        <v>-167.26056500000001</v>
      </c>
      <c r="H20">
        <f t="shared" si="0"/>
        <v>-8.8169818529760917</v>
      </c>
      <c r="I20">
        <f t="shared" si="1"/>
        <v>-77.258874799434963</v>
      </c>
      <c r="K20">
        <v>-15.318896000000001</v>
      </c>
      <c r="L20">
        <v>-154.13933900000001</v>
      </c>
      <c r="M20">
        <f t="shared" si="2"/>
        <v>-6.3980398529760922</v>
      </c>
      <c r="N20">
        <f t="shared" si="3"/>
        <v>-64.137648799434956</v>
      </c>
      <c r="Q20">
        <v>-15.284039999999999</v>
      </c>
      <c r="R20">
        <v>-142.62768199999999</v>
      </c>
      <c r="S20">
        <f t="shared" si="4"/>
        <v>-4.2631838529760913</v>
      </c>
      <c r="T20">
        <f t="shared" si="5"/>
        <v>-52.625991799434942</v>
      </c>
      <c r="V20">
        <v>-15.879968</v>
      </c>
      <c r="W20">
        <v>-135.80307199999999</v>
      </c>
      <c r="X20">
        <f t="shared" si="6"/>
        <v>-3.3591118529760919</v>
      </c>
      <c r="Y20">
        <f t="shared" si="7"/>
        <v>-45.801381799434935</v>
      </c>
      <c r="AA20">
        <v>-16.688901999999999</v>
      </c>
      <c r="AB20">
        <v>-129.849887</v>
      </c>
      <c r="AC20">
        <f t="shared" si="8"/>
        <v>-2.1680458529760891</v>
      </c>
      <c r="AD20">
        <f t="shared" si="9"/>
        <v>-39.848196799434945</v>
      </c>
      <c r="AF20">
        <v>-17.528338999999999</v>
      </c>
      <c r="AG20">
        <v>-125.679428</v>
      </c>
      <c r="AH20">
        <f t="shared" si="10"/>
        <v>-2.0074828529760893</v>
      </c>
      <c r="AI20">
        <f t="shared" si="11"/>
        <v>-35.677737799434951</v>
      </c>
      <c r="AK20">
        <v>-17.648678</v>
      </c>
      <c r="AL20">
        <v>-123.730304</v>
      </c>
      <c r="AM20">
        <f t="shared" si="12"/>
        <v>-1.3278218529760906</v>
      </c>
      <c r="AN20">
        <f t="shared" si="13"/>
        <v>-33.728613799434953</v>
      </c>
      <c r="AP20">
        <v>-18.890034</v>
      </c>
      <c r="AQ20">
        <v>-112.94975599999999</v>
      </c>
      <c r="AR20">
        <f t="shared" si="14"/>
        <v>-6.917785297609047E-2</v>
      </c>
      <c r="AS20">
        <f t="shared" si="15"/>
        <v>-22.948065799434943</v>
      </c>
      <c r="BM20" t="str">
        <f t="shared" si="22"/>
        <v>1+1.0000295i</v>
      </c>
      <c r="BN20">
        <f t="shared" si="23"/>
        <v>-3.0104280735119544</v>
      </c>
      <c r="BO20">
        <f t="shared" si="24"/>
        <v>-45.000845100282525</v>
      </c>
      <c r="BP20" t="str">
        <f t="shared" si="25"/>
        <v>1+1.0000295i</v>
      </c>
      <c r="BQ20">
        <f t="shared" si="26"/>
        <v>-3.0104280735119544</v>
      </c>
      <c r="BR20">
        <f t="shared" si="27"/>
        <v>-45.000845100282525</v>
      </c>
      <c r="BS20">
        <f t="shared" si="28"/>
        <v>-6.0208561470239088</v>
      </c>
      <c r="BT20">
        <f t="shared" si="29"/>
        <v>-90.001690200565051</v>
      </c>
    </row>
    <row r="21" spans="1:72" x14ac:dyDescent="0.3">
      <c r="A21">
        <v>12.589451</v>
      </c>
      <c r="B21">
        <v>-16.969998</v>
      </c>
      <c r="C21">
        <v>-130.369213</v>
      </c>
      <c r="D21">
        <v>12.589451</v>
      </c>
      <c r="F21">
        <v>-18.724951000000001</v>
      </c>
      <c r="G21">
        <v>-185.881663</v>
      </c>
      <c r="H21">
        <f t="shared" si="0"/>
        <v>-10.475932370167753</v>
      </c>
      <c r="I21">
        <f t="shared" si="1"/>
        <v>-82.803006109917447</v>
      </c>
      <c r="K21">
        <v>-18.577562</v>
      </c>
      <c r="L21">
        <v>-172.49140800000001</v>
      </c>
      <c r="M21">
        <f t="shared" si="2"/>
        <v>-7.4285433701677519</v>
      </c>
      <c r="N21">
        <f t="shared" si="3"/>
        <v>-69.412751109917451</v>
      </c>
      <c r="Q21">
        <v>-18.505568</v>
      </c>
      <c r="R21">
        <v>-162.14247</v>
      </c>
      <c r="S21">
        <f t="shared" si="4"/>
        <v>-5.2565493701677521</v>
      </c>
      <c r="T21">
        <f t="shared" si="5"/>
        <v>-59.063813109917447</v>
      </c>
      <c r="V21">
        <v>-18.337596000000001</v>
      </c>
      <c r="W21">
        <v>-152.77489499999999</v>
      </c>
      <c r="X21">
        <f t="shared" si="6"/>
        <v>-3.5885773701677532</v>
      </c>
      <c r="Y21">
        <f t="shared" si="7"/>
        <v>-49.696238109917431</v>
      </c>
      <c r="AA21">
        <v>-19.485752000000002</v>
      </c>
      <c r="AB21">
        <v>-147.34971200000001</v>
      </c>
      <c r="AC21">
        <f t="shared" si="8"/>
        <v>-2.7367333701677534</v>
      </c>
      <c r="AD21">
        <f t="shared" si="9"/>
        <v>-44.271055109917455</v>
      </c>
      <c r="AF21">
        <v>-19.744350000000001</v>
      </c>
      <c r="AG21">
        <v>-144.45082400000001</v>
      </c>
      <c r="AH21">
        <f t="shared" si="10"/>
        <v>-1.9953313701677526</v>
      </c>
      <c r="AI21">
        <f t="shared" si="11"/>
        <v>-41.372167109917456</v>
      </c>
      <c r="AK21">
        <v>-19.669698</v>
      </c>
      <c r="AL21">
        <v>-140.502702</v>
      </c>
      <c r="AM21">
        <f t="shared" si="12"/>
        <v>-1.1206793701677522</v>
      </c>
      <c r="AN21">
        <f t="shared" si="13"/>
        <v>-37.424045109917444</v>
      </c>
      <c r="AP21">
        <v>-20.827476000000001</v>
      </c>
      <c r="AQ21">
        <v>-131.10502099999999</v>
      </c>
      <c r="AR21">
        <f t="shared" si="14"/>
        <v>0.22154262983224715</v>
      </c>
      <c r="AS21">
        <f t="shared" si="15"/>
        <v>-28.026364109917438</v>
      </c>
      <c r="BM21" t="str">
        <f t="shared" si="22"/>
        <v>1+1.2589451i</v>
      </c>
      <c r="BN21">
        <f t="shared" si="23"/>
        <v>-4.124509314916124</v>
      </c>
      <c r="BO21">
        <f t="shared" si="24"/>
        <v>-51.539328445041278</v>
      </c>
      <c r="BP21" t="str">
        <f t="shared" si="25"/>
        <v>1+1.2589451i</v>
      </c>
      <c r="BQ21">
        <f t="shared" si="26"/>
        <v>-4.124509314916124</v>
      </c>
      <c r="BR21">
        <f t="shared" si="27"/>
        <v>-51.539328445041278</v>
      </c>
      <c r="BS21">
        <f t="shared" si="28"/>
        <v>-8.2490186298322481</v>
      </c>
      <c r="BT21">
        <f t="shared" si="29"/>
        <v>-103.07865689008256</v>
      </c>
    </row>
    <row r="22" spans="1:72" x14ac:dyDescent="0.3">
      <c r="A22">
        <v>15.849119</v>
      </c>
      <c r="B22">
        <v>-19.846578000000001</v>
      </c>
      <c r="C22">
        <v>-141.03987100000001</v>
      </c>
      <c r="D22">
        <v>15.849119</v>
      </c>
      <c r="F22">
        <v>-23.298531000000001</v>
      </c>
      <c r="G22">
        <v>-206.137495</v>
      </c>
      <c r="H22">
        <f t="shared" si="0"/>
        <v>-12.387575075209766</v>
      </c>
      <c r="I22">
        <f t="shared" si="1"/>
        <v>-90.637239734646144</v>
      </c>
      <c r="K22">
        <v>-22.531413000000001</v>
      </c>
      <c r="L22">
        <v>-189.717389</v>
      </c>
      <c r="M22">
        <f t="shared" si="2"/>
        <v>-8.7204570752097652</v>
      </c>
      <c r="N22">
        <f t="shared" si="3"/>
        <v>-74.21713373464614</v>
      </c>
      <c r="Q22">
        <v>-22.549420999999999</v>
      </c>
      <c r="R22">
        <v>-182.470382</v>
      </c>
      <c r="S22">
        <f t="shared" si="4"/>
        <v>-6.6384650752097638</v>
      </c>
      <c r="T22">
        <f t="shared" si="5"/>
        <v>-66.970126734646144</v>
      </c>
      <c r="V22">
        <v>-22.808036000000001</v>
      </c>
      <c r="W22">
        <v>-177.456018</v>
      </c>
      <c r="X22">
        <f t="shared" si="6"/>
        <v>-5.3970800752097663</v>
      </c>
      <c r="Y22">
        <f t="shared" si="7"/>
        <v>-61.955762734646143</v>
      </c>
      <c r="AA22">
        <v>-23.164536999999999</v>
      </c>
      <c r="AB22">
        <v>-168.83659299999999</v>
      </c>
      <c r="AC22">
        <f t="shared" si="8"/>
        <v>-3.7535810752097643</v>
      </c>
      <c r="AD22">
        <f t="shared" si="9"/>
        <v>-53.336337734646136</v>
      </c>
      <c r="AF22">
        <v>-23.948663</v>
      </c>
      <c r="AG22">
        <v>-165.01420400000001</v>
      </c>
      <c r="AH22">
        <f t="shared" si="10"/>
        <v>-3.5377070752097648</v>
      </c>
      <c r="AI22">
        <f t="shared" si="11"/>
        <v>-49.513948734646149</v>
      </c>
      <c r="AK22">
        <v>-23.582322999999999</v>
      </c>
      <c r="AL22">
        <v>-162.33164600000001</v>
      </c>
      <c r="AM22">
        <f t="shared" si="12"/>
        <v>-2.371367075209764</v>
      </c>
      <c r="AN22">
        <f t="shared" si="13"/>
        <v>-46.831390734646149</v>
      </c>
      <c r="AP22">
        <v>-24.156144999999999</v>
      </c>
      <c r="AQ22">
        <v>-148.005312</v>
      </c>
      <c r="AR22">
        <f t="shared" si="14"/>
        <v>-0.44518907520976381</v>
      </c>
      <c r="AS22">
        <f t="shared" si="15"/>
        <v>-32.505056734646146</v>
      </c>
      <c r="BM22" t="str">
        <f t="shared" si="22"/>
        <v>1+1.5849119i</v>
      </c>
      <c r="BN22">
        <f t="shared" si="23"/>
        <v>-5.4554779623951175</v>
      </c>
      <c r="BO22">
        <f t="shared" si="24"/>
        <v>-57.750127632676929</v>
      </c>
      <c r="BP22" t="str">
        <f t="shared" si="25"/>
        <v>1+1.5849119i</v>
      </c>
      <c r="BQ22">
        <f t="shared" si="26"/>
        <v>-5.4554779623951175</v>
      </c>
      <c r="BR22">
        <f t="shared" si="27"/>
        <v>-57.750127632676929</v>
      </c>
      <c r="BS22">
        <f t="shared" si="28"/>
        <v>-10.910955924790235</v>
      </c>
      <c r="BT22">
        <f t="shared" si="29"/>
        <v>-115.50025526535386</v>
      </c>
    </row>
    <row r="23" spans="1:72" x14ac:dyDescent="0.3">
      <c r="A23">
        <v>19.952953999999998</v>
      </c>
      <c r="B23">
        <v>-26.856745</v>
      </c>
      <c r="C23">
        <v>-151.51324500000001</v>
      </c>
      <c r="D23">
        <v>19.952953999999998</v>
      </c>
      <c r="F23">
        <v>-28.493304999999999</v>
      </c>
      <c r="G23">
        <v>-224.34713300000001</v>
      </c>
      <c r="H23">
        <f t="shared" si="0"/>
        <v>-14.546618901663761</v>
      </c>
      <c r="I23">
        <f t="shared" si="1"/>
        <v>-97.585260097218068</v>
      </c>
      <c r="K23">
        <v>-27.598175000000001</v>
      </c>
      <c r="L23">
        <v>-211.620383</v>
      </c>
      <c r="M23">
        <f t="shared" si="2"/>
        <v>-10.751488901663762</v>
      </c>
      <c r="N23">
        <f t="shared" si="3"/>
        <v>-84.858510097218058</v>
      </c>
      <c r="Q23">
        <v>-27.03304</v>
      </c>
      <c r="R23">
        <v>-202.58077399999999</v>
      </c>
      <c r="S23">
        <f t="shared" si="4"/>
        <v>-8.0863539016637613</v>
      </c>
      <c r="T23">
        <f t="shared" si="5"/>
        <v>-75.818901097218045</v>
      </c>
      <c r="V23">
        <v>-27.300550999999999</v>
      </c>
      <c r="W23">
        <v>-197.761628</v>
      </c>
      <c r="X23">
        <f t="shared" si="6"/>
        <v>-6.8538649016637603</v>
      </c>
      <c r="Y23">
        <f t="shared" si="7"/>
        <v>-70.999755097218056</v>
      </c>
      <c r="AA23">
        <v>-27.970939000000001</v>
      </c>
      <c r="AB23">
        <v>-189.90050400000001</v>
      </c>
      <c r="AC23">
        <f t="shared" si="8"/>
        <v>-5.5242529016637629</v>
      </c>
      <c r="AD23">
        <f t="shared" si="9"/>
        <v>-63.138631097218067</v>
      </c>
      <c r="AF23">
        <v>-27.902159999999999</v>
      </c>
      <c r="AG23">
        <v>-187.622773</v>
      </c>
      <c r="AH23">
        <f t="shared" si="10"/>
        <v>-4.4554739016637601</v>
      </c>
      <c r="AI23">
        <f t="shared" si="11"/>
        <v>-60.86090009721805</v>
      </c>
      <c r="AK23">
        <v>-27.679478</v>
      </c>
      <c r="AL23">
        <v>-180.51603900000001</v>
      </c>
      <c r="AM23">
        <f t="shared" si="12"/>
        <v>-3.4327919016637614</v>
      </c>
      <c r="AN23">
        <f t="shared" si="13"/>
        <v>-53.754166097218061</v>
      </c>
      <c r="AP23">
        <v>-28.959365999999999</v>
      </c>
      <c r="AQ23">
        <v>-169.971642</v>
      </c>
      <c r="AR23">
        <f t="shared" si="14"/>
        <v>-2.2126799016637611</v>
      </c>
      <c r="AS23">
        <f t="shared" si="15"/>
        <v>-43.209769097218057</v>
      </c>
      <c r="BM23" t="str">
        <f t="shared" si="22"/>
        <v>1+1.9952954i</v>
      </c>
      <c r="BN23">
        <f t="shared" si="23"/>
        <v>-6.9733430491681192</v>
      </c>
      <c r="BO23">
        <f t="shared" si="24"/>
        <v>-63.380936451390973</v>
      </c>
      <c r="BP23" t="str">
        <f t="shared" si="25"/>
        <v>1+1.9952954i</v>
      </c>
      <c r="BQ23">
        <f t="shared" si="26"/>
        <v>-6.9733430491681192</v>
      </c>
      <c r="BR23">
        <f t="shared" si="27"/>
        <v>-63.380936451390973</v>
      </c>
      <c r="BS23">
        <f t="shared" si="28"/>
        <v>-13.946686098336238</v>
      </c>
      <c r="BT23">
        <f t="shared" si="29"/>
        <v>-126.76187290278195</v>
      </c>
    </row>
    <row r="24" spans="1:72" x14ac:dyDescent="0.3">
      <c r="A24">
        <v>25.120683</v>
      </c>
      <c r="B24">
        <v>-28.671386999999999</v>
      </c>
      <c r="C24">
        <v>-162.45881800000001</v>
      </c>
      <c r="D24">
        <v>25.120683</v>
      </c>
      <c r="F24">
        <v>-33.157201000000001</v>
      </c>
      <c r="G24">
        <v>-239.69872900000001</v>
      </c>
      <c r="H24">
        <f t="shared" si="0"/>
        <v>-15.878274645949936</v>
      </c>
      <c r="I24">
        <f t="shared" si="1"/>
        <v>-103.11159033399574</v>
      </c>
      <c r="K24">
        <v>-33.294130000000003</v>
      </c>
      <c r="L24">
        <v>-233.78536</v>
      </c>
      <c r="M24">
        <f t="shared" si="2"/>
        <v>-13.115203645949938</v>
      </c>
      <c r="N24">
        <f t="shared" si="3"/>
        <v>-97.198221333995718</v>
      </c>
      <c r="Q24">
        <v>-32.036302999999997</v>
      </c>
      <c r="R24">
        <v>-223.03087199999999</v>
      </c>
      <c r="S24">
        <f t="shared" si="4"/>
        <v>-9.7573766459499325</v>
      </c>
      <c r="T24">
        <f t="shared" si="5"/>
        <v>-86.443733333995709</v>
      </c>
      <c r="V24">
        <v>-32.263263999999999</v>
      </c>
      <c r="W24">
        <v>-216.69251700000001</v>
      </c>
      <c r="X24">
        <f t="shared" si="6"/>
        <v>-8.4843376459499353</v>
      </c>
      <c r="Y24">
        <f t="shared" si="7"/>
        <v>-80.105378333995731</v>
      </c>
      <c r="AA24">
        <v>-31.784034999999999</v>
      </c>
      <c r="AB24">
        <v>-207.718357</v>
      </c>
      <c r="AC24">
        <f t="shared" si="8"/>
        <v>-6.0051086459499352</v>
      </c>
      <c r="AD24">
        <f t="shared" si="9"/>
        <v>-71.131218333995719</v>
      </c>
      <c r="AF24">
        <v>-33.210966999999997</v>
      </c>
      <c r="AG24">
        <v>-205.36519200000001</v>
      </c>
      <c r="AH24">
        <f t="shared" si="10"/>
        <v>-6.4320406459499324</v>
      </c>
      <c r="AI24">
        <f t="shared" si="11"/>
        <v>-68.778053333995729</v>
      </c>
      <c r="AK24">
        <v>-32.599004000000001</v>
      </c>
      <c r="AL24">
        <v>-201.97343499999999</v>
      </c>
      <c r="AM24">
        <f t="shared" si="12"/>
        <v>-5.0200776459499368</v>
      </c>
      <c r="AN24">
        <f t="shared" si="13"/>
        <v>-65.386296333995716</v>
      </c>
      <c r="AP24">
        <v>-32.461950000000002</v>
      </c>
      <c r="AQ24">
        <v>-189.039445</v>
      </c>
      <c r="AR24">
        <f t="shared" si="14"/>
        <v>-2.3830236459499377</v>
      </c>
      <c r="AS24">
        <f t="shared" si="15"/>
        <v>-52.452306333995722</v>
      </c>
      <c r="BM24" t="str">
        <f t="shared" si="22"/>
        <v>1+2.5120683i</v>
      </c>
      <c r="BN24">
        <f t="shared" si="23"/>
        <v>-8.6394631770250321</v>
      </c>
      <c r="BO24">
        <f t="shared" si="24"/>
        <v>-68.293569333002139</v>
      </c>
      <c r="BP24" t="str">
        <f t="shared" si="25"/>
        <v>1+2.5120683i</v>
      </c>
      <c r="BQ24">
        <f t="shared" si="26"/>
        <v>-8.6394631770250321</v>
      </c>
      <c r="BR24">
        <f t="shared" si="27"/>
        <v>-68.293569333002139</v>
      </c>
      <c r="BS24">
        <f t="shared" si="28"/>
        <v>-17.278926354050064</v>
      </c>
      <c r="BT24">
        <f t="shared" si="29"/>
        <v>-136.58713866600428</v>
      </c>
    </row>
    <row r="25" spans="1:72" x14ac:dyDescent="0.3">
      <c r="A25">
        <v>31.623455</v>
      </c>
      <c r="B25">
        <v>-34.065339000000002</v>
      </c>
      <c r="C25">
        <v>-169.62320199999999</v>
      </c>
      <c r="D25">
        <v>31.623455</v>
      </c>
      <c r="F25">
        <v>-40.671905000000002</v>
      </c>
      <c r="G25">
        <v>-257.61886800000002</v>
      </c>
      <c r="H25">
        <f t="shared" si="0"/>
        <v>-19.843712505287396</v>
      </c>
      <c r="I25">
        <f t="shared" si="1"/>
        <v>-112.71496252572445</v>
      </c>
      <c r="K25">
        <v>-39.860267</v>
      </c>
      <c r="L25">
        <v>-240.83859699999999</v>
      </c>
      <c r="M25">
        <f t="shared" si="2"/>
        <v>-16.132074505287395</v>
      </c>
      <c r="N25">
        <f t="shared" si="3"/>
        <v>-95.934691525724418</v>
      </c>
      <c r="Q25">
        <v>-39.010058000000001</v>
      </c>
      <c r="R25">
        <v>-229.781948</v>
      </c>
      <c r="S25">
        <f t="shared" si="4"/>
        <v>-13.181865505287394</v>
      </c>
      <c r="T25">
        <f t="shared" si="5"/>
        <v>-84.878042525724425</v>
      </c>
      <c r="V25">
        <v>-39.331507000000002</v>
      </c>
      <c r="W25">
        <v>-224.70078100000001</v>
      </c>
      <c r="X25">
        <f t="shared" si="6"/>
        <v>-12.003314505287396</v>
      </c>
      <c r="Y25">
        <f t="shared" si="7"/>
        <v>-79.796875525724431</v>
      </c>
      <c r="AA25">
        <v>-38.973995000000002</v>
      </c>
      <c r="AB25">
        <v>-214.73187899999999</v>
      </c>
      <c r="AC25">
        <f t="shared" si="8"/>
        <v>-9.6458025052873957</v>
      </c>
      <c r="AD25">
        <f t="shared" si="9"/>
        <v>-69.827973525724417</v>
      </c>
      <c r="AF25">
        <v>-39.027825</v>
      </c>
      <c r="AG25">
        <v>-206.17111600000001</v>
      </c>
      <c r="AH25">
        <f t="shared" si="10"/>
        <v>-8.6996325052873935</v>
      </c>
      <c r="AI25">
        <f t="shared" si="11"/>
        <v>-61.267210525724437</v>
      </c>
      <c r="AK25">
        <v>-39.127324000000002</v>
      </c>
      <c r="AL25">
        <v>-200.96210099999999</v>
      </c>
      <c r="AM25">
        <f t="shared" si="12"/>
        <v>-7.9991315052873952</v>
      </c>
      <c r="AN25">
        <f t="shared" si="13"/>
        <v>-56.058195525724415</v>
      </c>
      <c r="AP25">
        <v>-36.996569999999998</v>
      </c>
      <c r="AQ25">
        <v>-183.99518699999999</v>
      </c>
      <c r="AR25">
        <f t="shared" si="14"/>
        <v>-3.3683775052873921</v>
      </c>
      <c r="AS25">
        <f t="shared" si="15"/>
        <v>-39.091281525724412</v>
      </c>
      <c r="BM25" t="str">
        <f t="shared" si="22"/>
        <v>1+3.1623455i</v>
      </c>
      <c r="BN25">
        <f t="shared" si="23"/>
        <v>-10.414096247356303</v>
      </c>
      <c r="BO25">
        <f t="shared" si="24"/>
        <v>-72.451952737137788</v>
      </c>
      <c r="BP25" t="str">
        <f t="shared" si="25"/>
        <v>1+3.1623455i</v>
      </c>
      <c r="BQ25">
        <f t="shared" si="26"/>
        <v>-10.414096247356303</v>
      </c>
      <c r="BR25">
        <f t="shared" si="27"/>
        <v>-72.451952737137788</v>
      </c>
      <c r="BS25">
        <f t="shared" si="28"/>
        <v>-20.828192494712606</v>
      </c>
      <c r="BT25">
        <f t="shared" si="29"/>
        <v>-144.90390547427558</v>
      </c>
    </row>
    <row r="26" spans="1:72" x14ac:dyDescent="0.3">
      <c r="A26">
        <v>39.81109</v>
      </c>
      <c r="B26">
        <v>-43.853488999999996</v>
      </c>
      <c r="C26">
        <v>-174.54468299999999</v>
      </c>
      <c r="D26">
        <v>39.81109</v>
      </c>
      <c r="F26">
        <v>-46.072758999999998</v>
      </c>
      <c r="G26">
        <v>-293.826076</v>
      </c>
      <c r="H26">
        <f t="shared" si="0"/>
        <v>-21.541158409465829</v>
      </c>
      <c r="I26">
        <f t="shared" si="1"/>
        <v>-142.02646960538965</v>
      </c>
      <c r="K26">
        <v>-46.050215000000001</v>
      </c>
      <c r="L26">
        <v>-287.17721</v>
      </c>
      <c r="M26">
        <f t="shared" si="2"/>
        <v>-18.618614409465835</v>
      </c>
      <c r="N26">
        <f t="shared" si="3"/>
        <v>-135.37760360538965</v>
      </c>
      <c r="Q26">
        <v>-45.658651999999996</v>
      </c>
      <c r="R26">
        <v>-278.35946899999999</v>
      </c>
      <c r="S26">
        <f t="shared" si="4"/>
        <v>-16.127051409465828</v>
      </c>
      <c r="T26">
        <f t="shared" si="5"/>
        <v>-126.55986260538964</v>
      </c>
      <c r="V26">
        <v>-46.533723999999999</v>
      </c>
      <c r="W26">
        <v>-271.797774</v>
      </c>
      <c r="X26">
        <f t="shared" si="6"/>
        <v>-15.502123409465831</v>
      </c>
      <c r="Y26">
        <f t="shared" si="7"/>
        <v>-119.99816760538965</v>
      </c>
      <c r="AA26">
        <v>-46.362808999999999</v>
      </c>
      <c r="AB26">
        <v>-258.22083700000002</v>
      </c>
      <c r="AC26">
        <f t="shared" si="8"/>
        <v>-13.33120840946583</v>
      </c>
      <c r="AD26">
        <f t="shared" si="9"/>
        <v>-106.42123060538967</v>
      </c>
      <c r="AF26">
        <v>-47.915225999999997</v>
      </c>
      <c r="AG26">
        <v>-258.42947500000002</v>
      </c>
      <c r="AH26">
        <f t="shared" si="10"/>
        <v>-13.883625409465829</v>
      </c>
      <c r="AI26">
        <f t="shared" si="11"/>
        <v>-106.62986860538967</v>
      </c>
      <c r="AK26">
        <v>-47.801191000000003</v>
      </c>
      <c r="AL26">
        <v>-254.13707700000001</v>
      </c>
      <c r="AM26">
        <f t="shared" si="12"/>
        <v>-12.969590409465834</v>
      </c>
      <c r="AN26">
        <f t="shared" si="13"/>
        <v>-102.33747060538965</v>
      </c>
      <c r="AP26">
        <v>-48.576196000000003</v>
      </c>
      <c r="AQ26">
        <v>-183.591714</v>
      </c>
      <c r="AR26">
        <f t="shared" si="14"/>
        <v>-11.244595409465834</v>
      </c>
      <c r="AS26">
        <f t="shared" si="15"/>
        <v>-31.792107605389646</v>
      </c>
      <c r="BM26" t="str">
        <f t="shared" si="22"/>
        <v>1+3.981109i</v>
      </c>
      <c r="BN26">
        <f t="shared" si="23"/>
        <v>-12.265800295267084</v>
      </c>
      <c r="BO26">
        <f t="shared" si="24"/>
        <v>-75.899803197305175</v>
      </c>
      <c r="BP26" t="str">
        <f t="shared" si="25"/>
        <v>1+3.981109i</v>
      </c>
      <c r="BQ26">
        <f t="shared" si="26"/>
        <v>-12.265800295267084</v>
      </c>
      <c r="BR26">
        <f t="shared" si="27"/>
        <v>-75.899803197305175</v>
      </c>
      <c r="BS26">
        <f t="shared" si="28"/>
        <v>-24.531600590534168</v>
      </c>
      <c r="BT26">
        <f t="shared" si="29"/>
        <v>-151.79960639461035</v>
      </c>
    </row>
    <row r="27" spans="1:72" x14ac:dyDescent="0.3">
      <c r="A27">
        <v>50.121133999999998</v>
      </c>
      <c r="B27">
        <v>-48.916573</v>
      </c>
      <c r="C27">
        <v>-171.59804600000001</v>
      </c>
      <c r="D27">
        <v>50.121133999999998</v>
      </c>
      <c r="F27">
        <v>-54.062783000000003</v>
      </c>
      <c r="G27">
        <v>-334.39362799999998</v>
      </c>
      <c r="H27">
        <f t="shared" si="0"/>
        <v>-25.722893665647831</v>
      </c>
      <c r="I27">
        <f t="shared" si="1"/>
        <v>-176.96022882331357</v>
      </c>
      <c r="K27">
        <v>-52.168869000000001</v>
      </c>
      <c r="L27">
        <v>-342.36046699999997</v>
      </c>
      <c r="M27">
        <f t="shared" si="2"/>
        <v>-20.92897966564783</v>
      </c>
      <c r="N27">
        <f t="shared" si="3"/>
        <v>-184.92706782331356</v>
      </c>
      <c r="Q27">
        <v>-53.594602999999999</v>
      </c>
      <c r="R27">
        <v>-340.19400899999999</v>
      </c>
      <c r="S27">
        <f t="shared" si="4"/>
        <v>-20.254713665647827</v>
      </c>
      <c r="T27">
        <f t="shared" si="5"/>
        <v>-182.76060982331359</v>
      </c>
      <c r="V27">
        <v>-55.015954999999998</v>
      </c>
      <c r="W27">
        <v>-352.69250099999999</v>
      </c>
      <c r="X27">
        <f t="shared" si="6"/>
        <v>-20.176065665647826</v>
      </c>
      <c r="Y27">
        <f t="shared" si="7"/>
        <v>-195.25910182331359</v>
      </c>
      <c r="AA27">
        <v>-55.346474000000001</v>
      </c>
      <c r="AB27">
        <v>-346.59621399999997</v>
      </c>
      <c r="AC27">
        <f t="shared" si="8"/>
        <v>-18.506584665647829</v>
      </c>
      <c r="AD27">
        <f t="shared" si="9"/>
        <v>-189.16281482331357</v>
      </c>
      <c r="AF27">
        <v>-54.706713000000001</v>
      </c>
      <c r="AG27">
        <v>-370.95635299999998</v>
      </c>
      <c r="AH27">
        <f t="shared" si="10"/>
        <v>-16.866823665647829</v>
      </c>
      <c r="AI27">
        <f t="shared" si="11"/>
        <v>-213.52295382331357</v>
      </c>
      <c r="AK27">
        <v>-55.670001999999997</v>
      </c>
      <c r="AL27">
        <v>-374.83858099999998</v>
      </c>
      <c r="AM27">
        <f t="shared" si="12"/>
        <v>-17.030112665647824</v>
      </c>
      <c r="AN27">
        <f t="shared" si="13"/>
        <v>-217.40518182331357</v>
      </c>
      <c r="AP27">
        <v>-56.064306000000002</v>
      </c>
      <c r="AQ27">
        <v>-186.82693499999999</v>
      </c>
      <c r="AR27">
        <f t="shared" si="14"/>
        <v>-14.924416665647829</v>
      </c>
      <c r="AS27">
        <f t="shared" si="15"/>
        <v>-29.393535823313584</v>
      </c>
      <c r="BM27" t="str">
        <f t="shared" si="22"/>
        <v>1+5.0121134i</v>
      </c>
      <c r="BN27">
        <f t="shared" si="23"/>
        <v>-14.169944667176086</v>
      </c>
      <c r="BO27">
        <f t="shared" si="24"/>
        <v>-78.716699588343204</v>
      </c>
      <c r="BP27" t="str">
        <f t="shared" si="25"/>
        <v>1+5.0121134i</v>
      </c>
      <c r="BQ27">
        <f t="shared" si="26"/>
        <v>-14.169944667176086</v>
      </c>
      <c r="BR27">
        <f t="shared" si="27"/>
        <v>-78.716699588343204</v>
      </c>
      <c r="BS27">
        <f t="shared" si="28"/>
        <v>-28.339889334352172</v>
      </c>
      <c r="BT27">
        <f t="shared" si="29"/>
        <v>-157.43339917668641</v>
      </c>
    </row>
    <row r="28" spans="1:72" x14ac:dyDescent="0.3">
      <c r="A28">
        <v>63.098047999999999</v>
      </c>
      <c r="B28">
        <v>-50.085667000000001</v>
      </c>
      <c r="C28">
        <v>-206.151893</v>
      </c>
      <c r="G28">
        <f>1/3.8</f>
        <v>0.26315789473684209</v>
      </c>
      <c r="X28">
        <f>1/9.5</f>
        <v>0.10526315789473684</v>
      </c>
      <c r="AB28">
        <f>1/13.6</f>
        <v>7.3529411764705885E-2</v>
      </c>
      <c r="AM28">
        <f>1/15</f>
        <v>6.6666666666666666E-2</v>
      </c>
      <c r="BM28" t="str">
        <f t="shared" si="22"/>
        <v>1+6.3098048i</v>
      </c>
      <c r="BN28">
        <f t="shared" si="23"/>
        <v>-16.108052934028425</v>
      </c>
      <c r="BO28">
        <f t="shared" si="24"/>
        <v>-80.994462826162277</v>
      </c>
      <c r="BP28" t="str">
        <f t="shared" si="25"/>
        <v>1+6.3098048i</v>
      </c>
      <c r="BQ28">
        <f t="shared" si="26"/>
        <v>-16.108052934028425</v>
      </c>
      <c r="BR28">
        <f t="shared" si="27"/>
        <v>-80.994462826162277</v>
      </c>
      <c r="BS28">
        <f t="shared" si="28"/>
        <v>-32.21610586805685</v>
      </c>
      <c r="BT28">
        <f t="shared" si="29"/>
        <v>-161.98892565232455</v>
      </c>
    </row>
    <row r="29" spans="1:72" x14ac:dyDescent="0.3">
      <c r="A29">
        <v>79.433442999999997</v>
      </c>
      <c r="B29">
        <v>-54.404392000000001</v>
      </c>
      <c r="C29">
        <v>-238.59470499999998</v>
      </c>
      <c r="R29">
        <f>1/7.9</f>
        <v>0.12658227848101264</v>
      </c>
      <c r="AG29">
        <f>1/14</f>
        <v>7.1428571428571425E-2</v>
      </c>
      <c r="AM29">
        <f>1/22</f>
        <v>4.5454545454545456E-2</v>
      </c>
      <c r="BM29" t="str">
        <f t="shared" si="22"/>
        <v>1+7.9433443i</v>
      </c>
      <c r="BN29">
        <f t="shared" si="23"/>
        <v>-18.068357970584664</v>
      </c>
      <c r="BO29">
        <f t="shared" si="24"/>
        <v>-82.824692483217106</v>
      </c>
      <c r="BP29" t="str">
        <f t="shared" si="25"/>
        <v>1+7.9433443i</v>
      </c>
      <c r="BQ29">
        <f t="shared" si="26"/>
        <v>-18.068357970584664</v>
      </c>
      <c r="BR29">
        <f t="shared" si="27"/>
        <v>-82.824692483217106</v>
      </c>
      <c r="BS29">
        <f t="shared" si="28"/>
        <v>-36.136715941169328</v>
      </c>
      <c r="BT29">
        <f t="shared" si="29"/>
        <v>-165.64938496643421</v>
      </c>
    </row>
    <row r="30" spans="1:72" x14ac:dyDescent="0.3">
      <c r="A30">
        <v>100.00027</v>
      </c>
      <c r="B30">
        <v>-55.318598999999999</v>
      </c>
      <c r="C30">
        <v>-251.80307300000004</v>
      </c>
      <c r="BM30" t="str">
        <f t="shared" si="22"/>
        <v>1+10.000027i</v>
      </c>
      <c r="BN30">
        <f t="shared" si="23"/>
        <v>-20.043236957500671</v>
      </c>
      <c r="BO30">
        <f t="shared" si="24"/>
        <v>-84.28942217915295</v>
      </c>
      <c r="BP30" t="str">
        <f t="shared" si="25"/>
        <v>1+10.000027i</v>
      </c>
      <c r="BQ30">
        <f t="shared" si="26"/>
        <v>-20.043236957500671</v>
      </c>
      <c r="BR30">
        <f t="shared" si="27"/>
        <v>-84.28942217915295</v>
      </c>
      <c r="BS30">
        <f t="shared" si="28"/>
        <v>-40.086473915001342</v>
      </c>
      <c r="BT30">
        <f t="shared" si="29"/>
        <v>-168.5788443583059</v>
      </c>
    </row>
    <row r="31" spans="1:72" x14ac:dyDescent="0.3">
      <c r="A31">
        <v>125.89976799999999</v>
      </c>
      <c r="B31">
        <v>-61.449762</v>
      </c>
      <c r="C31">
        <v>-354.87647199999998</v>
      </c>
      <c r="BM31" t="str">
        <f t="shared" si="22"/>
        <v>1+12.5899768i</v>
      </c>
      <c r="BN31">
        <f t="shared" si="23"/>
        <v>-22.027811513695177</v>
      </c>
      <c r="BO31">
        <f t="shared" si="24"/>
        <v>-85.458629962067846</v>
      </c>
      <c r="BP31" t="str">
        <f t="shared" si="25"/>
        <v>1+12.5899768i</v>
      </c>
      <c r="BQ31">
        <f t="shared" si="26"/>
        <v>-22.027811513695177</v>
      </c>
      <c r="BR31">
        <f t="shared" si="27"/>
        <v>-85.458629962067846</v>
      </c>
      <c r="BS31">
        <f t="shared" si="28"/>
        <v>-44.055623027390354</v>
      </c>
      <c r="BT31">
        <f t="shared" si="29"/>
        <v>-170.91725992413569</v>
      </c>
    </row>
    <row r="32" spans="1:72" x14ac:dyDescent="0.3">
      <c r="A32">
        <v>158.482349</v>
      </c>
      <c r="B32">
        <v>-61.612836999999999</v>
      </c>
      <c r="C32">
        <v>-359.92659200000003</v>
      </c>
      <c r="BM32" t="str">
        <f t="shared" si="22"/>
        <v>1+15.8482349i</v>
      </c>
      <c r="BN32">
        <f t="shared" si="23"/>
        <v>-24.016874757552714</v>
      </c>
      <c r="BO32">
        <f t="shared" si="24"/>
        <v>-86.389508267046338</v>
      </c>
      <c r="BP32" t="str">
        <f t="shared" si="25"/>
        <v>1+15.8482349i</v>
      </c>
      <c r="BQ32">
        <f t="shared" si="26"/>
        <v>-24.016874757552714</v>
      </c>
      <c r="BR32">
        <f t="shared" si="27"/>
        <v>-86.389508267046338</v>
      </c>
      <c r="BS32">
        <f t="shared" si="28"/>
        <v>-48.033749515105427</v>
      </c>
      <c r="BT32">
        <f t="shared" si="29"/>
        <v>-172.77901653409268</v>
      </c>
    </row>
    <row r="33" spans="1:72" x14ac:dyDescent="0.3">
      <c r="A33">
        <v>199.52891600000001</v>
      </c>
      <c r="B33">
        <v>-55.344053000000002</v>
      </c>
      <c r="C33">
        <v>-484.44384400000001</v>
      </c>
      <c r="BM33" t="str">
        <f t="shared" si="22"/>
        <v>1+19.9528916i</v>
      </c>
      <c r="BN33">
        <f t="shared" si="23"/>
        <v>-26.0110118757271</v>
      </c>
      <c r="BO33">
        <f t="shared" si="24"/>
        <v>-87.130847968123575</v>
      </c>
      <c r="BP33" t="str">
        <f t="shared" si="25"/>
        <v>1+19.9528916i</v>
      </c>
      <c r="BQ33">
        <f t="shared" si="26"/>
        <v>-26.0110118757271</v>
      </c>
      <c r="BR33">
        <f t="shared" si="27"/>
        <v>-87.130847968123575</v>
      </c>
      <c r="BS33">
        <f t="shared" si="28"/>
        <v>-52.022023751454199</v>
      </c>
      <c r="BT33">
        <f t="shared" si="29"/>
        <v>-174.26169593624715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5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3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2016-11-14T23:57:53Z</dcterms:modified>
</cp:coreProperties>
</file>