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0.xml" ContentType="application/vnd.openxmlformats-officedocument.drawing+xml"/>
  <Override PartName="/xl/charts/chart66.xml" ContentType="application/vnd.openxmlformats-officedocument.drawingml.chart+xml"/>
  <Override PartName="/xl/drawings/drawing11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1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13.xml" ContentType="application/vnd.openxmlformats-officedocument.drawing+xml"/>
  <Override PartName="/xl/charts/chart8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0970" windowHeight="8400" firstSheet="7" activeTab="7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x_Turnx_ESCx_Gxb_Txa" sheetId="16" r:id="rId8"/>
    <sheet name="CalPhotonTurnigy" sheetId="4" r:id="rId9"/>
    <sheet name="TauPhotonTurnigy" sheetId="5" r:id="rId10"/>
    <sheet name="CalArduinoTurnigy" sheetId="3" r:id="rId11"/>
    <sheet name="CalArduinoHiTec" sheetId="1" r:id="rId12"/>
    <sheet name="CalPhotonHiTec" sheetId="2" r:id="rId13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7">Ardx_Turnx_ESCx_Gxb_Txa!$K$39:$K$44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7">Ardx_Turnx_ESCx_Gxb_Txa!$I$39:$I$44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7">Ardx_Turnx_ESCx_Gxb_Txa!$K$39:$K$44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7">Ardx_Turnx_ESCx_Gxb_Txa!$I$39:$I$44</definedName>
    <definedName name="Nt">#REF!</definedName>
  </definedNames>
  <calcPr calcId="145621"/>
</workbook>
</file>

<file path=xl/calcChain.xml><?xml version="1.0" encoding="utf-8"?>
<calcChain xmlns="http://schemas.openxmlformats.org/spreadsheetml/2006/main">
  <c r="BC42" i="16" l="1"/>
  <c r="AZ34" i="16"/>
  <c r="AZ35" i="16"/>
  <c r="AZ36" i="16"/>
  <c r="AZ37" i="16"/>
  <c r="AZ38" i="16"/>
  <c r="AZ39" i="16"/>
  <c r="AZ40" i="16"/>
  <c r="AZ41" i="16"/>
  <c r="AZ42" i="16"/>
  <c r="AZ43" i="16"/>
  <c r="AZ44" i="16"/>
  <c r="AZ45" i="16"/>
  <c r="AZ46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AZ47" i="16"/>
  <c r="BA34" i="16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Q33" i="16"/>
  <c r="J33" i="16"/>
  <c r="C33" i="16"/>
  <c r="Q32" i="16"/>
  <c r="AH14" i="16" s="1"/>
  <c r="AI14" i="16" s="1"/>
  <c r="J32" i="16"/>
  <c r="C32" i="16"/>
  <c r="Q31" i="16"/>
  <c r="J31" i="16"/>
  <c r="J30" i="16"/>
  <c r="J29" i="16"/>
  <c r="J34" i="16" s="1"/>
  <c r="J35" i="16" s="1"/>
  <c r="Q28" i="16"/>
  <c r="Q27" i="16"/>
  <c r="Q26" i="16"/>
  <c r="Q25" i="16"/>
  <c r="Q24" i="16"/>
  <c r="Z14" i="16"/>
  <c r="AA14" i="16" s="1"/>
  <c r="T14" i="16"/>
  <c r="S14" i="16"/>
  <c r="Q14" i="16"/>
  <c r="AE14" i="16" s="1"/>
  <c r="O14" i="16"/>
  <c r="N14" i="16"/>
  <c r="P14" i="16" s="1"/>
  <c r="R14" i="16" s="1"/>
  <c r="L14" i="16"/>
  <c r="M14" i="16" s="1"/>
  <c r="K14" i="16"/>
  <c r="U14" i="16" s="1"/>
  <c r="C14" i="16"/>
  <c r="P13" i="16"/>
  <c r="R13" i="16" s="1"/>
  <c r="O13" i="16"/>
  <c r="Q13" i="16" s="1"/>
  <c r="N13" i="16"/>
  <c r="M13" i="16"/>
  <c r="L13" i="16"/>
  <c r="T13" i="16" s="1"/>
  <c r="K13" i="16"/>
  <c r="U13" i="16" s="1"/>
  <c r="V13" i="16" s="1"/>
  <c r="C13" i="16"/>
  <c r="U12" i="16"/>
  <c r="V12" i="16" s="1"/>
  <c r="S12" i="16"/>
  <c r="Q12" i="16"/>
  <c r="AE12" i="16" s="1"/>
  <c r="O12" i="16"/>
  <c r="N12" i="16"/>
  <c r="P12" i="16" s="1"/>
  <c r="R12" i="16" s="1"/>
  <c r="L12" i="16"/>
  <c r="K12" i="16"/>
  <c r="C12" i="16"/>
  <c r="AH11" i="16"/>
  <c r="AI11" i="16" s="1"/>
  <c r="T11" i="16"/>
  <c r="S11" i="16"/>
  <c r="Q11" i="16"/>
  <c r="AE11" i="16" s="1"/>
  <c r="O11" i="16"/>
  <c r="N11" i="16"/>
  <c r="P11" i="16" s="1"/>
  <c r="R11" i="16" s="1"/>
  <c r="L11" i="16"/>
  <c r="M11" i="16" s="1"/>
  <c r="K11" i="16"/>
  <c r="U11" i="16" s="1"/>
  <c r="C11" i="16"/>
  <c r="W10" i="16"/>
  <c r="X10" i="16" s="1"/>
  <c r="P10" i="16"/>
  <c r="R10" i="16" s="1"/>
  <c r="O10" i="16"/>
  <c r="Q10" i="16" s="1"/>
  <c r="N10" i="16"/>
  <c r="M10" i="16"/>
  <c r="L10" i="16"/>
  <c r="T10" i="16" s="1"/>
  <c r="K10" i="16"/>
  <c r="U10" i="16" s="1"/>
  <c r="V10" i="16" s="1"/>
  <c r="C10" i="16"/>
  <c r="U9" i="16"/>
  <c r="W9" i="16" s="1"/>
  <c r="T9" i="16"/>
  <c r="O9" i="16"/>
  <c r="Q9" i="16" s="1"/>
  <c r="N9" i="16"/>
  <c r="P9" i="16" s="1"/>
  <c r="R9" i="16" s="1"/>
  <c r="M9" i="16"/>
  <c r="L9" i="16"/>
  <c r="K9" i="16"/>
  <c r="C9" i="16"/>
  <c r="T8" i="16"/>
  <c r="S8" i="16"/>
  <c r="Q8" i="16"/>
  <c r="AE8" i="16" s="1"/>
  <c r="O8" i="16"/>
  <c r="N8" i="16"/>
  <c r="P8" i="16" s="1"/>
  <c r="R8" i="16" s="1"/>
  <c r="L8" i="16"/>
  <c r="M8" i="16" s="1"/>
  <c r="K8" i="16"/>
  <c r="U8" i="16" s="1"/>
  <c r="C8" i="16"/>
  <c r="W7" i="16"/>
  <c r="X7" i="16" s="1"/>
  <c r="P7" i="16"/>
  <c r="R7" i="16" s="1"/>
  <c r="O7" i="16"/>
  <c r="Q7" i="16" s="1"/>
  <c r="N7" i="16"/>
  <c r="M7" i="16"/>
  <c r="L7" i="16"/>
  <c r="T7" i="16" s="1"/>
  <c r="K7" i="16"/>
  <c r="U7" i="16" s="1"/>
  <c r="V7" i="16" s="1"/>
  <c r="C7" i="16"/>
  <c r="U6" i="16"/>
  <c r="W6" i="16" s="1"/>
  <c r="S6" i="16"/>
  <c r="Q6" i="16"/>
  <c r="AE6" i="16" s="1"/>
  <c r="O6" i="16"/>
  <c r="N6" i="16"/>
  <c r="P6" i="16" s="1"/>
  <c r="R6" i="16" s="1"/>
  <c r="L6" i="16"/>
  <c r="K6" i="16"/>
  <c r="C6" i="16"/>
  <c r="AE5" i="16"/>
  <c r="W5" i="16"/>
  <c r="X5" i="16" s="1"/>
  <c r="U5" i="16"/>
  <c r="V5" i="16" s="1"/>
  <c r="T5" i="16"/>
  <c r="P5" i="16"/>
  <c r="R5" i="16" s="1"/>
  <c r="O5" i="16"/>
  <c r="Q5" i="16" s="1"/>
  <c r="N5" i="16"/>
  <c r="M5" i="16"/>
  <c r="L5" i="16"/>
  <c r="K5" i="16"/>
  <c r="C5" i="16"/>
  <c r="T4" i="16"/>
  <c r="S4" i="16"/>
  <c r="Q4" i="16"/>
  <c r="AE4" i="16" s="1"/>
  <c r="O4" i="16"/>
  <c r="N4" i="16"/>
  <c r="P4" i="16" s="1"/>
  <c r="L4" i="16"/>
  <c r="M4" i="16" s="1"/>
  <c r="K4" i="16"/>
  <c r="U4" i="16" s="1"/>
  <c r="C4" i="16"/>
  <c r="T3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W2" i="16"/>
  <c r="V2" i="16"/>
  <c r="U2" i="16"/>
  <c r="S2" i="16"/>
  <c r="O2" i="16"/>
  <c r="N2" i="16"/>
  <c r="P2" i="16" s="1"/>
  <c r="R2" i="16" s="1"/>
  <c r="K2" i="16"/>
  <c r="U1" i="16"/>
  <c r="AX4" i="13"/>
  <c r="AX3" i="13"/>
  <c r="AX13" i="13"/>
  <c r="AX11" i="13"/>
  <c r="AX8" i="13"/>
  <c r="AX6" i="13"/>
  <c r="AE7" i="16" l="1"/>
  <c r="S7" i="16"/>
  <c r="R43" i="16"/>
  <c r="Q43" i="16"/>
  <c r="R4" i="16"/>
  <c r="AB14" i="16"/>
  <c r="W14" i="16"/>
  <c r="X14" i="16" s="1"/>
  <c r="Y14" i="16" s="1"/>
  <c r="V14" i="16"/>
  <c r="Y7" i="16"/>
  <c r="T6" i="16"/>
  <c r="M6" i="16"/>
  <c r="R42" i="16" s="1"/>
  <c r="R3" i="16"/>
  <c r="W13" i="16"/>
  <c r="X13" i="16" s="1"/>
  <c r="W11" i="16"/>
  <c r="X11" i="16" s="1"/>
  <c r="V11" i="16"/>
  <c r="W8" i="16"/>
  <c r="X8" i="16" s="1"/>
  <c r="Y8" i="16" s="1"/>
  <c r="V8" i="16"/>
  <c r="X6" i="16"/>
  <c r="Y6" i="16" s="1"/>
  <c r="W4" i="16"/>
  <c r="X4" i="16" s="1"/>
  <c r="Y4" i="16" s="1"/>
  <c r="V4" i="16"/>
  <c r="AE10" i="16"/>
  <c r="S10" i="16"/>
  <c r="T12" i="16"/>
  <c r="M12" i="16"/>
  <c r="S9" i="16"/>
  <c r="AE9" i="16"/>
  <c r="AF14" i="16"/>
  <c r="W3" i="16"/>
  <c r="X3" i="16" s="1"/>
  <c r="Y3" i="16" s="1"/>
  <c r="V3" i="16"/>
  <c r="X9" i="16"/>
  <c r="Y9" i="16" s="1"/>
  <c r="S3" i="16"/>
  <c r="S13" i="16"/>
  <c r="AE13" i="16"/>
  <c r="R41" i="16"/>
  <c r="S41" i="16"/>
  <c r="Q41" i="16"/>
  <c r="S5" i="16"/>
  <c r="Q44" i="16"/>
  <c r="Q36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H4" i="8"/>
  <c r="H3" i="8"/>
  <c r="K10" i="15"/>
  <c r="L10" i="15"/>
  <c r="M10" i="15" s="1"/>
  <c r="N10" i="15"/>
  <c r="O10" i="15" s="1"/>
  <c r="K11" i="15"/>
  <c r="N11" i="15" s="1"/>
  <c r="O11" i="15" s="1"/>
  <c r="L11" i="15"/>
  <c r="M11" i="15"/>
  <c r="K12" i="15"/>
  <c r="L12" i="15"/>
  <c r="M13" i="15" s="1"/>
  <c r="N12" i="15"/>
  <c r="K13" i="15"/>
  <c r="N13" i="15" s="1"/>
  <c r="O13" i="15" s="1"/>
  <c r="L13" i="15"/>
  <c r="Z6" i="15"/>
  <c r="AA6" i="15"/>
  <c r="AB6" i="15" s="1"/>
  <c r="AC6" i="15"/>
  <c r="AD6" i="15" s="1"/>
  <c r="Z7" i="15"/>
  <c r="AC7" i="15" s="1"/>
  <c r="AA7" i="15"/>
  <c r="AB8" i="15" s="1"/>
  <c r="AB7" i="15"/>
  <c r="Z8" i="15"/>
  <c r="AA8" i="15"/>
  <c r="AC8" i="15"/>
  <c r="Z9" i="15"/>
  <c r="AB10" i="15" s="1"/>
  <c r="AA9" i="15"/>
  <c r="AB9" i="15" s="1"/>
  <c r="Z10" i="15"/>
  <c r="AA10" i="15"/>
  <c r="AB11" i="15" s="1"/>
  <c r="AC10" i="15"/>
  <c r="Z11" i="15"/>
  <c r="AA11" i="15"/>
  <c r="AC11" i="15"/>
  <c r="AD11" i="15" s="1"/>
  <c r="Z12" i="15"/>
  <c r="AC12" i="15" s="1"/>
  <c r="AD12" i="15" s="1"/>
  <c r="AA12" i="15"/>
  <c r="AB12" i="15" s="1"/>
  <c r="H11" i="8"/>
  <c r="J41" i="16" l="1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K48" i="16"/>
  <c r="Y5" i="16"/>
  <c r="J48" i="16" s="1"/>
  <c r="J42" i="16"/>
  <c r="Y10" i="16"/>
  <c r="O12" i="15"/>
  <c r="M12" i="15"/>
  <c r="AD10" i="15"/>
  <c r="AD7" i="15"/>
  <c r="AD8" i="15"/>
  <c r="AC9" i="15"/>
  <c r="AD9" i="15" s="1"/>
  <c r="S40" i="8"/>
  <c r="R40" i="8"/>
  <c r="R43" i="14"/>
  <c r="Q43" i="14"/>
  <c r="R42" i="14"/>
  <c r="Q42" i="14"/>
  <c r="AC8" i="16" l="1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P13" i="16" s="1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P9" i="16" s="1"/>
  <c r="AJ6" i="16"/>
  <c r="AP6" i="16" s="1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P3" i="16" s="1"/>
  <c r="AC7" i="16"/>
  <c r="AA7" i="16"/>
  <c r="AB7" i="16" s="1"/>
  <c r="AC10" i="16"/>
  <c r="AA10" i="16"/>
  <c r="AB10" i="16" s="1"/>
  <c r="Q40" i="14"/>
  <c r="AV12" i="14"/>
  <c r="AH12" i="14"/>
  <c r="AI12" i="14" s="1"/>
  <c r="O12" i="14"/>
  <c r="Q12" i="14" s="1"/>
  <c r="AE12" i="14" s="1"/>
  <c r="N12" i="14"/>
  <c r="P12" i="14" s="1"/>
  <c r="L12" i="14"/>
  <c r="T12" i="14" s="1"/>
  <c r="K12" i="14"/>
  <c r="U12" i="14" s="1"/>
  <c r="W12" i="14" s="1"/>
  <c r="C12" i="14"/>
  <c r="AO5" i="16" l="1"/>
  <c r="AN5" i="16" s="1"/>
  <c r="AD10" i="16"/>
  <c r="AF10" i="16"/>
  <c r="AP7" i="16"/>
  <c r="AR8" i="16"/>
  <c r="AS8" i="16" s="1"/>
  <c r="AD11" i="16"/>
  <c r="AF11" i="16"/>
  <c r="AQ10" i="16"/>
  <c r="AO10" i="16"/>
  <c r="AN10" i="16" s="1"/>
  <c r="AD8" i="16"/>
  <c r="AF8" i="16"/>
  <c r="AD5" i="16"/>
  <c r="AF5" i="16"/>
  <c r="AQ11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Q4" i="16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P4" i="16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D13" i="16"/>
  <c r="AF13" i="16"/>
  <c r="AR7" i="16"/>
  <c r="AS7" i="16" s="1"/>
  <c r="AQ6" i="16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X12" i="14"/>
  <c r="Y12" i="14" s="1"/>
  <c r="M12" i="14"/>
  <c r="Z12" i="14"/>
  <c r="R12" i="14"/>
  <c r="V12" i="14"/>
  <c r="S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A12" i="14"/>
  <c r="AB12" i="14" s="1"/>
  <c r="AC12" i="14"/>
  <c r="AC5" i="15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Y11" i="15" s="1"/>
  <c r="X13" i="15"/>
  <c r="S5" i="15"/>
  <c r="S9" i="15"/>
  <c r="S3" i="15"/>
  <c r="S7" i="15"/>
  <c r="S11" i="15"/>
  <c r="S13" i="15"/>
  <c r="S4" i="15"/>
  <c r="S6" i="15"/>
  <c r="T6" i="15" s="1"/>
  <c r="S8" i="15"/>
  <c r="S10" i="15"/>
  <c r="S12" i="15"/>
  <c r="I9" i="15"/>
  <c r="N5" i="15"/>
  <c r="N7" i="15"/>
  <c r="N9" i="15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AT5" i="16" l="1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AD12" i="14"/>
  <c r="AF12" i="14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5" i="14"/>
  <c r="R50" i="14" s="1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H11" i="14" s="1"/>
  <c r="AI11" i="14" s="1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S5" i="14"/>
  <c r="O5" i="14"/>
  <c r="Q5" i="14" s="1"/>
  <c r="AE5" i="14" s="1"/>
  <c r="N5" i="14"/>
  <c r="P5" i="14" s="1"/>
  <c r="G5" i="15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U3" i="14"/>
  <c r="O3" i="14"/>
  <c r="Q3" i="14" s="1"/>
  <c r="N3" i="14"/>
  <c r="P3" i="14" s="1"/>
  <c r="G3" i="15" s="1"/>
  <c r="L3" i="14"/>
  <c r="T3" i="14" s="1"/>
  <c r="K3" i="14"/>
  <c r="C3" i="14"/>
  <c r="AV2" i="14"/>
  <c r="AE2" i="14"/>
  <c r="O2" i="14"/>
  <c r="N2" i="14"/>
  <c r="P2" i="14" s="1"/>
  <c r="K2" i="14"/>
  <c r="U2" i="14" s="1"/>
  <c r="W2" i="14" s="1"/>
  <c r="AV1" i="14"/>
  <c r="U1" i="14"/>
  <c r="R11" i="14" l="1"/>
  <c r="R6" i="14"/>
  <c r="G6" i="15"/>
  <c r="M3" i="14"/>
  <c r="AF22" i="15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X3" i="14"/>
  <c r="Y3" i="14" s="1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Y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0" i="14" l="1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G12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AF41" i="15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3"/>
  <c r="M13" i="13" s="1"/>
  <c r="K13" i="13"/>
  <c r="U13" i="13" s="1"/>
  <c r="C13" i="13"/>
  <c r="O11" i="13"/>
  <c r="Q11" i="13" s="1"/>
  <c r="N11" i="13"/>
  <c r="P11" i="13" s="1"/>
  <c r="L11" i="13"/>
  <c r="T11" i="13" s="1"/>
  <c r="K11" i="13"/>
  <c r="U11" i="13" s="1"/>
  <c r="C11" i="13"/>
  <c r="O10" i="13"/>
  <c r="Q10" i="13" s="1"/>
  <c r="AE10" i="13" s="1"/>
  <c r="N10" i="13"/>
  <c r="P10" i="13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AH9" i="13" l="1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F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5" i="15" l="1"/>
  <c r="R41" i="13"/>
  <c r="Q41" i="13"/>
  <c r="AF31" i="15"/>
  <c r="AF38" i="15"/>
  <c r="Q35" i="13"/>
  <c r="L41" i="13" s="1"/>
  <c r="M41" i="13" s="1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AJ9" i="13" l="1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T11" i="10" s="1"/>
  <c r="K11" i="10"/>
  <c r="U11" i="10" s="1"/>
  <c r="C11" i="10"/>
  <c r="O10" i="10"/>
  <c r="Q10" i="10" s="1"/>
  <c r="N10" i="10"/>
  <c r="P10" i="10" s="1"/>
  <c r="L10" i="10"/>
  <c r="M10" i="10" s="1"/>
  <c r="K10" i="10"/>
  <c r="U10" i="10" s="1"/>
  <c r="C10" i="10"/>
  <c r="O9" i="10"/>
  <c r="Q9" i="10" s="1"/>
  <c r="N9" i="10"/>
  <c r="P9" i="10" s="1"/>
  <c r="L9" i="10"/>
  <c r="T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AE7" i="10" s="1"/>
  <c r="N7" i="10"/>
  <c r="P7" i="10" s="1"/>
  <c r="L7" i="10"/>
  <c r="M7" i="10" s="1"/>
  <c r="K7" i="10"/>
  <c r="U7" i="10" s="1"/>
  <c r="C7" i="10"/>
  <c r="O6" i="10"/>
  <c r="Q6" i="10" s="1"/>
  <c r="N6" i="10"/>
  <c r="P6" i="10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F71" i="15" l="1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R42" i="10"/>
  <c r="Q42" i="10"/>
  <c r="R39" i="10"/>
  <c r="AE4" i="10"/>
  <c r="S4" i="10"/>
  <c r="S39" i="10"/>
  <c r="Q39" i="10"/>
  <c r="W4" i="10"/>
  <c r="X4" i="10" s="1"/>
  <c r="V4" i="10"/>
  <c r="V5" i="10"/>
  <c r="T6" i="10"/>
  <c r="M6" i="10"/>
  <c r="V7" i="10"/>
  <c r="W7" i="10"/>
  <c r="X7" i="10" s="1"/>
  <c r="R3" i="10"/>
  <c r="Q41" i="10"/>
  <c r="R4" i="10"/>
  <c r="R41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AH6" i="9"/>
  <c r="AI6" i="9" s="1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F57" i="15" l="1"/>
  <c r="W4" i="15"/>
  <c r="AH4" i="9"/>
  <c r="AI4" i="9" s="1"/>
  <c r="R5" i="9"/>
  <c r="V5" i="15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W6" i="15"/>
  <c r="AF59" i="15"/>
  <c r="AF62" i="15"/>
  <c r="W9" i="15"/>
  <c r="AF65" i="15"/>
  <c r="W12" i="15"/>
  <c r="Q40" i="10"/>
  <c r="W10" i="15"/>
  <c r="AF63" i="15"/>
  <c r="AF66" i="15"/>
  <c r="W13" i="15"/>
  <c r="Z9" i="9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AB14" i="9"/>
  <c r="M5" i="9"/>
  <c r="M12" i="9"/>
  <c r="T3" i="9"/>
  <c r="T4" i="9"/>
  <c r="M9" i="9"/>
  <c r="Z10" i="9"/>
  <c r="R10" i="9"/>
  <c r="V3" i="9"/>
  <c r="W3" i="9"/>
  <c r="X3" i="9" s="1"/>
  <c r="Y3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D2" i="10" l="1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D2" i="9" l="1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T13" i="9" s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0" i="10" l="1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R7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Q4" i="15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11" i="15" l="1"/>
  <c r="AF52" i="15" s="1"/>
  <c r="Q42" i="8"/>
  <c r="R5" i="8"/>
  <c r="Q5" i="15"/>
  <c r="AF45" i="15"/>
  <c r="R4" i="15"/>
  <c r="AF48" i="15"/>
  <c r="R7" i="15"/>
  <c r="AF51" i="15"/>
  <c r="R10" i="15"/>
  <c r="AF49" i="15"/>
  <c r="R8" i="15"/>
  <c r="R12" i="8"/>
  <c r="Q12" i="15"/>
  <c r="AF44" i="15"/>
  <c r="AF47" i="15"/>
  <c r="R6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11" i="15" l="1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E43" i="15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R3" i="15" l="1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S72" i="4"/>
  <c r="S73" i="4"/>
  <c r="L74" i="4"/>
  <c r="S75" i="4"/>
  <c r="L4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AJ35" i="4"/>
  <c r="AJ36" i="4" s="1"/>
  <c r="X40" i="4" s="1"/>
  <c r="AE4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AF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s="1"/>
  <c r="Z8" i="14" l="1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C11" i="14" l="1"/>
  <c r="AD11" i="14" s="1"/>
  <c r="AC9" i="14"/>
  <c r="AF8" i="14"/>
  <c r="AC7" i="14"/>
  <c r="AF7" i="14" s="1"/>
  <c r="AC6" i="14"/>
  <c r="AD6" i="14" s="1"/>
  <c r="AD5" i="14"/>
  <c r="AC3" i="14"/>
  <c r="AA3" i="14"/>
  <c r="AB3" i="14" s="1"/>
  <c r="AD9" i="14"/>
  <c r="AF9" i="14"/>
  <c r="AD4" i="14"/>
  <c r="AF4" i="14"/>
  <c r="AA2" i="14"/>
  <c r="AC2" i="14"/>
  <c r="AC10" i="14"/>
  <c r="AA10" i="14"/>
  <c r="AB10" i="14" s="1"/>
  <c r="AF11" i="14" l="1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<sst xmlns="http://schemas.openxmlformats.org/spreadsheetml/2006/main" count="1817" uniqueCount="344">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</sst>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7.7741158395129268</c:v>
                </c:pt>
                <c:pt idx="42" formatCode="0.00">
                  <c:v>13</c:v>
                </c:pt>
                <c:pt idx="43" formatCode="0.00">
                  <c:v>17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175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9.1059042173196207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178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10452.961672473868</c:v>
                </c:pt>
                <c:pt idx="43">
                  <c:v>11778.563015312133</c:v>
                </c:pt>
                <c:pt idx="44">
                  <c:v>14218.009478672986</c:v>
                </c:pt>
                <c:pt idx="45">
                  <c:v>16000.000000000002</c:v>
                </c:pt>
                <c:pt idx="46">
                  <c:v>17804.154302670624</c:v>
                </c:pt>
                <c:pt idx="47">
                  <c:v>23904.382470119523</c:v>
                </c:pt>
                <c:pt idx="48">
                  <c:v>28301.886792452831</c:v>
                </c:pt>
                <c:pt idx="49">
                  <c:v>34090.909090909088</c:v>
                </c:pt>
                <c:pt idx="50">
                  <c:v>36090.225563909771</c:v>
                </c:pt>
                <c:pt idx="51">
                  <c:v>37037.037037037036</c:v>
                </c:pt>
                <c:pt idx="52">
                  <c:v>44117.647058823532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17910.447761194031</c:v>
                </c:pt>
                <c:pt idx="71">
                  <c:v>22900.763358778626</c:v>
                </c:pt>
                <c:pt idx="72">
                  <c:v>28571.428571428572</c:v>
                </c:pt>
                <c:pt idx="73">
                  <c:v>32085.561497326202</c:v>
                </c:pt>
                <c:pt idx="74">
                  <c:v>35087.719298245618</c:v>
                </c:pt>
                <c:pt idx="75">
                  <c:v>40000</c:v>
                </c:pt>
                <c:pt idx="76">
                  <c:v>44117.647058823532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124160"/>
        <c:axId val="444727680"/>
      </c:scatterChart>
      <c:valAx>
        <c:axId val="4421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727680"/>
        <c:crosses val="autoZero"/>
        <c:crossBetween val="midCat"/>
      </c:valAx>
      <c:valAx>
        <c:axId val="444727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2124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96640"/>
        <c:axId val="608896128"/>
      </c:scatterChart>
      <c:valAx>
        <c:axId val="6084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896128"/>
        <c:crosses val="autoZero"/>
        <c:crossBetween val="midCat"/>
      </c:valAx>
      <c:valAx>
        <c:axId val="6088961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084966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758208"/>
        <c:axId val="627760512"/>
      </c:scatterChart>
      <c:valAx>
        <c:axId val="6277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760512"/>
        <c:crosses val="autoZero"/>
        <c:crossBetween val="midCat"/>
      </c:valAx>
      <c:valAx>
        <c:axId val="6277605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77582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61568"/>
        <c:axId val="445663104"/>
      </c:scatterChart>
      <c:valAx>
        <c:axId val="4456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3104"/>
        <c:crosses val="autoZero"/>
        <c:crossBetween val="midCat"/>
      </c:valAx>
      <c:valAx>
        <c:axId val="445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75776"/>
        <c:axId val="445677952"/>
      </c:scatterChart>
      <c:valAx>
        <c:axId val="4456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45677952"/>
        <c:crosses val="autoZero"/>
        <c:crossBetween val="midCat"/>
      </c:valAx>
      <c:valAx>
        <c:axId val="4456779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567577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3680"/>
        <c:axId val="445705600"/>
      </c:scatterChart>
      <c:valAx>
        <c:axId val="445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5705600"/>
        <c:crosses val="autoZero"/>
        <c:crossBetween val="midCat"/>
      </c:valAx>
      <c:valAx>
        <c:axId val="4457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57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6208"/>
        <c:axId val="447968384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76576"/>
        <c:axId val="447970304"/>
      </c:scatterChart>
      <c:valAx>
        <c:axId val="4479662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68384"/>
        <c:crossesAt val="-40"/>
        <c:crossBetween val="midCat"/>
        <c:majorUnit val="20"/>
      </c:valAx>
      <c:valAx>
        <c:axId val="4479683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66208"/>
        <c:crosses val="autoZero"/>
        <c:crossBetween val="midCat"/>
      </c:valAx>
      <c:valAx>
        <c:axId val="44797030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7976576"/>
        <c:crosses val="max"/>
        <c:crossBetween val="midCat"/>
        <c:majorUnit val="40"/>
      </c:valAx>
      <c:valAx>
        <c:axId val="4479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7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9632"/>
        <c:axId val="447991808"/>
      </c:scatterChart>
      <c:valAx>
        <c:axId val="4479896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7991808"/>
        <c:crosses val="autoZero"/>
        <c:crossBetween val="midCat"/>
      </c:valAx>
      <c:valAx>
        <c:axId val="44799180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98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34304"/>
        <c:axId val="448036224"/>
      </c:scatterChart>
      <c:valAx>
        <c:axId val="4480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036224"/>
        <c:crosses val="autoZero"/>
        <c:crossBetween val="midCat"/>
      </c:valAx>
      <c:valAx>
        <c:axId val="448036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80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78208"/>
        <c:axId val="448080128"/>
      </c:scatterChart>
      <c:valAx>
        <c:axId val="4480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48080128"/>
        <c:crosses val="autoZero"/>
        <c:crossBetween val="midCat"/>
      </c:valAx>
      <c:valAx>
        <c:axId val="4480801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48078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01376"/>
        <c:axId val="448119936"/>
      </c:scatterChart>
      <c:valAx>
        <c:axId val="44810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119936"/>
        <c:crosses val="autoZero"/>
        <c:crossBetween val="midCat"/>
      </c:valAx>
      <c:valAx>
        <c:axId val="4481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810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7.7741158395129268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175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2000.2283539900759</c:v>
                </c:pt>
                <c:pt idx="1">
                  <c:v>2000.2283539900759</c:v>
                </c:pt>
                <c:pt idx="2">
                  <c:v>331.40033570956621</c:v>
                </c:pt>
                <c:pt idx="3">
                  <c:v>348.49235190869331</c:v>
                </c:pt>
                <c:pt idx="4">
                  <c:v>445.49763033175395</c:v>
                </c:pt>
                <c:pt idx="5">
                  <c:v>451.03857566765555</c:v>
                </c:pt>
                <c:pt idx="6">
                  <c:v>338.90156485827214</c:v>
                </c:pt>
                <c:pt idx="7">
                  <c:v>157.05372579761817</c:v>
                </c:pt>
                <c:pt idx="8">
                  <c:v>156.46006212043937</c:v>
                </c:pt>
                <c:pt idx="9">
                  <c:v>79.972658920027314</c:v>
                </c:pt>
                <c:pt idx="10">
                  <c:v>63.120764875151025</c:v>
                </c:pt>
                <c:pt idx="11">
                  <c:v>354.03050108932473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9.1059042173196207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4190.1301977858784</c:v>
                </c:pt>
                <c:pt idx="1">
                  <c:v>4190.1301977858784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469.93804562095193</c:v>
                </c:pt>
                <c:pt idx="5">
                  <c:v>293.54797632850557</c:v>
                </c:pt>
                <c:pt idx="6">
                  <c:v>226.82660850599785</c:v>
                </c:pt>
                <c:pt idx="7">
                  <c:v>234.27552839317528</c:v>
                </c:pt>
                <c:pt idx="8">
                  <c:v>200.14385339462777</c:v>
                </c:pt>
                <c:pt idx="9">
                  <c:v>188.93387314439931</c:v>
                </c:pt>
                <c:pt idx="10">
                  <c:v>89.514066496163736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43040"/>
        <c:axId val="447946112"/>
      </c:scatterChart>
      <c:valAx>
        <c:axId val="4479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7946112"/>
        <c:crosses val="autoZero"/>
        <c:crossBetween val="midCat"/>
      </c:valAx>
      <c:valAx>
        <c:axId val="447946112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479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78464"/>
        <c:axId val="448884736"/>
      </c:scatterChart>
      <c:valAx>
        <c:axId val="4488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884736"/>
        <c:crosses val="autoZero"/>
        <c:crossBetween val="midCat"/>
      </c:valAx>
      <c:valAx>
        <c:axId val="4488847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88784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98560"/>
        <c:axId val="448900480"/>
      </c:scatterChart>
      <c:valAx>
        <c:axId val="448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900480"/>
        <c:crosses val="autoZero"/>
        <c:crossBetween val="midCat"/>
      </c:valAx>
      <c:valAx>
        <c:axId val="4489004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488985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55872"/>
        <c:axId val="449857408"/>
      </c:scatterChart>
      <c:valAx>
        <c:axId val="4498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57408"/>
        <c:crosses val="autoZero"/>
        <c:crossBetween val="midCat"/>
      </c:valAx>
      <c:valAx>
        <c:axId val="4498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11778.563015312133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36090.225563909771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72576"/>
        <c:axId val="450482944"/>
      </c:scatterChart>
      <c:valAx>
        <c:axId val="45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482944"/>
        <c:crosses val="autoZero"/>
        <c:crossBetween val="midCat"/>
      </c:valAx>
      <c:valAx>
        <c:axId val="4504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4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25.561117654757233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78.320802005012524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80864"/>
        <c:axId val="450582784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99168"/>
        <c:axId val="450597248"/>
      </c:scatterChart>
      <c:valAx>
        <c:axId val="45058086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582784"/>
        <c:crossesAt val="-40"/>
        <c:crossBetween val="midCat"/>
        <c:majorUnit val="20"/>
      </c:valAx>
      <c:valAx>
        <c:axId val="4505827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580864"/>
        <c:crosses val="autoZero"/>
        <c:crossBetween val="midCat"/>
      </c:valAx>
      <c:valAx>
        <c:axId val="4505972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599168"/>
        <c:crosses val="max"/>
        <c:crossBetween val="midCat"/>
        <c:majorUnit val="40"/>
      </c:valAx>
      <c:valAx>
        <c:axId val="4505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0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25.561117654757233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78.320802005012524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12224"/>
        <c:axId val="450614400"/>
      </c:scatterChart>
      <c:valAx>
        <c:axId val="4506122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0614400"/>
        <c:crosses val="autoZero"/>
        <c:crossBetween val="midCat"/>
      </c:valAx>
      <c:valAx>
        <c:axId val="45061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5061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11778.563015312133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36090.225563909771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6616.14515842931</c:v>
                </c:pt>
                <c:pt idx="1">
                  <c:v>10068.201510054641</c:v>
                </c:pt>
                <c:pt idx="2">
                  <c:v>14505.654356826519</c:v>
                </c:pt>
                <c:pt idx="3">
                  <c:v>16489.285630483304</c:v>
                </c:pt>
                <c:pt idx="4">
                  <c:v>18207.58519764556</c:v>
                </c:pt>
                <c:pt idx="5">
                  <c:v>23950.466479748509</c:v>
                </c:pt>
                <c:pt idx="6">
                  <c:v>29672.742262083237</c:v>
                </c:pt>
                <c:pt idx="7">
                  <c:v>34668.45089745953</c:v>
                </c:pt>
                <c:pt idx="8">
                  <c:v>37199.744901183418</c:v>
                </c:pt>
                <c:pt idx="9">
                  <c:v>38509.498032188094</c:v>
                </c:pt>
                <c:pt idx="10">
                  <c:v>40071.185542234896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18336"/>
        <c:axId val="450724608"/>
      </c:scatterChart>
      <c:valAx>
        <c:axId val="4507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724608"/>
        <c:crosses val="autoZero"/>
        <c:crossBetween val="midCat"/>
      </c:valAx>
      <c:valAx>
        <c:axId val="45072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071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11778.563015312133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36090.225563909771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-3.1047630311354258E-4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1.3386124014661127E-2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41760"/>
        <c:axId val="450743680"/>
      </c:scatterChart>
      <c:valAx>
        <c:axId val="4507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50743680"/>
        <c:crosses val="autoZero"/>
        <c:crossBetween val="midCat"/>
      </c:valAx>
      <c:valAx>
        <c:axId val="4507436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5074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0.28499999999999998</c:v>
                </c:pt>
                <c:pt idx="1">
                  <c:v>0.44900000000000001</c:v>
                </c:pt>
                <c:pt idx="2">
                  <c:v>0.57599999999999996</c:v>
                </c:pt>
                <c:pt idx="3">
                  <c:v>1.323</c:v>
                </c:pt>
                <c:pt idx="4">
                  <c:v>1.6850000000000001</c:v>
                </c:pt>
                <c:pt idx="5">
                  <c:v>1.8919999999999999</c:v>
                </c:pt>
                <c:pt idx="6">
                  <c:v>2.02</c:v>
                </c:pt>
                <c:pt idx="7">
                  <c:v>2.14</c:v>
                </c:pt>
                <c:pt idx="8">
                  <c:v>2.67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7334.9633251833729</c:v>
                </c:pt>
                <c:pt idx="1">
                  <c:v>9202.4539877300613</c:v>
                </c:pt>
                <c:pt idx="2">
                  <c:v>10948.905109489051</c:v>
                </c:pt>
                <c:pt idx="3">
                  <c:v>16574.585635359115</c:v>
                </c:pt>
                <c:pt idx="4">
                  <c:v>21428.571428571431</c:v>
                </c:pt>
                <c:pt idx="5">
                  <c:v>25210.08403361345</c:v>
                </c:pt>
                <c:pt idx="6">
                  <c:v>27149.321266968327</c:v>
                </c:pt>
                <c:pt idx="7">
                  <c:v>28985.507246376812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70720"/>
        <c:axId val="473872640"/>
      </c:scatterChart>
      <c:valAx>
        <c:axId val="4738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872640"/>
        <c:crosses val="autoZero"/>
        <c:crossBetween val="midCat"/>
      </c:valAx>
      <c:valAx>
        <c:axId val="4738726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7387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20.131694041374747</c:v>
                </c:pt>
                <c:pt idx="1">
                  <c:v>23.671746696862254</c:v>
                </c:pt>
                <c:pt idx="2">
                  <c:v>35.503270443581727</c:v>
                </c:pt>
                <c:pt idx="3">
                  <c:v>47.29234259712959</c:v>
                </c:pt>
                <c:pt idx="4">
                  <c:v>57.584536088112245</c:v>
                </c:pt>
                <c:pt idx="5">
                  <c:v>62.799525506110612</c:v>
                </c:pt>
                <c:pt idx="6">
                  <c:v>65.497887967496453</c:v>
                </c:pt>
                <c:pt idx="7">
                  <c:v>68.715287379470368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5.6044685898818114E-2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37248"/>
        <c:axId val="474039424"/>
      </c:scatterChart>
      <c:valAx>
        <c:axId val="4740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039424"/>
        <c:crosses val="autoZero"/>
        <c:crossBetween val="midCat"/>
      </c:valAx>
      <c:valAx>
        <c:axId val="4740394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40372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91.795515843886037</c:v>
                </c:pt>
                <c:pt idx="1">
                  <c:v>79.801881522735954</c:v>
                </c:pt>
                <c:pt idx="2">
                  <c:v>65.109679479327085</c:v>
                </c:pt>
                <c:pt idx="3">
                  <c:v>40.972490408012526</c:v>
                </c:pt>
                <c:pt idx="4">
                  <c:v>35.725275392509367</c:v>
                </c:pt>
                <c:pt idx="5">
                  <c:v>30.028299089963074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88.314953905624549</c:v>
                </c:pt>
                <c:pt idx="1">
                  <c:v>77.520773378818305</c:v>
                </c:pt>
                <c:pt idx="2">
                  <c:v>63.714263402670746</c:v>
                </c:pt>
                <c:pt idx="3">
                  <c:v>41.032139870428352</c:v>
                </c:pt>
                <c:pt idx="4">
                  <c:v>32.156526314333505</c:v>
                </c:pt>
                <c:pt idx="5">
                  <c:v>28.292313609639148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42368"/>
        <c:axId val="450444288"/>
      </c:scatterChart>
      <c:valAx>
        <c:axId val="4504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44288"/>
        <c:crosses val="autoZero"/>
        <c:crossBetween val="midCat"/>
      </c:valAx>
      <c:valAx>
        <c:axId val="450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20.131694041374747</c:v>
                </c:pt>
                <c:pt idx="1">
                  <c:v>23.671746696862254</c:v>
                </c:pt>
                <c:pt idx="2">
                  <c:v>35.503270443581727</c:v>
                </c:pt>
                <c:pt idx="3">
                  <c:v>47.29234259712959</c:v>
                </c:pt>
                <c:pt idx="4">
                  <c:v>57.584536088112245</c:v>
                </c:pt>
                <c:pt idx="5">
                  <c:v>62.799525506110612</c:v>
                </c:pt>
                <c:pt idx="6">
                  <c:v>65.497887967496453</c:v>
                </c:pt>
                <c:pt idx="7">
                  <c:v>68.715287379470368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5.6044685898818114E-2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6.9029321153201586</c:v>
                </c:pt>
                <c:pt idx="1">
                  <c:v>16.04500316859885</c:v>
                </c:pt>
                <c:pt idx="2">
                  <c:v>20.131694041374747</c:v>
                </c:pt>
                <c:pt idx="3">
                  <c:v>23.671746696862254</c:v>
                </c:pt>
                <c:pt idx="4">
                  <c:v>35.503270443581727</c:v>
                </c:pt>
                <c:pt idx="5">
                  <c:v>47.29234259712959</c:v>
                </c:pt>
                <c:pt idx="6">
                  <c:v>57.584536088112245</c:v>
                </c:pt>
                <c:pt idx="7">
                  <c:v>62.799525506110612</c:v>
                </c:pt>
                <c:pt idx="8">
                  <c:v>65.497887967496453</c:v>
                </c:pt>
                <c:pt idx="9">
                  <c:v>68.715287379470368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0.13213741080016764</c:v>
                </c:pt>
                <c:pt idx="1">
                  <c:v>9.8854751195137494E-2</c:v>
                </c:pt>
                <c:pt idx="2">
                  <c:v>8.8850609433653679E-2</c:v>
                </c:pt>
                <c:pt idx="3">
                  <c:v>8.1689406747607177E-2</c:v>
                </c:pt>
                <c:pt idx="4">
                  <c:v>6.4354062174899987E-2</c:v>
                </c:pt>
                <c:pt idx="5">
                  <c:v>5.3121560184031913E-2</c:v>
                </c:pt>
                <c:pt idx="6">
                  <c:v>4.609724731246391E-2</c:v>
                </c:pt>
                <c:pt idx="7">
                  <c:v>4.3202645333862533E-2</c:v>
                </c:pt>
                <c:pt idx="8">
                  <c:v>4.1843127663600217E-2</c:v>
                </c:pt>
                <c:pt idx="9">
                  <c:v>4.0329893009598591E-2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065536"/>
        <c:axId val="474080000"/>
      </c:scatterChart>
      <c:valAx>
        <c:axId val="47406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080000"/>
        <c:crosses val="autoZero"/>
        <c:crossBetween val="midCat"/>
      </c:valAx>
      <c:valAx>
        <c:axId val="4740800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4065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58976"/>
        <c:axId val="474165248"/>
      </c:scatterChart>
      <c:valAx>
        <c:axId val="474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165248"/>
        <c:crosses val="autoZero"/>
        <c:crossBetween val="midCat"/>
      </c:valAx>
      <c:valAx>
        <c:axId val="4741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1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85088"/>
        <c:axId val="474195456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03648"/>
        <c:axId val="474197376"/>
      </c:scatterChart>
      <c:valAx>
        <c:axId val="4741850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195456"/>
        <c:crossesAt val="-40"/>
        <c:crossBetween val="midCat"/>
        <c:majorUnit val="20"/>
      </c:valAx>
      <c:valAx>
        <c:axId val="4741954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185088"/>
        <c:crosses val="autoZero"/>
        <c:crossBetween val="midCat"/>
      </c:valAx>
      <c:valAx>
        <c:axId val="474197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203648"/>
        <c:crosses val="max"/>
        <c:crossBetween val="midCat"/>
        <c:majorUnit val="40"/>
      </c:valAx>
      <c:valAx>
        <c:axId val="4742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19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16704"/>
        <c:axId val="474222976"/>
      </c:scatterChart>
      <c:valAx>
        <c:axId val="47421670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74222976"/>
        <c:crosses val="autoZero"/>
        <c:crossBetween val="midCat"/>
      </c:valAx>
      <c:valAx>
        <c:axId val="47422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7421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49088"/>
        <c:axId val="474255360"/>
      </c:scatterChart>
      <c:valAx>
        <c:axId val="47424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255360"/>
        <c:crosses val="autoZero"/>
        <c:crossBetween val="midCat"/>
      </c:valAx>
      <c:valAx>
        <c:axId val="474255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2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72512"/>
        <c:axId val="474274432"/>
      </c:scatterChart>
      <c:valAx>
        <c:axId val="474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74274432"/>
        <c:crosses val="autoZero"/>
        <c:crossBetween val="midCat"/>
      </c:valAx>
      <c:valAx>
        <c:axId val="4742744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7427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7824"/>
        <c:axId val="474564096"/>
      </c:scatterChart>
      <c:valAx>
        <c:axId val="47455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564096"/>
        <c:crosses val="autoZero"/>
        <c:crossBetween val="midCat"/>
      </c:valAx>
      <c:valAx>
        <c:axId val="4745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5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73056"/>
        <c:axId val="474579328"/>
      </c:scatterChart>
      <c:valAx>
        <c:axId val="47457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579328"/>
        <c:crosses val="autoZero"/>
        <c:crossBetween val="midCat"/>
      </c:valAx>
      <c:valAx>
        <c:axId val="4745793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45730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79168"/>
        <c:axId val="474681344"/>
      </c:scatterChart>
      <c:valAx>
        <c:axId val="4746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4681344"/>
        <c:crosses val="autoZero"/>
        <c:crossBetween val="midCat"/>
      </c:valAx>
      <c:valAx>
        <c:axId val="474681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4679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Ard4_Turn4_ESC4_G4b_T4a!$P$4:$P$12</c:f>
              <c:numCache>
                <c:formatCode>0</c:formatCode>
                <c:ptCount val="9"/>
                <c:pt idx="0">
                  <c:v>9933.7748344370866</c:v>
                </c:pt>
                <c:pt idx="1">
                  <c:v>14150.943396226416</c:v>
                </c:pt>
                <c:pt idx="2">
                  <c:v>17910.447761194031</c:v>
                </c:pt>
                <c:pt idx="3">
                  <c:v>22900.763358778626</c:v>
                </c:pt>
                <c:pt idx="4">
                  <c:v>28571.428571428572</c:v>
                </c:pt>
                <c:pt idx="5">
                  <c:v>32085.561497326202</c:v>
                </c:pt>
                <c:pt idx="6">
                  <c:v>35087.719298245618</c:v>
                </c:pt>
                <c:pt idx="7">
                  <c:v>40000</c:v>
                </c:pt>
                <c:pt idx="8">
                  <c:v>44117.647058823532</c:v>
                </c:pt>
              </c:numCache>
            </c:numRef>
          </c:xVal>
          <c:yVal>
            <c:numRef>
              <c:f>Ard4_Turn4_ESC4_G4b_T4a!$Q$4:$Q$12</c:f>
              <c:numCache>
                <c:formatCode>0</c:formatCode>
                <c:ptCount val="9"/>
                <c:pt idx="0">
                  <c:v>750.00000000000011</c:v>
                </c:pt>
                <c:pt idx="1">
                  <c:v>7317.0731707317073</c:v>
                </c:pt>
                <c:pt idx="2">
                  <c:v>11194.029850746268</c:v>
                </c:pt>
                <c:pt idx="3">
                  <c:v>16483.516483516483</c:v>
                </c:pt>
                <c:pt idx="4">
                  <c:v>21897.810218978102</c:v>
                </c:pt>
                <c:pt idx="5">
                  <c:v>24793.388429752067</c:v>
                </c:pt>
                <c:pt idx="6">
                  <c:v>27906.976744186049</c:v>
                </c:pt>
                <c:pt idx="7">
                  <c:v>32608.695652173916</c:v>
                </c:pt>
                <c:pt idx="8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2128"/>
        <c:axId val="474754048"/>
      </c:scatterChart>
      <c:valAx>
        <c:axId val="4747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754048"/>
        <c:crosses val="autoZero"/>
        <c:crossBetween val="midCat"/>
      </c:valAx>
      <c:valAx>
        <c:axId val="474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7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02496"/>
        <c:axId val="482555776"/>
      </c:scatterChart>
      <c:valAx>
        <c:axId val="47460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2555776"/>
        <c:crosses val="autoZero"/>
        <c:crossBetween val="midCat"/>
      </c:valAx>
      <c:valAx>
        <c:axId val="4825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6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178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21.557671081677704</c:v>
                </c:pt>
                <c:pt idx="1">
                  <c:v>30.709512578616351</c:v>
                </c:pt>
                <c:pt idx="2">
                  <c:v>38.868159203980099</c:v>
                </c:pt>
                <c:pt idx="3">
                  <c:v>49.697837150127228</c:v>
                </c:pt>
                <c:pt idx="4">
                  <c:v>62.003968253968253</c:v>
                </c:pt>
                <c:pt idx="5">
                  <c:v>69.630124777183596</c:v>
                </c:pt>
                <c:pt idx="6">
                  <c:v>76.145224171539965</c:v>
                </c:pt>
                <c:pt idx="7">
                  <c:v>86.805555555555557</c:v>
                </c:pt>
                <c:pt idx="8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78240"/>
        <c:axId val="47479270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16.175039999999999</c:v>
                </c:pt>
                <c:pt idx="4">
                  <c:v>30.835600000000003</c:v>
                </c:pt>
                <c:pt idx="5">
                  <c:v>53.8322</c:v>
                </c:pt>
                <c:pt idx="6">
                  <c:v>69.72</c:v>
                </c:pt>
                <c:pt idx="7">
                  <c:v>90.417600000000007</c:v>
                </c:pt>
                <c:pt idx="8">
                  <c:v>124.68819999999999</c:v>
                </c:pt>
                <c:pt idx="9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96800"/>
        <c:axId val="474794624"/>
      </c:scatterChart>
      <c:valAx>
        <c:axId val="474778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792704"/>
        <c:crossesAt val="-40"/>
        <c:crossBetween val="midCat"/>
        <c:majorUnit val="20"/>
      </c:valAx>
      <c:valAx>
        <c:axId val="4747927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778240"/>
        <c:crosses val="autoZero"/>
        <c:crossBetween val="midCat"/>
      </c:valAx>
      <c:valAx>
        <c:axId val="4747946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796800"/>
        <c:crosses val="max"/>
        <c:crossBetween val="midCat"/>
        <c:majorUnit val="40"/>
      </c:valAx>
      <c:valAx>
        <c:axId val="4747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7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76.145224171539965</c:v>
                </c:pt>
                <c:pt idx="8">
                  <c:v>86.805555555555557</c:v>
                </c:pt>
                <c:pt idx="9">
                  <c:v>95.741421568627459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2.0444631362320002E-2</c:v>
                </c:pt>
                <c:pt idx="4">
                  <c:v>4.0104764854640006E-2</c:v>
                </c:pt>
                <c:pt idx="5">
                  <c:v>7.0943711379840013E-2</c:v>
                </c:pt>
                <c:pt idx="6">
                  <c:v>9.2249600711440005E-2</c:v>
                </c:pt>
                <c:pt idx="7">
                  <c:v>0.12000553765864003</c:v>
                </c:pt>
                <c:pt idx="8">
                  <c:v>0.16596316621184001</c:v>
                </c:pt>
                <c:pt idx="9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05760"/>
        <c:axId val="474807680"/>
      </c:scatterChart>
      <c:valAx>
        <c:axId val="4748057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74807680"/>
        <c:crosses val="autoZero"/>
        <c:crossBetween val="midCat"/>
      </c:valAx>
      <c:valAx>
        <c:axId val="47480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4748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2702.6697175951012</c:v>
                </c:pt>
                <c:pt idx="1">
                  <c:v>7138.4866811744396</c:v>
                </c:pt>
                <c:pt idx="2">
                  <c:v>15005.216013525915</c:v>
                </c:pt>
                <c:pt idx="3">
                  <c:v>18841.911270834102</c:v>
                </c:pt>
                <c:pt idx="4">
                  <c:v>24640.848642300854</c:v>
                </c:pt>
                <c:pt idx="5">
                  <c:v>30346.002469076866</c:v>
                </c:pt>
                <c:pt idx="6">
                  <c:v>32922.1559679731</c:v>
                </c:pt>
                <c:pt idx="7">
                  <c:v>35104.339970826579</c:v>
                </c:pt>
                <c:pt idx="8">
                  <c:v>38241.653832148877</c:v>
                </c:pt>
                <c:pt idx="9">
                  <c:v>42517.670928599298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11872"/>
        <c:axId val="474913792"/>
      </c:scatterChart>
      <c:valAx>
        <c:axId val="4749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913792"/>
        <c:crosses val="autoZero"/>
        <c:crossBetween val="midCat"/>
      </c:valAx>
      <c:valAx>
        <c:axId val="47491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7491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3.273865381871955E-3</c:v>
                </c:pt>
                <c:pt idx="4">
                  <c:v>6.4762696556799728E-3</c:v>
                </c:pt>
                <c:pt idx="5">
                  <c:v>1.0319622855798637E-2</c:v>
                </c:pt>
                <c:pt idx="6">
                  <c:v>1.2378840971476832E-2</c:v>
                </c:pt>
                <c:pt idx="7">
                  <c:v>1.5241418717777001E-2</c:v>
                </c:pt>
                <c:pt idx="8">
                  <c:v>1.9069713553571042E-2</c:v>
                </c:pt>
                <c:pt idx="9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935296"/>
        <c:axId val="474937216"/>
      </c:scatterChart>
      <c:valAx>
        <c:axId val="4749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74937216"/>
        <c:crosses val="autoZero"/>
        <c:crossBetween val="midCat"/>
      </c:valAx>
      <c:valAx>
        <c:axId val="4749372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7493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Ard4_Turn4_ESC4_G4b_T4a!$E$2:$E$12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0.88100000000000001</c:v>
                </c:pt>
                <c:pt idx="5">
                  <c:v>1.2849999999999999</c:v>
                </c:pt>
                <c:pt idx="6">
                  <c:v>1.702</c:v>
                </c:pt>
                <c:pt idx="7">
                  <c:v>1.9330000000000001</c:v>
                </c:pt>
                <c:pt idx="8">
                  <c:v>2.1789999999999998</c:v>
                </c:pt>
                <c:pt idx="9">
                  <c:v>2.5299999999999998</c:v>
                </c:pt>
                <c:pt idx="10">
                  <c:v>2.82</c:v>
                </c:pt>
              </c:numCache>
            </c:numRef>
          </c:xVal>
          <c:yVal>
            <c:numRef>
              <c:f>Ard4_Turn4_ESC4_G4b_T4a!$Q$2:$Q$12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11194.029850746268</c:v>
                </c:pt>
                <c:pt idx="5">
                  <c:v>16483.516483516483</c:v>
                </c:pt>
                <c:pt idx="6">
                  <c:v>21897.810218978102</c:v>
                </c:pt>
                <c:pt idx="7">
                  <c:v>24793.388429752067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32192"/>
        <c:axId val="475038464"/>
      </c:scatterChart>
      <c:valAx>
        <c:axId val="4750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038464"/>
        <c:crosses val="autoZero"/>
        <c:crossBetween val="midCat"/>
      </c:valAx>
      <c:valAx>
        <c:axId val="47503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03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47424"/>
        <c:axId val="475049344"/>
      </c:scatterChart>
      <c:valAx>
        <c:axId val="47504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049344"/>
        <c:crosses val="autoZero"/>
        <c:crossBetween val="midCat"/>
      </c:valAx>
      <c:valAx>
        <c:axId val="475049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50474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0</c:v>
                </c:pt>
                <c:pt idx="1">
                  <c:v>16.540096866619763</c:v>
                </c:pt>
                <c:pt idx="2">
                  <c:v>24.942809896736904</c:v>
                </c:pt>
                <c:pt idx="3">
                  <c:v>37.643012374179307</c:v>
                </c:pt>
                <c:pt idx="4">
                  <c:v>50.137820323223224</c:v>
                </c:pt>
                <c:pt idx="5">
                  <c:v>55.779831773448365</c:v>
                </c:pt>
                <c:pt idx="6">
                  <c:v>60.559014044952193</c:v>
                </c:pt>
                <c:pt idx="7">
                  <c:v>67.430017941309458</c:v>
                </c:pt>
                <c:pt idx="8">
                  <c:v>76.794885923698061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0.125818603177664</c:v>
                </c:pt>
                <c:pt idx="1">
                  <c:v>8.4651014853752968E-2</c:v>
                </c:pt>
                <c:pt idx="2">
                  <c:v>7.3001555323770131E-2</c:v>
                </c:pt>
                <c:pt idx="3">
                  <c:v>6.0431717885961765E-2</c:v>
                </c:pt>
                <c:pt idx="4">
                  <c:v>5.167748909954361E-2</c:v>
                </c:pt>
                <c:pt idx="5">
                  <c:v>4.8504700353765438E-2</c:v>
                </c:pt>
                <c:pt idx="6">
                  <c:v>4.6106835515446754E-2</c:v>
                </c:pt>
                <c:pt idx="7">
                  <c:v>4.3047313865158747E-2</c:v>
                </c:pt>
                <c:pt idx="8">
                  <c:v>3.9476944024845896E-2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9264"/>
        <c:axId val="475741184"/>
      </c:scatterChart>
      <c:valAx>
        <c:axId val="4757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5741184"/>
        <c:crosses val="autoZero"/>
        <c:crossBetween val="midCat"/>
      </c:valAx>
      <c:valAx>
        <c:axId val="475741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757392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9664"/>
        <c:axId val="565826688"/>
      </c:scatterChart>
      <c:valAx>
        <c:axId val="5392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5826688"/>
        <c:crosses val="autoZero"/>
        <c:crossBetween val="midCat"/>
      </c:valAx>
      <c:valAx>
        <c:axId val="5658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392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75552"/>
        <c:axId val="56637747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2528"/>
        <c:axId val="566420608"/>
      </c:scatterChart>
      <c:valAx>
        <c:axId val="5663755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6377472"/>
        <c:crossesAt val="-40"/>
        <c:crossBetween val="midCat"/>
        <c:majorUnit val="20"/>
      </c:valAx>
      <c:valAx>
        <c:axId val="5663774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6375552"/>
        <c:crosses val="autoZero"/>
        <c:crossBetween val="midCat"/>
      </c:valAx>
      <c:valAx>
        <c:axId val="5664206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6422528"/>
        <c:crosses val="max"/>
        <c:crossBetween val="midCat"/>
        <c:majorUnit val="40"/>
      </c:valAx>
      <c:valAx>
        <c:axId val="56642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42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01376"/>
        <c:axId val="566503296"/>
      </c:scatterChart>
      <c:valAx>
        <c:axId val="5665013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6503296"/>
        <c:crosses val="autoZero"/>
        <c:crossBetween val="midCat"/>
      </c:valAx>
      <c:valAx>
        <c:axId val="566503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66501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12832"/>
        <c:axId val="485160064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00384"/>
        <c:axId val="485162368"/>
      </c:scatterChart>
      <c:valAx>
        <c:axId val="485112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5160064"/>
        <c:crossesAt val="-40"/>
        <c:crossBetween val="midCat"/>
        <c:majorUnit val="20"/>
      </c:valAx>
      <c:valAx>
        <c:axId val="485160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5112832"/>
        <c:crosses val="autoZero"/>
        <c:crossBetween val="midCat"/>
      </c:valAx>
      <c:valAx>
        <c:axId val="485162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88400384"/>
        <c:crosses val="max"/>
        <c:crossBetween val="midCat"/>
        <c:majorUnit val="40"/>
      </c:valAx>
      <c:valAx>
        <c:axId val="4884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516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18784"/>
        <c:axId val="569361920"/>
      </c:scatterChart>
      <c:valAx>
        <c:axId val="5693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361920"/>
        <c:crosses val="autoZero"/>
        <c:crossBetween val="midCat"/>
      </c:valAx>
      <c:valAx>
        <c:axId val="5693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93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34016"/>
        <c:axId val="569344384"/>
      </c:scatterChart>
      <c:valAx>
        <c:axId val="5693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69344384"/>
        <c:crosses val="autoZero"/>
        <c:crossBetween val="midCat"/>
      </c:valAx>
      <c:valAx>
        <c:axId val="5693443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69334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63552"/>
        <c:axId val="569465472"/>
      </c:scatterChart>
      <c:valAx>
        <c:axId val="5694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465472"/>
        <c:crosses val="autoZero"/>
        <c:crossBetween val="midCat"/>
      </c:valAx>
      <c:valAx>
        <c:axId val="56946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46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90816"/>
        <c:axId val="569525760"/>
      </c:scatterChart>
      <c:valAx>
        <c:axId val="5694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25760"/>
        <c:crosses val="autoZero"/>
        <c:crossBetween val="midCat"/>
      </c:valAx>
      <c:valAx>
        <c:axId val="5695257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490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39584"/>
        <c:axId val="569578624"/>
      </c:scatterChart>
      <c:valAx>
        <c:axId val="56953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9578624"/>
        <c:crosses val="autoZero"/>
        <c:crossBetween val="midCat"/>
      </c:valAx>
      <c:valAx>
        <c:axId val="5695786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695395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71264"/>
        <c:axId val="475773184"/>
      </c:scatterChart>
      <c:valAx>
        <c:axId val="47577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3184"/>
        <c:crosses val="autoZero"/>
        <c:crossBetween val="midCat"/>
      </c:valAx>
      <c:valAx>
        <c:axId val="4757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7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20384"/>
        <c:axId val="47712256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30752"/>
        <c:axId val="477124480"/>
      </c:scatterChart>
      <c:valAx>
        <c:axId val="47712038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22560"/>
        <c:crossesAt val="-40"/>
        <c:crossBetween val="midCat"/>
        <c:majorUnit val="20"/>
      </c:valAx>
      <c:valAx>
        <c:axId val="4771225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20384"/>
        <c:crosses val="autoZero"/>
        <c:crossBetween val="midCat"/>
      </c:valAx>
      <c:valAx>
        <c:axId val="4771244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30752"/>
        <c:crosses val="max"/>
        <c:crossBetween val="midCat"/>
        <c:majorUnit val="40"/>
      </c:valAx>
      <c:valAx>
        <c:axId val="4771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71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52000"/>
        <c:axId val="477153920"/>
      </c:scatterChart>
      <c:valAx>
        <c:axId val="4771520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77153920"/>
        <c:crosses val="autoZero"/>
        <c:crossBetween val="midCat"/>
      </c:valAx>
      <c:valAx>
        <c:axId val="47715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715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76192"/>
        <c:axId val="477178112"/>
      </c:scatterChart>
      <c:valAx>
        <c:axId val="4771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78112"/>
        <c:crosses val="autoZero"/>
        <c:crossBetween val="midCat"/>
      </c:valAx>
      <c:valAx>
        <c:axId val="477178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7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192960"/>
        <c:axId val="477194496"/>
      </c:scatterChart>
      <c:valAx>
        <c:axId val="477192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77194496"/>
        <c:crosses val="autoZero"/>
        <c:crossBetween val="midCat"/>
      </c:valAx>
      <c:valAx>
        <c:axId val="4771944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477192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40064"/>
        <c:axId val="496441984"/>
      </c:scatterChart>
      <c:valAx>
        <c:axId val="4964400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96441984"/>
        <c:crosses val="autoZero"/>
        <c:crossBetween val="midCat"/>
      </c:valAx>
      <c:valAx>
        <c:axId val="49644198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44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229440"/>
        <c:axId val="477231360"/>
      </c:scatterChart>
      <c:valAx>
        <c:axId val="4772294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77231360"/>
        <c:crosses val="autoZero"/>
        <c:crossBetween val="midCat"/>
      </c:valAx>
      <c:valAx>
        <c:axId val="47723136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77229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0240"/>
        <c:axId val="477452160"/>
      </c:scatterChart>
      <c:valAx>
        <c:axId val="4774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2160"/>
        <c:crosses val="autoZero"/>
        <c:crossBetween val="midCat"/>
      </c:valAx>
      <c:valAx>
        <c:axId val="4774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5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78272"/>
        <c:axId val="477758976"/>
      </c:scatterChart>
      <c:valAx>
        <c:axId val="4774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58976"/>
        <c:crosses val="autoZero"/>
        <c:crossBetween val="midCat"/>
      </c:valAx>
      <c:valAx>
        <c:axId val="4777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7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70496"/>
        <c:axId val="477772416"/>
      </c:scatterChart>
      <c:valAx>
        <c:axId val="4777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2416"/>
        <c:crosses val="autoZero"/>
        <c:crossBetween val="midCat"/>
      </c:valAx>
      <c:valAx>
        <c:axId val="477772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792512"/>
        <c:axId val="477798400"/>
      </c:scatterChart>
      <c:valAx>
        <c:axId val="47779251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477798400"/>
        <c:crosses val="autoZero"/>
        <c:crossBetween val="midCat"/>
        <c:minorUnit val="2"/>
      </c:valAx>
      <c:valAx>
        <c:axId val="47779840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477792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52128"/>
        <c:axId val="478353664"/>
      </c:scatterChart>
      <c:valAx>
        <c:axId val="4783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3664"/>
        <c:crosses val="autoZero"/>
        <c:crossBetween val="midCat"/>
      </c:valAx>
      <c:valAx>
        <c:axId val="478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5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09472"/>
        <c:axId val="478411392"/>
      </c:scatterChart>
      <c:valAx>
        <c:axId val="4784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11392"/>
        <c:crosses val="autoZero"/>
        <c:crossBetween val="midCat"/>
      </c:valAx>
      <c:valAx>
        <c:axId val="47841139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18656"/>
        <c:axId val="478520448"/>
      </c:scatterChart>
      <c:valAx>
        <c:axId val="4785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20448"/>
        <c:crosses val="autoZero"/>
        <c:crossBetween val="midCat"/>
      </c:valAx>
      <c:valAx>
        <c:axId val="4785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2752"/>
        <c:axId val="47916467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8768"/>
        <c:axId val="479166848"/>
      </c:scatterChart>
      <c:valAx>
        <c:axId val="47916275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4672"/>
        <c:crossesAt val="-40"/>
        <c:crossBetween val="midCat"/>
        <c:majorUnit val="20"/>
      </c:valAx>
      <c:valAx>
        <c:axId val="479164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2752"/>
        <c:crosses val="autoZero"/>
        <c:crossBetween val="midCat"/>
      </c:valAx>
      <c:valAx>
        <c:axId val="4791668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68768"/>
        <c:crosses val="max"/>
        <c:crossBetween val="midCat"/>
        <c:majorUnit val="40"/>
      </c:valAx>
      <c:valAx>
        <c:axId val="4791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1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81824"/>
        <c:axId val="479196288"/>
      </c:scatterChart>
      <c:valAx>
        <c:axId val="4791818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79196288"/>
        <c:crosses val="autoZero"/>
        <c:crossBetween val="midCat"/>
      </c:valAx>
      <c:valAx>
        <c:axId val="479196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918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13952"/>
        <c:axId val="505409536"/>
      </c:scatterChart>
      <c:valAx>
        <c:axId val="5040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5409536"/>
        <c:crosses val="autoZero"/>
        <c:crossBetween val="midCat"/>
      </c:valAx>
      <c:valAx>
        <c:axId val="505409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401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59968"/>
        <c:axId val="480129792"/>
      </c:scatterChart>
      <c:valAx>
        <c:axId val="47945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29792"/>
        <c:crosses val="autoZero"/>
        <c:crossBetween val="midCat"/>
      </c:valAx>
      <c:valAx>
        <c:axId val="480129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51040"/>
        <c:axId val="480152576"/>
      </c:scatterChart>
      <c:valAx>
        <c:axId val="480151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80152576"/>
        <c:crosses val="autoZero"/>
        <c:crossBetween val="midCat"/>
      </c:valAx>
      <c:valAx>
        <c:axId val="4801525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8015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68960"/>
        <c:axId val="480515200"/>
      </c:scatterChart>
      <c:valAx>
        <c:axId val="480168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0515200"/>
        <c:crosses val="autoZero"/>
        <c:crossBetween val="midCat"/>
        <c:dispUnits>
          <c:builtInUnit val="thousands"/>
          <c:dispUnitsLbl/>
        </c:dispUnits>
      </c:valAx>
      <c:valAx>
        <c:axId val="4805152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8016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8736"/>
        <c:axId val="480550912"/>
      </c:scatterChart>
      <c:valAx>
        <c:axId val="4805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550912"/>
        <c:crosses val="autoZero"/>
        <c:crossBetween val="midCat"/>
      </c:valAx>
      <c:valAx>
        <c:axId val="48055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548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79584"/>
        <c:axId val="480581120"/>
      </c:scatterChart>
      <c:valAx>
        <c:axId val="480579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80581120"/>
        <c:crosses val="autoZero"/>
        <c:crossBetween val="midCat"/>
      </c:valAx>
      <c:valAx>
        <c:axId val="4805811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8057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48192"/>
        <c:axId val="480674944"/>
      </c:scatterChart>
      <c:valAx>
        <c:axId val="4806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74944"/>
        <c:crosses val="autoZero"/>
        <c:crossBetween val="midCat"/>
      </c:valAx>
      <c:valAx>
        <c:axId val="4806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4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88000"/>
        <c:axId val="480689536"/>
      </c:scatterChart>
      <c:valAx>
        <c:axId val="4806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9536"/>
        <c:crosses val="autoZero"/>
        <c:crossBetween val="midCat"/>
      </c:valAx>
      <c:valAx>
        <c:axId val="4806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87072"/>
        <c:axId val="48079744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13440"/>
        <c:axId val="480799360"/>
      </c:scatterChart>
      <c:valAx>
        <c:axId val="4807870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7440"/>
        <c:crosses val="autoZero"/>
        <c:crossBetween val="midCat"/>
      </c:valAx>
      <c:valAx>
        <c:axId val="4807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87072"/>
        <c:crosses val="autoZero"/>
        <c:crossBetween val="midCat"/>
      </c:valAx>
      <c:valAx>
        <c:axId val="48079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13440"/>
        <c:crosses val="max"/>
        <c:crossBetween val="midCat"/>
      </c:valAx>
      <c:valAx>
        <c:axId val="4808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7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38784"/>
        <c:axId val="480840704"/>
      </c:scatterChart>
      <c:valAx>
        <c:axId val="4808387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0840704"/>
        <c:crosses val="autoZero"/>
        <c:crossBetween val="midCat"/>
      </c:valAx>
      <c:valAx>
        <c:axId val="48084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83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30848"/>
        <c:axId val="481232768"/>
      </c:scatterChart>
      <c:valAx>
        <c:axId val="48123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481232768"/>
        <c:crosses val="autoZero"/>
        <c:crossBetween val="midCat"/>
      </c:valAx>
      <c:valAx>
        <c:axId val="4812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23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544320"/>
        <c:axId val="509665280"/>
      </c:scatterChart>
      <c:valAx>
        <c:axId val="5095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09665280"/>
        <c:crosses val="autoZero"/>
        <c:crossBetween val="midCat"/>
      </c:valAx>
      <c:valAx>
        <c:axId val="5096652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0954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42112"/>
        <c:axId val="481260288"/>
      </c:scatterChart>
      <c:valAx>
        <c:axId val="48124211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0288"/>
        <c:crosses val="autoZero"/>
        <c:crossBetween val="midCat"/>
      </c:valAx>
      <c:valAx>
        <c:axId val="481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4211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93440"/>
        <c:axId val="481294976"/>
      </c:scatterChart>
      <c:valAx>
        <c:axId val="4812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94976"/>
        <c:crosses val="autoZero"/>
        <c:crossBetween val="midCat"/>
      </c:valAx>
      <c:valAx>
        <c:axId val="4812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311744"/>
        <c:axId val="481334016"/>
      </c:scatterChart>
      <c:valAx>
        <c:axId val="4813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34016"/>
        <c:crosses val="autoZero"/>
        <c:crossBetween val="midCat"/>
      </c:valAx>
      <c:valAx>
        <c:axId val="4813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80352"/>
        <c:axId val="482582528"/>
      </c:scatterChart>
      <c:valAx>
        <c:axId val="4825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2528"/>
        <c:crosses val="autoZero"/>
        <c:crossBetween val="midCat"/>
      </c:valAx>
      <c:valAx>
        <c:axId val="482582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71616"/>
        <c:axId val="608440704"/>
      </c:scatterChart>
      <c:valAx>
        <c:axId val="5154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8440704"/>
        <c:crosses val="autoZero"/>
        <c:crossBetween val="midCat"/>
      </c:valAx>
      <c:valAx>
        <c:axId val="6084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47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4.xml"/><Relationship Id="rId3" Type="http://schemas.openxmlformats.org/officeDocument/2006/relationships/chart" Target="../charts/chart69.xml"/><Relationship Id="rId7" Type="http://schemas.openxmlformats.org/officeDocument/2006/relationships/chart" Target="../charts/chart73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ht="14.45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ht="14.45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7.7741158395129268</v>
      </c>
      <c r="Q2" s="174">
        <f>Ard2_Turn2_ESC2_G2b_T2a!P2</f>
        <v>5.9999999999999995E-25</v>
      </c>
      <c r="R2" s="174">
        <f>R3</f>
        <v>2000.2283539900759</v>
      </c>
      <c r="S2" s="174">
        <f t="shared" ref="S2:S13" si="3">LN(P2)*$C$21+$B$21</f>
        <v>1331.4953154329669</v>
      </c>
      <c r="T2" s="174">
        <f>T3</f>
        <v>1285.0090120915108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9.1059042173196207</v>
      </c>
      <c r="AA2" s="174">
        <f>Ard4_Turn4_ESC4_G4b_T4a!P2</f>
        <v>5.9999999999999995E-25</v>
      </c>
      <c r="AB2" s="174">
        <f>AB3</f>
        <v>4190.1301977858784</v>
      </c>
      <c r="AC2" s="174">
        <f t="shared" ref="AC2:AC5" si="5">LN(Z2)*$C$21+$B$21</f>
        <v>3396.7435410153012</v>
      </c>
      <c r="AD2" s="174">
        <f>AD3</f>
        <v>1303.0843738596254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ht="14.45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13</v>
      </c>
      <c r="Q3" s="174">
        <f>Ard2_Turn2_ESC2_G2b_T2a!P3</f>
        <v>10452.961672473868</v>
      </c>
      <c r="R3" s="174">
        <f>(Q3-Q2)/(P3-P2)</f>
        <v>2000.2283539900759</v>
      </c>
      <c r="S3" s="174">
        <f t="shared" si="3"/>
        <v>8046.8035578051349</v>
      </c>
      <c r="T3" s="174">
        <f>(S3-S2)/(P3-P2)</f>
        <v>1285.0090120915108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4190.1301977858784</v>
      </c>
      <c r="AC3" s="174">
        <f t="shared" si="5"/>
        <v>5864.9101580195202</v>
      </c>
      <c r="AD3" s="174">
        <f>(AC3-AC2)/(Z3-Z2)</f>
        <v>1303.0843738596254</v>
      </c>
      <c r="AE3">
        <f t="shared" si="6"/>
        <v>15</v>
      </c>
      <c r="AF3" s="174">
        <f t="shared" si="7"/>
        <v>8287.2928176795576</v>
      </c>
    </row>
    <row r="4" spans="1:32" ht="14.45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17</v>
      </c>
      <c r="Q4" s="174">
        <f>Ard2_Turn2_ESC2_G2b_T2a!P4</f>
        <v>11778.563015312133</v>
      </c>
      <c r="R4" s="174">
        <f t="shared" ref="R4:R13" si="14">(Q4-Q3)/(P4-P3)</f>
        <v>331.40033570956621</v>
      </c>
      <c r="S4" s="174">
        <f t="shared" si="3"/>
        <v>11550.599486718238</v>
      </c>
      <c r="T4" s="174">
        <f t="shared" ref="T4:T13" si="15">(S4-S3)/(P4-P3)</f>
        <v>875.94898222827578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5" si="18">(AA4-AA3)/(Z4-Z3)</f>
        <v>499.31672448228755</v>
      </c>
      <c r="AC4" s="174">
        <f t="shared" si="5"/>
        <v>9915.8436765959632</v>
      </c>
      <c r="AD4" s="174">
        <f t="shared" ref="AD4:AD5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ht="14.45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14218.009478672986</v>
      </c>
      <c r="R5" s="174">
        <f t="shared" si="14"/>
        <v>348.49235190869331</v>
      </c>
      <c r="S5" s="174">
        <f t="shared" si="3"/>
        <v>16054.56107817452</v>
      </c>
      <c r="T5" s="174">
        <f t="shared" si="15"/>
        <v>643.42308449375457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ht="14.45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16000.000000000002</v>
      </c>
      <c r="R6" s="174">
        <f t="shared" si="14"/>
        <v>445.49763033175395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17910.447761194031</v>
      </c>
      <c r="AB6" s="174">
        <f t="shared" ref="AB6:AB12" si="20">(AA6-AA5)/(Z6-Z5)</f>
        <v>469.93804562095193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ht="14.45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17804.154302670624</v>
      </c>
      <c r="R7" s="174">
        <f t="shared" si="14"/>
        <v>451.03857566765555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22900.763358778626</v>
      </c>
      <c r="AB7" s="174">
        <f t="shared" si="20"/>
        <v>293.54797632850557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ht="14.45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23904.382470119523</v>
      </c>
      <c r="R8" s="174">
        <f t="shared" si="14"/>
        <v>338.90156485827214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28571.428571428572</v>
      </c>
      <c r="AB8" s="174">
        <f t="shared" si="20"/>
        <v>226.82660850599785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ht="14.45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28301.886792452831</v>
      </c>
      <c r="R9" s="174">
        <f t="shared" si="14"/>
        <v>157.05372579761817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32085.561497326202</v>
      </c>
      <c r="AB9" s="174">
        <f t="shared" si="20"/>
        <v>234.27552839317528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ht="14.45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34090.909090909088</v>
      </c>
      <c r="R10" s="174">
        <f t="shared" si="14"/>
        <v>156.46006212043937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35087.719298245618</v>
      </c>
      <c r="AB10" s="174">
        <f t="shared" si="20"/>
        <v>200.14385339462777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ht="14.45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36090.225563909771</v>
      </c>
      <c r="R11" s="174">
        <f t="shared" si="14"/>
        <v>79.972658920027314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40000</v>
      </c>
      <c r="AB11" s="174">
        <f t="shared" si="20"/>
        <v>188.93387314439931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ht="14.45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37037.037037037036</v>
      </c>
      <c r="R12" s="174">
        <f t="shared" si="14"/>
        <v>63.120764875151025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178</v>
      </c>
      <c r="AA12" s="174">
        <f>Ard4_Turn4_ESC4_G4b_T4a!P12</f>
        <v>44117.647058823532</v>
      </c>
      <c r="AB12" s="174">
        <f t="shared" si="20"/>
        <v>89.514066496163736</v>
      </c>
      <c r="AC12" s="174">
        <f t="shared" si="21"/>
        <v>42225.274950364925</v>
      </c>
      <c r="AD12" s="174">
        <f t="shared" si="22"/>
        <v>84.891283466616073</v>
      </c>
      <c r="AE12">
        <f t="shared" si="6"/>
        <v>125</v>
      </c>
      <c r="AF12" s="174">
        <f t="shared" si="7"/>
        <v>37500</v>
      </c>
    </row>
    <row r="13" spans="1:32" ht="14.45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175</v>
      </c>
      <c r="Q13" s="174">
        <f>Ard2_Turn2_ESC2_G2b_T2a!P13</f>
        <v>44117.647058823532</v>
      </c>
      <c r="R13" s="174">
        <f t="shared" si="14"/>
        <v>354.03050108932473</v>
      </c>
      <c r="S13" s="174">
        <f t="shared" si="3"/>
        <v>42003.269605415029</v>
      </c>
      <c r="T13" s="174">
        <f t="shared" si="15"/>
        <v>79.254707666637117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ht="14.45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ht="14.45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ht="14.45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ht="14.45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ht="14.45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ht="14.45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ht="14.45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ht="14.45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ht="14.45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ht="14.45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ht="14.45" x14ac:dyDescent="0.3">
      <c r="AE24" s="96">
        <f t="shared" si="26"/>
        <v>54</v>
      </c>
      <c r="AF24" s="174">
        <f t="shared" si="27"/>
        <v>25104.602510460249</v>
      </c>
    </row>
    <row r="25" spans="1:32" ht="14.45" x14ac:dyDescent="0.3">
      <c r="AE25" s="96">
        <f t="shared" si="26"/>
        <v>64</v>
      </c>
      <c r="AF25" s="174">
        <f t="shared" si="27"/>
        <v>27649.76958525346</v>
      </c>
    </row>
    <row r="26" spans="1:32" ht="14.45" x14ac:dyDescent="0.3">
      <c r="AE26" s="96">
        <f t="shared" si="26"/>
        <v>90</v>
      </c>
      <c r="AF26" s="174">
        <f t="shared" si="27"/>
        <v>32258.06451612903</v>
      </c>
    </row>
    <row r="27" spans="1:32" ht="14.45" x14ac:dyDescent="0.3">
      <c r="AE27" s="96">
        <f t="shared" si="26"/>
        <v>125</v>
      </c>
      <c r="AF27" s="174">
        <f t="shared" si="27"/>
        <v>37037.037037037036</v>
      </c>
    </row>
    <row r="28" spans="1:32" ht="14.45" x14ac:dyDescent="0.3">
      <c r="AE28" s="96">
        <f t="shared" si="26"/>
        <v>155</v>
      </c>
      <c r="AF28" s="174">
        <f t="shared" si="27"/>
        <v>41958.041958041955</v>
      </c>
    </row>
    <row r="29" spans="1:32" ht="14.45" x14ac:dyDescent="0.3">
      <c r="AE29" s="96">
        <f t="shared" si="26"/>
        <v>180</v>
      </c>
      <c r="AF29" s="174">
        <f t="shared" si="27"/>
        <v>43859.649122807015</v>
      </c>
    </row>
    <row r="30" spans="1:32" ht="14.45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ht="14.45" x14ac:dyDescent="0.3">
      <c r="AE31" s="96">
        <f t="shared" si="28"/>
        <v>8</v>
      </c>
      <c r="AF31" s="174">
        <f t="shared" si="29"/>
        <v>7500.0000000000009</v>
      </c>
    </row>
    <row r="32" spans="1:32" ht="14.45" x14ac:dyDescent="0.3">
      <c r="AE32" s="96">
        <f t="shared" si="28"/>
        <v>12</v>
      </c>
      <c r="AF32" s="174">
        <f t="shared" si="29"/>
        <v>10830.324909747293</v>
      </c>
    </row>
    <row r="33" spans="31:32" ht="14.45" x14ac:dyDescent="0.3">
      <c r="AE33" s="96">
        <f t="shared" si="28"/>
        <v>17</v>
      </c>
      <c r="AF33" s="174">
        <f t="shared" si="29"/>
        <v>12244.897959183674</v>
      </c>
    </row>
    <row r="34" spans="31:32" ht="14.45" x14ac:dyDescent="0.3">
      <c r="AE34" s="96">
        <f t="shared" si="28"/>
        <v>21</v>
      </c>
      <c r="AF34" s="174">
        <f t="shared" si="29"/>
        <v>14354.066985645934</v>
      </c>
    </row>
    <row r="35" spans="31:32" x14ac:dyDescent="0.25">
      <c r="AE35" s="96">
        <f t="shared" si="28"/>
        <v>27</v>
      </c>
      <c r="AF35" s="174">
        <f t="shared" si="29"/>
        <v>16949.152542372882</v>
      </c>
    </row>
    <row r="36" spans="31:32" x14ac:dyDescent="0.25">
      <c r="AE36" s="96">
        <f t="shared" si="28"/>
        <v>42</v>
      </c>
      <c r="AF36" s="174">
        <f t="shared" si="29"/>
        <v>21660.649819494585</v>
      </c>
    </row>
    <row r="37" spans="31:32" x14ac:dyDescent="0.25">
      <c r="AE37" s="96">
        <f t="shared" si="28"/>
        <v>67</v>
      </c>
      <c r="AF37" s="174">
        <f t="shared" si="29"/>
        <v>27649.76958525346</v>
      </c>
    </row>
    <row r="38" spans="31:32" x14ac:dyDescent="0.25">
      <c r="AE38" s="96">
        <f t="shared" si="28"/>
        <v>79</v>
      </c>
      <c r="AF38" s="174">
        <f t="shared" si="29"/>
        <v>29702.970297029704</v>
      </c>
    </row>
    <row r="39" spans="31:32" x14ac:dyDescent="0.25">
      <c r="AE39" s="96">
        <f t="shared" si="28"/>
        <v>84</v>
      </c>
      <c r="AF39" s="174">
        <f t="shared" si="29"/>
        <v>30456.852791878177</v>
      </c>
    </row>
    <row r="40" spans="31:32" x14ac:dyDescent="0.25">
      <c r="AE40" s="96">
        <f t="shared" si="28"/>
        <v>121</v>
      </c>
      <c r="AF40" s="174">
        <f t="shared" si="29"/>
        <v>36363.636363636368</v>
      </c>
    </row>
    <row r="41" spans="31:32" x14ac:dyDescent="0.25">
      <c r="AE41" s="96">
        <f t="shared" si="28"/>
        <v>175</v>
      </c>
      <c r="AF41" s="174">
        <f t="shared" si="29"/>
        <v>44117.647058823532</v>
      </c>
    </row>
    <row r="42" spans="31:32" x14ac:dyDescent="0.25">
      <c r="AE42" s="96">
        <f t="shared" si="28"/>
        <v>0</v>
      </c>
      <c r="AF42" s="174">
        <f t="shared" si="29"/>
        <v>0</v>
      </c>
    </row>
    <row r="43" spans="31:32" x14ac:dyDescent="0.25">
      <c r="AE43" s="96">
        <f t="shared" ref="AE43:AE54" si="30">P2</f>
        <v>7.7741158395129268</v>
      </c>
      <c r="AF43" s="174">
        <f t="shared" ref="AF43:AF54" si="31">Q2</f>
        <v>5.9999999999999995E-25</v>
      </c>
    </row>
    <row r="44" spans="31:32" x14ac:dyDescent="0.25">
      <c r="AE44" s="96">
        <f t="shared" si="30"/>
        <v>13</v>
      </c>
      <c r="AF44" s="174">
        <f t="shared" si="31"/>
        <v>10452.961672473868</v>
      </c>
    </row>
    <row r="45" spans="31:32" x14ac:dyDescent="0.25">
      <c r="AE45" s="96">
        <f t="shared" si="30"/>
        <v>17</v>
      </c>
      <c r="AF45" s="174">
        <f t="shared" si="31"/>
        <v>11778.563015312133</v>
      </c>
    </row>
    <row r="46" spans="31:32" x14ac:dyDescent="0.25">
      <c r="AE46" s="96">
        <f t="shared" si="30"/>
        <v>24</v>
      </c>
      <c r="AF46" s="174">
        <f t="shared" si="31"/>
        <v>14218.009478672986</v>
      </c>
    </row>
    <row r="47" spans="31:32" x14ac:dyDescent="0.25">
      <c r="AE47" s="96">
        <f t="shared" si="30"/>
        <v>28</v>
      </c>
      <c r="AF47" s="174">
        <f t="shared" si="31"/>
        <v>16000.000000000002</v>
      </c>
    </row>
    <row r="48" spans="31:32" x14ac:dyDescent="0.25">
      <c r="AE48" s="96">
        <f t="shared" si="30"/>
        <v>32</v>
      </c>
      <c r="AF48" s="174">
        <f t="shared" si="31"/>
        <v>17804.154302670624</v>
      </c>
    </row>
    <row r="49" spans="31:32" x14ac:dyDescent="0.25">
      <c r="AE49" s="96">
        <f t="shared" si="30"/>
        <v>50</v>
      </c>
      <c r="AF49" s="174">
        <f t="shared" si="31"/>
        <v>23904.382470119523</v>
      </c>
    </row>
    <row r="50" spans="31:32" x14ac:dyDescent="0.25">
      <c r="AE50" s="96">
        <f t="shared" si="30"/>
        <v>78</v>
      </c>
      <c r="AF50" s="174">
        <f t="shared" si="31"/>
        <v>28301.886792452831</v>
      </c>
    </row>
    <row r="51" spans="31:32" x14ac:dyDescent="0.25">
      <c r="AE51" s="96">
        <f t="shared" si="30"/>
        <v>115</v>
      </c>
      <c r="AF51" s="174">
        <f t="shared" si="31"/>
        <v>34090.909090909088</v>
      </c>
    </row>
    <row r="52" spans="31:32" x14ac:dyDescent="0.25">
      <c r="AE52" s="96">
        <f t="shared" si="30"/>
        <v>140</v>
      </c>
      <c r="AF52" s="174">
        <f t="shared" si="31"/>
        <v>36090.225563909771</v>
      </c>
    </row>
    <row r="53" spans="31:32" x14ac:dyDescent="0.25">
      <c r="AE53" s="96">
        <f t="shared" si="30"/>
        <v>155</v>
      </c>
      <c r="AF53" s="174">
        <f t="shared" si="31"/>
        <v>37037.037037037036</v>
      </c>
    </row>
    <row r="54" spans="31:32" x14ac:dyDescent="0.25">
      <c r="AE54" s="96">
        <f t="shared" si="30"/>
        <v>175</v>
      </c>
      <c r="AF54" s="174">
        <f t="shared" si="31"/>
        <v>44117.647058823532</v>
      </c>
    </row>
    <row r="55" spans="31:32" x14ac:dyDescent="0.25">
      <c r="AE55" s="96">
        <f t="shared" ref="AE55:AE67" si="32">U2</f>
        <v>8.7271708346327035</v>
      </c>
      <c r="AF55" s="174">
        <f t="shared" ref="AF55:AF67" si="33">V2</f>
        <v>5.9999999999999995E-25</v>
      </c>
    </row>
    <row r="56" spans="31:32" x14ac:dyDescent="0.25">
      <c r="AE56" s="96">
        <f t="shared" si="32"/>
        <v>14</v>
      </c>
      <c r="AF56" s="174">
        <f t="shared" si="33"/>
        <v>9316.7701863354032</v>
      </c>
    </row>
    <row r="57" spans="31:32" x14ac:dyDescent="0.25">
      <c r="AE57" s="96">
        <f t="shared" si="32"/>
        <v>18</v>
      </c>
      <c r="AF57" s="174">
        <f t="shared" si="33"/>
        <v>12000.000000000002</v>
      </c>
    </row>
    <row r="58" spans="31:32" x14ac:dyDescent="0.25">
      <c r="AE58" s="96">
        <f t="shared" si="32"/>
        <v>24</v>
      </c>
      <c r="AF58" s="174">
        <f t="shared" si="33"/>
        <v>14851.485148514852</v>
      </c>
    </row>
    <row r="59" spans="31:32" x14ac:dyDescent="0.25">
      <c r="AE59" s="96">
        <f t="shared" si="32"/>
        <v>28</v>
      </c>
      <c r="AF59" s="174">
        <f t="shared" si="33"/>
        <v>16574.585635359115</v>
      </c>
    </row>
    <row r="60" spans="31:32" x14ac:dyDescent="0.25">
      <c r="AE60" s="96">
        <f t="shared" si="32"/>
        <v>36</v>
      </c>
      <c r="AF60" s="174">
        <f t="shared" si="33"/>
        <v>20134.228187919463</v>
      </c>
    </row>
    <row r="61" spans="31:32" x14ac:dyDescent="0.25">
      <c r="AE61" s="96">
        <f t="shared" si="32"/>
        <v>52</v>
      </c>
      <c r="AF61" s="174">
        <f t="shared" si="33"/>
        <v>24193.548387096776</v>
      </c>
    </row>
    <row r="62" spans="31:32" x14ac:dyDescent="0.25">
      <c r="AE62" s="96">
        <f t="shared" si="32"/>
        <v>73</v>
      </c>
      <c r="AF62" s="174">
        <f t="shared" si="33"/>
        <v>28571.428571428572</v>
      </c>
    </row>
    <row r="63" spans="31:32" x14ac:dyDescent="0.25">
      <c r="AE63" s="96">
        <f t="shared" si="32"/>
        <v>94</v>
      </c>
      <c r="AF63" s="174">
        <f t="shared" si="33"/>
        <v>33333.333333333336</v>
      </c>
    </row>
    <row r="64" spans="31:32" x14ac:dyDescent="0.25">
      <c r="AE64" s="96">
        <f t="shared" si="32"/>
        <v>99</v>
      </c>
      <c r="AF64" s="174">
        <f t="shared" si="33"/>
        <v>34090.909090909088</v>
      </c>
    </row>
    <row r="65" spans="31:32" x14ac:dyDescent="0.25">
      <c r="AE65" s="96">
        <f t="shared" si="32"/>
        <v>110</v>
      </c>
      <c r="AF65" s="174">
        <f t="shared" si="33"/>
        <v>36585.365853658535</v>
      </c>
    </row>
    <row r="66" spans="31:32" x14ac:dyDescent="0.25">
      <c r="AE66" s="96">
        <f t="shared" si="32"/>
        <v>132</v>
      </c>
      <c r="AF66" s="174">
        <f t="shared" si="33"/>
        <v>41095.890410958906</v>
      </c>
    </row>
    <row r="67" spans="31:32" x14ac:dyDescent="0.25">
      <c r="AE67" s="96">
        <f t="shared" si="32"/>
        <v>175</v>
      </c>
      <c r="AF67" s="174">
        <f t="shared" si="33"/>
        <v>44117.647058823532</v>
      </c>
    </row>
    <row r="68" spans="31:32" x14ac:dyDescent="0.25">
      <c r="AE68" s="96">
        <f t="shared" ref="AE68:AE80" si="34">Z2</f>
        <v>9.1059042173196207</v>
      </c>
      <c r="AF68" s="174">
        <f t="shared" ref="AF68:AF80" si="35">AA2</f>
        <v>5.9999999999999995E-25</v>
      </c>
    </row>
    <row r="69" spans="31:32" x14ac:dyDescent="0.25">
      <c r="AE69" s="96">
        <f t="shared" si="34"/>
        <v>11</v>
      </c>
      <c r="AF69" s="174">
        <f t="shared" si="35"/>
        <v>7936.5079365079364</v>
      </c>
    </row>
    <row r="70" spans="31:32" x14ac:dyDescent="0.25">
      <c r="AE70" s="96">
        <f t="shared" si="34"/>
        <v>15</v>
      </c>
      <c r="AF70" s="174">
        <f t="shared" si="35"/>
        <v>9933.7748344370866</v>
      </c>
    </row>
    <row r="71" spans="31:32" x14ac:dyDescent="0.25">
      <c r="AE71" s="96">
        <f t="shared" si="34"/>
        <v>26</v>
      </c>
      <c r="AF71" s="174">
        <f t="shared" si="35"/>
        <v>14150.943396226416</v>
      </c>
    </row>
    <row r="72" spans="31:32" x14ac:dyDescent="0.25">
      <c r="AE72" s="96">
        <f t="shared" si="34"/>
        <v>34</v>
      </c>
      <c r="AF72" s="174">
        <f t="shared" si="35"/>
        <v>17910.447761194031</v>
      </c>
    </row>
    <row r="73" spans="31:32" x14ac:dyDescent="0.25">
      <c r="AE73" s="96">
        <f t="shared" si="34"/>
        <v>51</v>
      </c>
      <c r="AF73" s="174">
        <f t="shared" si="35"/>
        <v>22900.763358778626</v>
      </c>
    </row>
    <row r="74" spans="31:32" x14ac:dyDescent="0.25">
      <c r="AE74" s="96">
        <f t="shared" si="34"/>
        <v>76</v>
      </c>
      <c r="AF74" s="174">
        <f t="shared" si="35"/>
        <v>28571.428571428572</v>
      </c>
    </row>
    <row r="75" spans="31:32" x14ac:dyDescent="0.25">
      <c r="AE75" s="96">
        <f t="shared" si="34"/>
        <v>91</v>
      </c>
      <c r="AF75" s="174">
        <f t="shared" si="35"/>
        <v>32085.561497326202</v>
      </c>
    </row>
    <row r="76" spans="31:32" x14ac:dyDescent="0.25">
      <c r="AE76" s="96">
        <f t="shared" si="34"/>
        <v>106</v>
      </c>
      <c r="AF76" s="174">
        <f t="shared" si="35"/>
        <v>35087.719298245618</v>
      </c>
    </row>
    <row r="77" spans="31:32" x14ac:dyDescent="0.25">
      <c r="AE77" s="96">
        <f t="shared" si="34"/>
        <v>132</v>
      </c>
      <c r="AF77" s="174">
        <f t="shared" si="35"/>
        <v>40000</v>
      </c>
    </row>
    <row r="78" spans="31:32" x14ac:dyDescent="0.25">
      <c r="AE78" s="96">
        <f t="shared" si="34"/>
        <v>178</v>
      </c>
      <c r="AF78" s="174">
        <f t="shared" si="35"/>
        <v>44117.647058823532</v>
      </c>
    </row>
    <row r="79" spans="31:32" x14ac:dyDescent="0.25">
      <c r="AE79" s="96">
        <f t="shared" si="34"/>
        <v>0</v>
      </c>
      <c r="AF79" s="174">
        <f t="shared" si="35"/>
        <v>0</v>
      </c>
    </row>
    <row r="80" spans="31:32" x14ac:dyDescent="0.25">
      <c r="AE80" s="96">
        <f t="shared" si="34"/>
        <v>0</v>
      </c>
      <c r="AF80" s="174">
        <f t="shared" si="35"/>
        <v>0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ht="14.45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ht="14.45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9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ht="14.45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ht="14.45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ht="14.45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ht="14.45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thickBot="1" x14ac:dyDescent="0.35">
      <c r="V50" t="s">
        <v>38</v>
      </c>
    </row>
    <row r="51" spans="22:27" ht="14.45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ht="14.45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ht="14.45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ht="14.45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ht="14.45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ht="14.45" x14ac:dyDescent="0.3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ht="14.45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ht="14.45" x14ac:dyDescent="0.3">
      <c r="AG25" s="65" t="s">
        <v>27</v>
      </c>
      <c r="AH25" s="66">
        <f>AA24/100</f>
        <v>221.53846153846152</v>
      </c>
      <c r="AI25" s="30"/>
      <c r="AJ25" s="31"/>
    </row>
    <row r="26" spans="1:36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9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ht="14.45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ht="14.45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ht="14.45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9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ht="14.45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ht="14.45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ht="14.45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9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ht="14.45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thickBot="1" x14ac:dyDescent="0.35">
      <c r="U48" s="188"/>
      <c r="V48" s="30"/>
    </row>
    <row r="49" spans="1:4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ht="14.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ht="14.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ht="14.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ht="14.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ht="14.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ht="14.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ht="14.45" x14ac:dyDescent="0.3">
      <c r="V57" s="45"/>
      <c r="W57" s="45"/>
      <c r="X57" s="196"/>
      <c r="Y57" s="45"/>
    </row>
    <row r="58" spans="1:45" ht="14.45" x14ac:dyDescent="0.3">
      <c r="W58" s="45"/>
      <c r="X58" s="196"/>
      <c r="Y58" s="45"/>
    </row>
    <row r="59" spans="1:45" ht="14.45" x14ac:dyDescent="0.3">
      <c r="W59" s="45"/>
      <c r="X59" s="149"/>
      <c r="Y59" s="45"/>
    </row>
    <row r="60" spans="1:45" ht="14.45" x14ac:dyDescent="0.3">
      <c r="W60" s="45"/>
      <c r="X60" s="149"/>
      <c r="Y60" s="45"/>
    </row>
    <row r="61" spans="1:45" ht="14.45" x14ac:dyDescent="0.3">
      <c r="W61" s="45"/>
      <c r="X61" s="149"/>
      <c r="Y61" s="45"/>
    </row>
    <row r="62" spans="1:45" ht="14.45" x14ac:dyDescent="0.3">
      <c r="H62" s="176"/>
    </row>
    <row r="64" spans="1:45" ht="14.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ht="14.45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ht="14.45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ht="14.45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ht="14.45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9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D1" zoomScale="70" zoomScaleNormal="70" workbookViewId="0">
      <selection activeCell="M22" sqref="M2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3" si="1">D2/180+1</f>
        <v>1.0431895324417384</v>
      </c>
      <c r="D2" s="262">
        <f>EXP((0-$Q$41)/$R$41)</f>
        <v>7.7741158395129268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7.7741158395129268</v>
      </c>
      <c r="M2" s="234">
        <f t="shared" ref="M2:M13" si="4">LN(L2)</f>
        <v>2.050799733208251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7.7741158395129268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0.21594766220869241</v>
      </c>
      <c r="AI2" s="228">
        <f t="shared" ref="AI2:AI13" si="16">AH2/$Q$23*$Q$31</f>
        <v>7.7741158395129268</v>
      </c>
      <c r="AJ2" s="229">
        <f t="shared" ref="AJ2:AJ13" si="17">MAX(($Q$41+$R$41*LN($AI2)),0)</f>
        <v>3.637978807091713E-12</v>
      </c>
      <c r="AK2" s="229">
        <f t="shared" ref="AK2:AK13" si="18">MAX(($Q$41+$R$41*LN(AI2))/$Q$30,0)</f>
        <v>7.8949192862233357E-15</v>
      </c>
      <c r="AL2" s="229">
        <f t="shared" ref="AL2:AL13" si="19">($Q$42+$R$42*AK2*$Q$30)/$Q$30</f>
        <v>-13.839646287649675</v>
      </c>
      <c r="AM2" s="229">
        <f t="shared" ref="AM2:AM13" si="20">($Q$43+$R$43*AL2*$Q$30)/$Q$30</f>
        <v>0.2124953685351115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f>5740</f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6616.14515842931</v>
      </c>
      <c r="AK3" s="229">
        <f t="shared" si="18"/>
        <v>14.357953902841384</v>
      </c>
      <c r="AL3" s="229">
        <f t="shared" si="19"/>
        <v>-0.20901826167123932</v>
      </c>
      <c r="AM3" s="229">
        <f t="shared" si="20"/>
        <v>14.51706257826557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2.0905568646485249E-7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f>5660*0.9</f>
        <v>5094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196.30938358853555</v>
      </c>
      <c r="O4" s="3">
        <f t="shared" si="5"/>
        <v>61.349693251533751</v>
      </c>
      <c r="P4" s="3">
        <f t="shared" si="6"/>
        <v>11778.563015312133</v>
      </c>
      <c r="Q4" s="3">
        <f t="shared" si="22"/>
        <v>3680.9815950920251</v>
      </c>
      <c r="R4" s="3">
        <f t="shared" si="7"/>
        <v>25.561117654757233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2.8371636745821451E-3</v>
      </c>
      <c r="Y4" s="230">
        <f t="shared" ref="Y4:Y13" si="29">X4-$X$3</f>
        <v>-3.1047630311354258E-4</v>
      </c>
      <c r="Z4" s="228">
        <f t="shared" si="10"/>
        <v>7.3900633378160677E-2</v>
      </c>
      <c r="AA4" s="229">
        <f t="shared" si="11"/>
        <v>0.19704570278567457</v>
      </c>
      <c r="AB4" s="2">
        <f t="shared" ref="AB4:AB12" si="30">AA4/U4*100</f>
        <v>3.6707470712681558</v>
      </c>
      <c r="AC4" s="158">
        <f t="shared" si="12"/>
        <v>5.3327202698618841</v>
      </c>
      <c r="AD4" s="175">
        <f t="shared" si="13"/>
        <v>11.998620607189238</v>
      </c>
      <c r="AE4" s="175">
        <f t="shared" si="14"/>
        <v>10.600466009045316</v>
      </c>
      <c r="AF4" s="158">
        <f t="shared" si="25"/>
        <v>1.9878158749399142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10068.201510054641</v>
      </c>
      <c r="AK4" s="229">
        <f t="shared" si="18"/>
        <v>21.849395638139413</v>
      </c>
      <c r="AL4" s="229">
        <f t="shared" si="19"/>
        <v>6.9029321153201586</v>
      </c>
      <c r="AM4" s="229">
        <f t="shared" si="20"/>
        <v>21.9806491397981</v>
      </c>
      <c r="AN4" s="2">
        <f t="shared" ref="AN4:AN13" si="31">AO4/$Q$30</f>
        <v>6.9029321153201586</v>
      </c>
      <c r="AO4" s="3">
        <f t="shared" si="21"/>
        <v>3180.8711187395293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2.832416442713349E-7</v>
      </c>
      <c r="AS4" s="228">
        <f t="shared" ref="AS4:AS13" si="33">$Q$35/AR4</f>
        <v>0.13213741080016764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14505.654356826519</v>
      </c>
      <c r="AK5" s="229">
        <f t="shared" si="18"/>
        <v>31.479284628529772</v>
      </c>
      <c r="AL5" s="229">
        <f t="shared" si="19"/>
        <v>16.045003168598853</v>
      </c>
      <c r="AM5" s="229">
        <f t="shared" si="20"/>
        <v>31.574731640510262</v>
      </c>
      <c r="AN5" s="2">
        <f t="shared" si="31"/>
        <v>16.04500316859885</v>
      </c>
      <c r="AO5" s="3">
        <f t="shared" si="21"/>
        <v>7393.5374600903506</v>
      </c>
      <c r="AP5" s="227">
        <f t="shared" si="26"/>
        <v>1.3399126688422428E-3</v>
      </c>
      <c r="AQ5" s="227">
        <f t="shared" si="32"/>
        <v>3.7007444863972824E-3</v>
      </c>
      <c r="AR5" s="231">
        <f t="shared" si="27"/>
        <v>3.7860413437201886E-7</v>
      </c>
      <c r="AS5" s="228">
        <f t="shared" si="33"/>
        <v>9.8854751195137494E-2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16489.285630483304</v>
      </c>
      <c r="AK6" s="229">
        <f t="shared" si="18"/>
        <v>35.784039996708557</v>
      </c>
      <c r="AL6" s="229">
        <f t="shared" si="19"/>
        <v>20.131694041374747</v>
      </c>
      <c r="AM6" s="229">
        <f t="shared" si="20"/>
        <v>35.863480782780137</v>
      </c>
      <c r="AN6" s="2">
        <f t="shared" si="31"/>
        <v>20.131694041374747</v>
      </c>
      <c r="AO6" s="3">
        <f t="shared" si="21"/>
        <v>9276.6846142654831</v>
      </c>
      <c r="AP6" s="227">
        <f t="shared" si="26"/>
        <v>2.1332037432044417E-3</v>
      </c>
      <c r="AQ6" s="227">
        <f t="shared" si="32"/>
        <v>6.6974497010118417E-3</v>
      </c>
      <c r="AR6" s="231">
        <f t="shared" si="27"/>
        <v>4.2123309838120573E-7</v>
      </c>
      <c r="AS6" s="228">
        <f t="shared" si="33"/>
        <v>8.8850609433653679E-2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18207.58519764556</v>
      </c>
      <c r="AK7" s="233">
        <f t="shared" si="18"/>
        <v>39.512988710168315</v>
      </c>
      <c r="AL7" s="233">
        <f t="shared" si="19"/>
        <v>23.671746696862254</v>
      </c>
      <c r="AM7" s="233">
        <f t="shared" si="20"/>
        <v>39.578564272689313</v>
      </c>
      <c r="AN7" s="9">
        <f t="shared" si="31"/>
        <v>23.671746696862254</v>
      </c>
      <c r="AO7" s="10">
        <f t="shared" si="21"/>
        <v>10907.940877914127</v>
      </c>
      <c r="AP7" s="230">
        <f t="shared" si="26"/>
        <v>2.8887341218903351E-3</v>
      </c>
      <c r="AQ7" s="230">
        <f t="shared" si="32"/>
        <v>1.0014636831238405E-2</v>
      </c>
      <c r="AR7" s="232">
        <f t="shared" si="27"/>
        <v>4.5815998664836213E-7</v>
      </c>
      <c r="AS7" s="228">
        <f t="shared" si="33"/>
        <v>8.1689406747607177E-2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23950.466479748509</v>
      </c>
      <c r="AK8" s="229">
        <f t="shared" si="18"/>
        <v>51.975838714732006</v>
      </c>
      <c r="AL8" s="229">
        <f t="shared" si="19"/>
        <v>35.503270443581719</v>
      </c>
      <c r="AM8" s="229">
        <f t="shared" si="20"/>
        <v>51.995074084703049</v>
      </c>
      <c r="AN8" s="2">
        <f t="shared" si="31"/>
        <v>35.503270443581727</v>
      </c>
      <c r="AO8" s="3">
        <f t="shared" si="21"/>
        <v>16359.907020402461</v>
      </c>
      <c r="AP8" s="227">
        <f t="shared" si="26"/>
        <v>5.8742760497669253E-3</v>
      </c>
      <c r="AQ8" s="227">
        <f t="shared" si="32"/>
        <v>2.6788204802500423E-2</v>
      </c>
      <c r="AR8" s="231">
        <f t="shared" si="27"/>
        <v>5.8157661288076248E-7</v>
      </c>
      <c r="AS8" s="228">
        <f t="shared" si="33"/>
        <v>6.4354062174899987E-2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29672.742262083237</v>
      </c>
      <c r="AK9" s="229">
        <f t="shared" si="18"/>
        <v>64.393971922923683</v>
      </c>
      <c r="AL9" s="229">
        <f t="shared" si="19"/>
        <v>47.292342597129583</v>
      </c>
      <c r="AM9" s="229">
        <f t="shared" si="20"/>
        <v>64.367033369292358</v>
      </c>
      <c r="AN9" s="2">
        <f t="shared" si="31"/>
        <v>47.29234259712959</v>
      </c>
      <c r="AO9" s="3">
        <f t="shared" si="21"/>
        <v>21792.311468757314</v>
      </c>
      <c r="AP9" s="227">
        <f t="shared" si="26"/>
        <v>9.5540628345698632E-3</v>
      </c>
      <c r="AQ9" s="227">
        <f t="shared" si="32"/>
        <v>5.3978530854139367E-2</v>
      </c>
      <c r="AR9" s="231">
        <f t="shared" si="27"/>
        <v>7.0455041936149019E-7</v>
      </c>
      <c r="AS9" s="228">
        <f t="shared" si="33"/>
        <v>5.3121560184031913E-2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34668.45089745953</v>
      </c>
      <c r="AK10" s="229">
        <f t="shared" si="18"/>
        <v>75.235353510111821</v>
      </c>
      <c r="AL10" s="229">
        <f t="shared" si="19"/>
        <v>57.584536088112245</v>
      </c>
      <c r="AM10" s="229">
        <f t="shared" si="20"/>
        <v>75.168103814961981</v>
      </c>
      <c r="AN10" s="2">
        <f t="shared" si="31"/>
        <v>57.584536088112245</v>
      </c>
      <c r="AO10" s="3">
        <f t="shared" si="21"/>
        <v>26534.954229402123</v>
      </c>
      <c r="AP10" s="227">
        <f t="shared" si="26"/>
        <v>1.334196011866778E-2</v>
      </c>
      <c r="AQ10" s="227">
        <f t="shared" si="32"/>
        <v>8.8070275942478543E-2</v>
      </c>
      <c r="AR10" s="231">
        <f t="shared" si="27"/>
        <v>8.1191003122385469E-7</v>
      </c>
      <c r="AS10" s="228">
        <f t="shared" si="33"/>
        <v>4.609724731246391E-2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f>1750*0.95</f>
        <v>1662.5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601.50375939849619</v>
      </c>
      <c r="O11" s="3">
        <f t="shared" si="5"/>
        <v>452.48868778280547</v>
      </c>
      <c r="P11" s="3">
        <f t="shared" si="6"/>
        <v>36090.225563909771</v>
      </c>
      <c r="Q11" s="3">
        <f t="shared" si="22"/>
        <v>27149.321266968327</v>
      </c>
      <c r="R11" s="3">
        <f t="shared" si="7"/>
        <v>78.320802005012524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1.6533763992356815E-2</v>
      </c>
      <c r="Y11" s="230">
        <f t="shared" si="29"/>
        <v>1.3386124014661127E-2</v>
      </c>
      <c r="Z11" s="228">
        <f t="shared" si="10"/>
        <v>2.1258862382116224</v>
      </c>
      <c r="AA11" s="229">
        <f t="shared" si="11"/>
        <v>30.402182245511412</v>
      </c>
      <c r="AB11" s="2">
        <f t="shared" si="30"/>
        <v>35.622227899706502</v>
      </c>
      <c r="AC11" s="158">
        <f t="shared" si="12"/>
        <v>28.601890072054754</v>
      </c>
      <c r="AD11" s="175">
        <f t="shared" si="13"/>
        <v>64.354252662123201</v>
      </c>
      <c r="AE11" s="175">
        <f t="shared" si="14"/>
        <v>78.184432555402111</v>
      </c>
      <c r="AF11" s="165">
        <f t="shared" si="25"/>
        <v>2.7335407680554504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37199.744901183418</v>
      </c>
      <c r="AK11" s="229">
        <f t="shared" si="18"/>
        <v>80.728613066804286</v>
      </c>
      <c r="AL11" s="229">
        <f t="shared" si="19"/>
        <v>62.799525506110612</v>
      </c>
      <c r="AM11" s="229">
        <f t="shared" si="20"/>
        <v>80.640937970924227</v>
      </c>
      <c r="AN11" s="2">
        <f t="shared" si="31"/>
        <v>62.799525506110612</v>
      </c>
      <c r="AO11" s="3">
        <f t="shared" si="21"/>
        <v>28938.021353215772</v>
      </c>
      <c r="AP11" s="227">
        <f t="shared" si="26"/>
        <v>1.5465992331033317E-2</v>
      </c>
      <c r="AQ11" s="227">
        <f t="shared" si="32"/>
        <v>0.10954511983208273</v>
      </c>
      <c r="AR11" s="231">
        <f t="shared" si="27"/>
        <v>8.6630846827939316E-7</v>
      </c>
      <c r="AS11" s="228">
        <f t="shared" si="33"/>
        <v>4.3202645333862533E-2</v>
      </c>
      <c r="AT11" s="232">
        <f t="shared" si="34"/>
        <v>-6.6780314501835029E-7</v>
      </c>
      <c r="AU11" s="165">
        <f t="shared" si="35"/>
        <v>5.6044685898818114E-2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38509.498032188094</v>
      </c>
      <c r="AK12" s="229">
        <f t="shared" si="18"/>
        <v>83.57095927124152</v>
      </c>
      <c r="AL12" s="229">
        <f t="shared" si="19"/>
        <v>65.497887967496482</v>
      </c>
      <c r="AM12" s="229">
        <f t="shared" si="20"/>
        <v>83.47271557585502</v>
      </c>
      <c r="AN12" s="2">
        <f t="shared" si="31"/>
        <v>65.497887967496453</v>
      </c>
      <c r="AO12" s="3">
        <f t="shared" si="21"/>
        <v>30181.426775422369</v>
      </c>
      <c r="AP12" s="227">
        <f t="shared" si="26"/>
        <v>1.6619075419863856E-2</v>
      </c>
      <c r="AQ12" s="227">
        <f t="shared" si="32"/>
        <v>0.12185686446649518</v>
      </c>
      <c r="AR12" s="231">
        <f t="shared" si="27"/>
        <v>8.9445554370818006E-7</v>
      </c>
      <c r="AS12" s="228">
        <f t="shared" si="33"/>
        <v>4.1843127663600217E-2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40071.185542234896</v>
      </c>
      <c r="AK13" s="229">
        <f t="shared" si="18"/>
        <v>86.960038069086139</v>
      </c>
      <c r="AL13" s="229">
        <f t="shared" si="19"/>
        <v>68.715287379470354</v>
      </c>
      <c r="AM13" s="229">
        <f t="shared" si="20"/>
        <v>86.849192876931085</v>
      </c>
      <c r="AN13" s="2">
        <f t="shared" si="31"/>
        <v>68.715287379470368</v>
      </c>
      <c r="AO13" s="3">
        <f t="shared" si="21"/>
        <v>31664.004424459948</v>
      </c>
      <c r="AP13" s="227">
        <f t="shared" si="26"/>
        <v>1.8042141553624113E-2</v>
      </c>
      <c r="AQ13" s="227">
        <f t="shared" si="32"/>
        <v>0.13765613133559368</v>
      </c>
      <c r="AR13" s="231">
        <f t="shared" si="27"/>
        <v>9.2801678139559334E-7</v>
      </c>
      <c r="AS13" s="228">
        <f t="shared" si="33"/>
        <v>4.0329893009598591E-2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" customHeight="1" x14ac:dyDescent="0.3">
      <c r="AE14" s="45"/>
      <c r="AF14" s="30"/>
      <c r="AV14" s="146"/>
      <c r="AW14" s="95"/>
      <c r="AX14" s="128"/>
      <c r="AY14" s="96"/>
    </row>
    <row r="15" spans="1:51" ht="14.45" x14ac:dyDescent="0.3">
      <c r="A15" t="s">
        <v>235</v>
      </c>
      <c r="AE15" s="194"/>
      <c r="AF15" s="30"/>
    </row>
    <row r="16" spans="1:51" ht="13.9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ht="14.45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9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91.795515843886037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79.801881522735954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15314.253530953289</v>
      </c>
      <c r="S40" s="67">
        <f>INDEX(LINEST($Q$5:$Q$13,$E$5:$E$13^{1,2},FALSE,FALSE),1)</f>
        <v>-894.0414950797807</v>
      </c>
      <c r="T40" s="31" t="s">
        <v>267</v>
      </c>
      <c r="AI40" s="5"/>
    </row>
    <row r="41" spans="1:50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65.109679479327085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INDEX(LINEST($P$4:$P$13,$M$4:$M$13),2)</f>
        <v>-26389.961376476051</v>
      </c>
      <c r="R41" s="67">
        <f>INDEX(LINEST($P$4:$P$13,$M$4:$M$13),1)</f>
        <v>12868.131855659965</v>
      </c>
      <c r="S41" s="30"/>
      <c r="T41" s="31" t="s">
        <v>267</v>
      </c>
      <c r="AI41" s="5"/>
      <c r="AW41" s="151"/>
      <c r="AX41" s="164"/>
    </row>
    <row r="42" spans="1:50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40.972490408012526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-6377.3090093489736</v>
      </c>
      <c r="R42" s="69">
        <f>INDEX(LINEST($Q$4:$Q$13,$P$4:$P$13),1)</f>
        <v>0.94934334782068031</v>
      </c>
      <c r="S42" s="30"/>
      <c r="T42" s="31" t="s">
        <v>267</v>
      </c>
      <c r="AI42" s="5"/>
    </row>
    <row r="43" spans="1:50" thickBot="1" x14ac:dyDescent="0.35">
      <c r="C43" s="198"/>
      <c r="D43"/>
      <c r="E43"/>
      <c r="G43" s="6"/>
      <c r="I43" s="241">
        <v>20</v>
      </c>
      <c r="J43" s="253">
        <f t="shared" si="36"/>
        <v>35.725275392509367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6790.5401842928841</v>
      </c>
      <c r="R43" s="69">
        <f>INDEX(LINEST($P$4:$P$13,$Q$4:$Q$13),1)</f>
        <v>1.0494430031006328</v>
      </c>
      <c r="S43" s="30"/>
      <c r="T43" s="31" t="s">
        <v>267</v>
      </c>
      <c r="AI43" s="5"/>
    </row>
    <row r="44" spans="1:50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30.028299089963074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-1.8910509149417561E-3</v>
      </c>
      <c r="K47" s="180">
        <f>INDEX(LINEST($Y$3:$Y$13,$P$3:$P$13^{1,2}),2)</f>
        <v>6.6872299066293726E-8</v>
      </c>
      <c r="L47" s="180">
        <f>INDEX(LINEST($Y$3:$Y$13,$P$3:$P$13^{1,2}),1)</f>
        <v>1.0745183486294113E-11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E4" zoomScale="70" zoomScaleNormal="70" workbookViewId="0">
      <selection activeCell="AW16" sqref="AW1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-9.9967483609407002E-8</v>
      </c>
      <c r="AU6" s="165">
        <f t="shared" ref="AU6:AU14" si="33">-$Q$36/AT6</f>
        <v>0.37438991313445885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-1.5106351711390569E-7</v>
      </c>
      <c r="AU7" s="165">
        <f t="shared" si="33"/>
        <v>0.24775550192291343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-2.1509674286168966E-7</v>
      </c>
      <c r="AU8" s="165">
        <f t="shared" si="33"/>
        <v>0.17399992676254664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-0.92054666413148112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-2.9044585029328838E-7</v>
      </c>
      <c r="AU9" s="165">
        <f t="shared" si="33"/>
        <v>0.12885988030816492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-3.7922309035172362E-7</v>
      </c>
      <c r="AU10" s="165">
        <f t="shared" si="33"/>
        <v>9.8693403584901765E-2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-0.63292590793276615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-3.9396650005048765E-7</v>
      </c>
      <c r="AU11" s="165">
        <f t="shared" si="33"/>
        <v>9.5000000000000001E-2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-4.4366649807379579E-7</v>
      </c>
      <c r="AU12" s="165">
        <f t="shared" si="33"/>
        <v>8.4357997881938471E-2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-5.3787502910940639E-7</v>
      </c>
      <c r="AU13" s="165">
        <f t="shared" si="33"/>
        <v>6.958273851598254E-2</v>
      </c>
      <c r="AX13" s="127"/>
      <c r="AY13" s="96"/>
    </row>
    <row r="14" spans="1:51" ht="13.9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-6.4815399897297392E-7</v>
      </c>
      <c r="AU14" s="165">
        <f t="shared" si="33"/>
        <v>5.7743711469960261E-2</v>
      </c>
      <c r="AX14" s="127"/>
      <c r="AY14" s="96"/>
    </row>
    <row r="15" spans="1:51" ht="13.9" customHeight="1" x14ac:dyDescent="0.3">
      <c r="AE15" s="45"/>
      <c r="AF15" s="30"/>
      <c r="AV15" s="146"/>
      <c r="AW15" s="95"/>
      <c r="AX15" s="128"/>
      <c r="AY15" s="96"/>
    </row>
    <row r="16" spans="1:51" ht="14.45" x14ac:dyDescent="0.3">
      <c r="A16" t="s">
        <v>235</v>
      </c>
      <c r="AE16" s="194"/>
      <c r="AF16" s="30"/>
    </row>
    <row r="17" spans="1:48" ht="13.9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ht="14.45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9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AG11</f>
        <v>-0.63292590793276615</v>
      </c>
      <c r="R45" s="30"/>
      <c r="S45" s="30"/>
      <c r="T45" s="31" t="s">
        <v>261</v>
      </c>
      <c r="U45" s="5"/>
      <c r="AI45" s="5"/>
      <c r="AJ45" s="5"/>
      <c r="AK45" s="151"/>
    </row>
    <row r="46" spans="1:50" ht="14.45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thickBot="1" x14ac:dyDescent="0.35">
      <c r="Q49" s="61"/>
      <c r="R49" s="213"/>
      <c r="T49" s="213"/>
      <c r="U49" s="188"/>
      <c r="V49" s="30"/>
    </row>
    <row r="50" spans="1:4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ht="14.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ht="14.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ht="14.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ht="14.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ht="14.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ht="14.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A14" zoomScale="90" zoomScaleNormal="90" workbookViewId="0">
      <selection activeCell="Q46" sqref="Q4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2" si="1">D2/180+1</f>
        <v>1.0505883567628869</v>
      </c>
      <c r="D2" s="262">
        <f>EXP((0-$Q$40)/$R$40)</f>
        <v>9.1059042173196207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9.1059042173196207</v>
      </c>
      <c r="M2" s="234">
        <f t="shared" ref="M2:M12" si="4">LN(L2)</f>
        <v>2.2089230182233597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9.1059042173196207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0.25294178381443388</v>
      </c>
      <c r="AI2" s="228">
        <f t="shared" ref="AI2:AI13" si="16">AH2/$Q$22*$Q$30</f>
        <v>9.105904217319619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-16.322696673317804</v>
      </c>
      <c r="AM2" s="229">
        <f t="shared" ref="AM2:AM13" si="20">($Q$42+$R$42*AL2*$Q$29)/$Q$29</f>
        <v>0.28055245175112969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ref="Q3:Q12" si="22">O3*60/$C$24</f>
        <v>5.9999999999999995E-25</v>
      </c>
      <c r="R3" s="3">
        <f t="shared" si="7"/>
        <v>17.22332451499118</v>
      </c>
      <c r="S3" s="3">
        <f t="shared" si="8"/>
        <v>1.3020833333333332E-27</v>
      </c>
      <c r="T3" s="3">
        <f>L3</f>
        <v>11</v>
      </c>
      <c r="U3" s="158">
        <f>K3</f>
        <v>3.9959400000000005</v>
      </c>
      <c r="V3" s="1">
        <f t="shared" ref="V3:V12" si="23">($U3-$U$2)</f>
        <v>3.0664600000000006</v>
      </c>
      <c r="W3" s="234">
        <f t="shared" ref="W3:W12" si="24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10"/>
        <v>2.2607867332556594E-2</v>
      </c>
      <c r="AA3" s="229">
        <f t="shared" si="11"/>
        <v>3.3341422214415065E-2</v>
      </c>
      <c r="AB3" s="2">
        <f>AA3/U3*100</f>
        <v>0.83438245355073049</v>
      </c>
      <c r="AC3" s="158">
        <f t="shared" si="12"/>
        <v>2.9495415665679845</v>
      </c>
      <c r="AD3" s="175">
        <f t="shared" si="13"/>
        <v>6.636468524777964</v>
      </c>
      <c r="AE3" s="4">
        <f t="shared" si="14"/>
        <v>1.7278759594743859E-27</v>
      </c>
      <c r="AF3" s="158">
        <f t="shared" ref="AF3:AF12" si="25">AE3/AC3</f>
        <v>5.8581170004832332E-28</v>
      </c>
      <c r="AH3" s="228">
        <f t="shared" si="15"/>
        <v>0.30555555555555552</v>
      </c>
      <c r="AI3" s="228">
        <f t="shared" si="16"/>
        <v>10.999999999999998</v>
      </c>
      <c r="AJ3" s="229">
        <f t="shared" si="17"/>
        <v>2702.6697175951012</v>
      </c>
      <c r="AK3" s="229">
        <f t="shared" si="18"/>
        <v>5.86516865797548</v>
      </c>
      <c r="AL3" s="229">
        <f t="shared" si="19"/>
        <v>-10.403603149045443</v>
      </c>
      <c r="AM3" s="229">
        <f t="shared" si="20"/>
        <v>6.117839865509465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2.1589455983921055E-7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22"/>
        <v>750.00000000000011</v>
      </c>
      <c r="R4" s="3">
        <f t="shared" si="7"/>
        <v>21.557671081677704</v>
      </c>
      <c r="S4" s="3">
        <f t="shared" si="8"/>
        <v>1.627604166666667</v>
      </c>
      <c r="T4" s="3">
        <f t="shared" si="9"/>
        <v>15</v>
      </c>
      <c r="U4" s="158">
        <f t="shared" si="0"/>
        <v>5.16906</v>
      </c>
      <c r="V4" s="229">
        <f t="shared" si="23"/>
        <v>4.2395800000000001</v>
      </c>
      <c r="W4" s="234">
        <f t="shared" si="24"/>
        <v>5.6853700507600007E-3</v>
      </c>
      <c r="X4" s="230">
        <f t="shared" ref="X4:X12" si="28">$W4/$P4*5252</f>
        <v>3.0058627263302132E-3</v>
      </c>
      <c r="Y4" s="230">
        <f t="shared" ref="Y4:Y12" si="29">X4-$X$3</f>
        <v>2.8461255628665872E-4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1" si="30">AA4/U4*100</f>
        <v>1.7711461681007112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2.1598449493429834</v>
      </c>
      <c r="AF4" s="158">
        <f t="shared" si="25"/>
        <v>0.52292664228553554</v>
      </c>
      <c r="AG4" s="151"/>
      <c r="AH4" s="228">
        <f t="shared" si="15"/>
        <v>0.41666666666666663</v>
      </c>
      <c r="AI4" s="228">
        <f t="shared" si="16"/>
        <v>15</v>
      </c>
      <c r="AJ4" s="229">
        <f t="shared" si="17"/>
        <v>7138.4866811744396</v>
      </c>
      <c r="AK4" s="229">
        <f t="shared" si="18"/>
        <v>15.49150755463203</v>
      </c>
      <c r="AL4" s="229">
        <f t="shared" si="19"/>
        <v>-0.68875886265473696</v>
      </c>
      <c r="AM4" s="229">
        <f t="shared" si="20"/>
        <v>15.698418048136123</v>
      </c>
      <c r="AN4" s="2">
        <f t="shared" ref="AN4:AN13" si="31">AO4/$Q$29</f>
        <v>0</v>
      </c>
      <c r="AO4" s="3">
        <f t="shared" si="21"/>
        <v>0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2.9746648396618457E-7</v>
      </c>
      <c r="AS4" s="228">
        <f t="shared" ref="AS4:AS13" si="33">$Q$34/AR4</f>
        <v>0.125818603177664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22"/>
        <v>7317.0731707317073</v>
      </c>
      <c r="R5" s="3">
        <f t="shared" si="7"/>
        <v>30.709512578616351</v>
      </c>
      <c r="S5" s="3">
        <f t="shared" si="8"/>
        <v>15.879065040650406</v>
      </c>
      <c r="T5" s="3">
        <f t="shared" si="9"/>
        <v>26</v>
      </c>
      <c r="U5" s="158">
        <f t="shared" si="0"/>
        <v>9.6257999999999999</v>
      </c>
      <c r="V5" s="229">
        <f t="shared" si="23"/>
        <v>8.6963200000000001</v>
      </c>
      <c r="W5" s="234">
        <f t="shared" si="24"/>
        <v>1.1661956439040002E-2</v>
      </c>
      <c r="X5" s="230">
        <f t="shared" si="28"/>
        <v>4.3282340620605583E-3</v>
      </c>
      <c r="Y5" s="230">
        <f t="shared" si="29"/>
        <v>1.6069838920170039E-3</v>
      </c>
      <c r="Z5" s="228">
        <f t="shared" si="10"/>
        <v>0.12815259734411796</v>
      </c>
      <c r="AA5" s="229">
        <f t="shared" si="11"/>
        <v>0.44997236896437842</v>
      </c>
      <c r="AB5" s="2">
        <f t="shared" si="30"/>
        <v>4.6746490573705914</v>
      </c>
      <c r="AC5" s="158">
        <f t="shared" si="12"/>
        <v>7.0224463380340776</v>
      </c>
      <c r="AD5" s="175">
        <f t="shared" si="13"/>
        <v>15.800504260576671</v>
      </c>
      <c r="AE5" s="175">
        <f t="shared" si="14"/>
        <v>21.071658042370565</v>
      </c>
      <c r="AF5" s="158">
        <f t="shared" si="25"/>
        <v>3.0006150318650269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15005.216013525915</v>
      </c>
      <c r="AK5" s="229">
        <f t="shared" si="18"/>
        <v>32.563402807130892</v>
      </c>
      <c r="AL5" s="229">
        <f t="shared" si="19"/>
        <v>16.540096866619766</v>
      </c>
      <c r="AM5" s="229">
        <f t="shared" si="20"/>
        <v>32.689158655552923</v>
      </c>
      <c r="AN5" s="2">
        <f t="shared" si="31"/>
        <v>16.540096866619763</v>
      </c>
      <c r="AO5" s="3">
        <f t="shared" si="21"/>
        <v>7621.676636138387</v>
      </c>
      <c r="AP5" s="227">
        <f t="shared" si="26"/>
        <v>2.3095905283023526E-3</v>
      </c>
      <c r="AQ5" s="227">
        <f t="shared" si="32"/>
        <v>6.5986109634368307E-3</v>
      </c>
      <c r="AR5" s="231">
        <f t="shared" si="27"/>
        <v>4.4213075967791568E-7</v>
      </c>
      <c r="AS5" s="228">
        <f t="shared" si="33"/>
        <v>8.4651014853752968E-2</v>
      </c>
      <c r="AT5" s="232"/>
      <c r="AU5" s="165"/>
      <c r="AX5" s="127"/>
      <c r="AY5" s="96"/>
    </row>
    <row r="6" spans="1:51" ht="13.9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0.88100000000000001</v>
      </c>
      <c r="F6" s="73">
        <v>12.18</v>
      </c>
      <c r="G6" s="73">
        <v>1.3280000000000001</v>
      </c>
      <c r="H6" s="73">
        <v>3350</v>
      </c>
      <c r="I6" s="78">
        <v>5360</v>
      </c>
      <c r="J6" s="61"/>
      <c r="K6" s="2">
        <f t="shared" si="2"/>
        <v>16.175039999999999</v>
      </c>
      <c r="L6" s="1">
        <f t="shared" si="3"/>
        <v>34</v>
      </c>
      <c r="M6" s="234">
        <f t="shared" si="4"/>
        <v>3.5263605246161616</v>
      </c>
      <c r="N6" s="3">
        <f t="shared" si="5"/>
        <v>298.50746268656718</v>
      </c>
      <c r="O6" s="3">
        <f t="shared" si="5"/>
        <v>186.56716417910448</v>
      </c>
      <c r="P6" s="3">
        <f t="shared" si="6"/>
        <v>17910.447761194031</v>
      </c>
      <c r="Q6" s="3">
        <f t="shared" si="22"/>
        <v>11194.029850746268</v>
      </c>
      <c r="R6" s="3">
        <f t="shared" si="7"/>
        <v>38.868159203980099</v>
      </c>
      <c r="S6" s="3">
        <f t="shared" si="8"/>
        <v>24.292599502487562</v>
      </c>
      <c r="T6" s="3">
        <f t="shared" si="9"/>
        <v>34</v>
      </c>
      <c r="U6" s="158">
        <f t="shared" si="0"/>
        <v>16.175039999999999</v>
      </c>
      <c r="V6" s="229">
        <f t="shared" si="23"/>
        <v>15.245559999999999</v>
      </c>
      <c r="W6" s="234">
        <f t="shared" si="24"/>
        <v>2.0444631362320002E-2</v>
      </c>
      <c r="X6" s="230">
        <f t="shared" si="28"/>
        <v>5.9951155519155095E-3</v>
      </c>
      <c r="Y6" s="230">
        <f t="shared" si="29"/>
        <v>3.273865381871955E-3</v>
      </c>
      <c r="Z6" s="228">
        <f t="shared" si="10"/>
        <v>0.25983075865629035</v>
      </c>
      <c r="AA6" s="229">
        <f t="shared" si="11"/>
        <v>1.2990640646721523</v>
      </c>
      <c r="AB6" s="2">
        <f t="shared" si="30"/>
        <v>8.0312881122529056</v>
      </c>
      <c r="AC6" s="158">
        <f t="shared" si="12"/>
        <v>9.9993093303520837</v>
      </c>
      <c r="AD6" s="175">
        <f t="shared" si="13"/>
        <v>22.49844599329219</v>
      </c>
      <c r="AE6" s="175">
        <f t="shared" si="14"/>
        <v>32.236491781238549</v>
      </c>
      <c r="AF6" s="158">
        <f t="shared" si="25"/>
        <v>3.2238718411668015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18841.911270834102</v>
      </c>
      <c r="AK6" s="233">
        <f t="shared" si="18"/>
        <v>40.889564389830952</v>
      </c>
      <c r="AL6" s="233">
        <f t="shared" si="19"/>
        <v>24.942809896736911</v>
      </c>
      <c r="AM6" s="233">
        <f t="shared" si="20"/>
        <v>40.975740175339872</v>
      </c>
      <c r="AN6" s="9">
        <f t="shared" si="31"/>
        <v>24.942809896736904</v>
      </c>
      <c r="AO6" s="10">
        <f t="shared" si="21"/>
        <v>11493.646800416365</v>
      </c>
      <c r="AP6" s="230">
        <f t="shared" si="26"/>
        <v>4.1412594738406304E-3</v>
      </c>
      <c r="AQ6" s="230">
        <f t="shared" si="32"/>
        <v>1.485705322840942E-2</v>
      </c>
      <c r="AR6" s="232">
        <f t="shared" si="27"/>
        <v>5.1268520703160597E-7</v>
      </c>
      <c r="AS6" s="228">
        <f t="shared" si="33"/>
        <v>7.3001555323770131E-2</v>
      </c>
      <c r="AT6" s="232">
        <f t="shared" ref="AT6:AT12" si="34">$Q$43*$Q$26*$Q$35^2*$Q$32*PI()/240*($AC6-$Q$45)/$Q$44*$Q$33</f>
        <v>-1.2605004939959085E-7</v>
      </c>
      <c r="AU6" s="165">
        <f t="shared" ref="AU6:AU12" si="35">-$Q$34/AT6</f>
        <v>0.29692029224161343</v>
      </c>
      <c r="AX6" s="127"/>
      <c r="AY6" s="96"/>
    </row>
    <row r="7" spans="1:51" ht="13.9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1.2849999999999999</v>
      </c>
      <c r="F7" s="73">
        <v>12.14</v>
      </c>
      <c r="G7" s="73">
        <v>2.54</v>
      </c>
      <c r="H7" s="73">
        <v>2620</v>
      </c>
      <c r="I7" s="78">
        <v>3640</v>
      </c>
      <c r="J7" s="61"/>
      <c r="K7" s="2">
        <f t="shared" si="2"/>
        <v>30.835600000000003</v>
      </c>
      <c r="L7" s="1">
        <f t="shared" si="3"/>
        <v>51</v>
      </c>
      <c r="M7" s="234">
        <f t="shared" si="4"/>
        <v>3.9318256327243257</v>
      </c>
      <c r="N7" s="3">
        <f t="shared" si="5"/>
        <v>381.67938931297709</v>
      </c>
      <c r="O7" s="3">
        <f t="shared" si="5"/>
        <v>274.72527472527474</v>
      </c>
      <c r="P7" s="3">
        <f t="shared" si="6"/>
        <v>22900.763358778626</v>
      </c>
      <c r="Q7" s="3">
        <f t="shared" si="22"/>
        <v>16483.516483516483</v>
      </c>
      <c r="R7" s="3">
        <f t="shared" si="7"/>
        <v>49.697837150127228</v>
      </c>
      <c r="S7" s="3">
        <f t="shared" si="8"/>
        <v>35.771520146520146</v>
      </c>
      <c r="T7" s="3">
        <f t="shared" si="9"/>
        <v>51</v>
      </c>
      <c r="U7" s="158">
        <f t="shared" si="0"/>
        <v>30.835600000000003</v>
      </c>
      <c r="V7" s="229">
        <f t="shared" si="23"/>
        <v>29.906120000000001</v>
      </c>
      <c r="W7" s="234">
        <f t="shared" si="24"/>
        <v>4.0104764854640006E-2</v>
      </c>
      <c r="X7" s="230">
        <f t="shared" si="28"/>
        <v>9.1975198257235272E-3</v>
      </c>
      <c r="Y7" s="230">
        <f t="shared" si="29"/>
        <v>6.4762696556799728E-3</v>
      </c>
      <c r="Z7" s="228">
        <f t="shared" si="10"/>
        <v>0.54315165668436749</v>
      </c>
      <c r="AA7" s="229">
        <f t="shared" si="11"/>
        <v>3.9262359022114204</v>
      </c>
      <c r="AB7" s="2">
        <f t="shared" si="30"/>
        <v>12.732802028212262</v>
      </c>
      <c r="AC7" s="158">
        <f t="shared" si="12"/>
        <v>14.457236220833282</v>
      </c>
      <c r="AD7" s="175">
        <f t="shared" si="13"/>
        <v>32.528781496874885</v>
      </c>
      <c r="AE7" s="175">
        <f t="shared" si="14"/>
        <v>47.469119765779844</v>
      </c>
      <c r="AF7" s="158">
        <f t="shared" si="25"/>
        <v>3.2834159337713187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24640.848642300854</v>
      </c>
      <c r="AK7" s="229">
        <f t="shared" si="18"/>
        <v>53.474063893882061</v>
      </c>
      <c r="AL7" s="229">
        <f t="shared" si="19"/>
        <v>37.643012374179307</v>
      </c>
      <c r="AM7" s="229">
        <f t="shared" si="20"/>
        <v>53.500416761332886</v>
      </c>
      <c r="AN7" s="2">
        <f t="shared" si="31"/>
        <v>37.643012374179307</v>
      </c>
      <c r="AO7" s="3">
        <f t="shared" si="21"/>
        <v>17345.900102021824</v>
      </c>
      <c r="AP7" s="227">
        <f t="shared" si="26"/>
        <v>7.4234849258282935E-3</v>
      </c>
      <c r="AQ7" s="227">
        <f t="shared" si="32"/>
        <v>3.4828821107337579E-2</v>
      </c>
      <c r="AR7" s="231">
        <f t="shared" si="27"/>
        <v>6.1932407043968115E-7</v>
      </c>
      <c r="AS7" s="228">
        <f t="shared" si="33"/>
        <v>6.0431717885961765E-2</v>
      </c>
      <c r="AT7" s="232">
        <f t="shared" si="34"/>
        <v>-2.3844995659344025E-7</v>
      </c>
      <c r="AU7" s="165">
        <f t="shared" si="35"/>
        <v>0.15695879353255432</v>
      </c>
      <c r="AX7" s="127"/>
      <c r="AY7" s="96"/>
    </row>
    <row r="8" spans="1:51" ht="13.9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1.702</v>
      </c>
      <c r="F8" s="73">
        <v>12.07</v>
      </c>
      <c r="G8" s="73">
        <v>4.46</v>
      </c>
      <c r="H8" s="73">
        <v>2100</v>
      </c>
      <c r="I8" s="78">
        <v>2740</v>
      </c>
      <c r="J8" s="61"/>
      <c r="K8" s="2">
        <f t="shared" si="2"/>
        <v>53.8322</v>
      </c>
      <c r="L8" s="1">
        <f t="shared" si="3"/>
        <v>76</v>
      </c>
      <c r="M8" s="234">
        <f t="shared" si="4"/>
        <v>4.3307333402863311</v>
      </c>
      <c r="N8" s="3">
        <f t="shared" si="5"/>
        <v>476.1904761904762</v>
      </c>
      <c r="O8" s="3">
        <f t="shared" si="5"/>
        <v>364.96350364963502</v>
      </c>
      <c r="P8" s="3">
        <f t="shared" si="6"/>
        <v>28571.428571428572</v>
      </c>
      <c r="Q8" s="3">
        <f t="shared" si="22"/>
        <v>21897.810218978102</v>
      </c>
      <c r="R8" s="3">
        <f t="shared" si="7"/>
        <v>62.003968253968253</v>
      </c>
      <c r="S8" s="3">
        <f t="shared" si="8"/>
        <v>47.521289537712896</v>
      </c>
      <c r="T8" s="3">
        <f t="shared" si="9"/>
        <v>76</v>
      </c>
      <c r="U8" s="158">
        <f t="shared" si="0"/>
        <v>53.8322</v>
      </c>
      <c r="V8" s="229">
        <f t="shared" si="23"/>
        <v>52.902720000000002</v>
      </c>
      <c r="W8" s="234">
        <f t="shared" si="24"/>
        <v>7.0943711379840013E-2</v>
      </c>
      <c r="X8" s="230">
        <f t="shared" si="28"/>
        <v>1.3040873025842191E-2</v>
      </c>
      <c r="Y8" s="230">
        <f t="shared" si="29"/>
        <v>1.0319622855798637E-2</v>
      </c>
      <c r="Z8" s="228">
        <f t="shared" si="10"/>
        <v>1.0547926582677607</v>
      </c>
      <c r="AA8" s="229">
        <f t="shared" si="11"/>
        <v>10.62540211180036</v>
      </c>
      <c r="AB8" s="2">
        <f t="shared" si="30"/>
        <v>19.73800459910678</v>
      </c>
      <c r="AC8" s="158">
        <f t="shared" si="12"/>
        <v>20.146901911983324</v>
      </c>
      <c r="AD8" s="175">
        <f t="shared" si="13"/>
        <v>45.330529301962478</v>
      </c>
      <c r="AE8" s="175">
        <f t="shared" si="14"/>
        <v>63.061166404174671</v>
      </c>
      <c r="AF8" s="163">
        <f t="shared" si="25"/>
        <v>3.1300676739119901</v>
      </c>
      <c r="AG8" s="159">
        <f>$M$40/($Q$26*$Q$35*$Q$32*($AC8-$Q$45)^2/4/$AF8)/(PI()*$Q$35/60/($AC8-$Q$45))</f>
        <v>-1.0396896822678605</v>
      </c>
      <c r="AH8" s="228">
        <f t="shared" si="15"/>
        <v>2.1111111111111112</v>
      </c>
      <c r="AI8" s="228">
        <f t="shared" si="16"/>
        <v>76</v>
      </c>
      <c r="AJ8" s="229">
        <f t="shared" si="17"/>
        <v>30346.002469076866</v>
      </c>
      <c r="AK8" s="229">
        <f t="shared" si="18"/>
        <v>65.855040080461947</v>
      </c>
      <c r="AL8" s="229">
        <f t="shared" si="19"/>
        <v>50.137820323223224</v>
      </c>
      <c r="AM8" s="229">
        <f t="shared" si="20"/>
        <v>65.822537518370197</v>
      </c>
      <c r="AN8" s="2">
        <f t="shared" si="31"/>
        <v>50.137820323223224</v>
      </c>
      <c r="AO8" s="3">
        <f t="shared" si="21"/>
        <v>23103.507604941264</v>
      </c>
      <c r="AP8" s="227">
        <f t="shared" si="26"/>
        <v>1.1256099961380434E-2</v>
      </c>
      <c r="AQ8" s="227">
        <f t="shared" si="32"/>
        <v>6.5037630849243466E-2</v>
      </c>
      <c r="AR8" s="231">
        <f t="shared" si="27"/>
        <v>7.2423831259879962E-7</v>
      </c>
      <c r="AS8" s="228">
        <f t="shared" si="33"/>
        <v>5.167748909954361E-2</v>
      </c>
      <c r="AT8" s="232">
        <f t="shared" si="34"/>
        <v>-3.8190630106935038E-7</v>
      </c>
      <c r="AU8" s="165">
        <f t="shared" si="35"/>
        <v>9.7999999999999962E-2</v>
      </c>
      <c r="AX8" s="127"/>
      <c r="AY8" s="96"/>
    </row>
    <row r="9" spans="1:51" ht="13.9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1.9330000000000001</v>
      </c>
      <c r="F9" s="73">
        <v>12</v>
      </c>
      <c r="G9" s="73">
        <v>5.81</v>
      </c>
      <c r="H9" s="73">
        <v>1870</v>
      </c>
      <c r="I9" s="78">
        <v>2420</v>
      </c>
      <c r="J9" s="61"/>
      <c r="K9" s="2">
        <f t="shared" si="2"/>
        <v>69.72</v>
      </c>
      <c r="L9" s="1">
        <f t="shared" si="3"/>
        <v>91</v>
      </c>
      <c r="M9" s="234">
        <f t="shared" si="4"/>
        <v>4.5108595065168497</v>
      </c>
      <c r="N9" s="3">
        <f t="shared" si="5"/>
        <v>534.75935828877004</v>
      </c>
      <c r="O9" s="3">
        <f t="shared" si="5"/>
        <v>413.22314049586777</v>
      </c>
      <c r="P9" s="3">
        <f t="shared" si="6"/>
        <v>32085.561497326202</v>
      </c>
      <c r="Q9" s="3">
        <f t="shared" si="22"/>
        <v>24793.388429752067</v>
      </c>
      <c r="R9" s="3">
        <f t="shared" si="7"/>
        <v>69.630124777183596</v>
      </c>
      <c r="S9" s="3">
        <f t="shared" si="8"/>
        <v>53.805096418732781</v>
      </c>
      <c r="T9" s="3">
        <f t="shared" si="9"/>
        <v>91</v>
      </c>
      <c r="U9" s="158">
        <f t="shared" si="0"/>
        <v>69.72</v>
      </c>
      <c r="V9" s="229">
        <f t="shared" si="23"/>
        <v>68.790520000000001</v>
      </c>
      <c r="W9" s="234">
        <f t="shared" si="24"/>
        <v>9.2249600711440005E-2</v>
      </c>
      <c r="X9" s="230">
        <f t="shared" si="28"/>
        <v>1.5100091141520385E-2</v>
      </c>
      <c r="Y9" s="230">
        <f t="shared" si="29"/>
        <v>1.2378840971476832E-2</v>
      </c>
      <c r="Z9" s="228">
        <f t="shared" si="10"/>
        <v>1.4938265119186129</v>
      </c>
      <c r="AA9" s="229">
        <f t="shared" si="11"/>
        <v>17.907912822547804</v>
      </c>
      <c r="AB9" s="2">
        <f t="shared" si="30"/>
        <v>25.685474501646304</v>
      </c>
      <c r="AC9" s="158">
        <f t="shared" si="12"/>
        <v>23.975893692698723</v>
      </c>
      <c r="AD9" s="175">
        <f t="shared" si="13"/>
        <v>53.945760808572125</v>
      </c>
      <c r="AE9" s="175">
        <f t="shared" si="14"/>
        <v>71.399833036131668</v>
      </c>
      <c r="AF9" s="165">
        <f t="shared" si="25"/>
        <v>2.9779842182848331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32922.1559679731</v>
      </c>
      <c r="AK9" s="229">
        <f t="shared" si="18"/>
        <v>71.445650972163847</v>
      </c>
      <c r="AL9" s="229">
        <f t="shared" si="19"/>
        <v>55.779831773448365</v>
      </c>
      <c r="AM9" s="229">
        <f t="shared" si="20"/>
        <v>71.386572330732491</v>
      </c>
      <c r="AN9" s="2">
        <f t="shared" si="31"/>
        <v>55.779831773448365</v>
      </c>
      <c r="AO9" s="3">
        <f t="shared" si="21"/>
        <v>25703.346481205008</v>
      </c>
      <c r="AP9" s="227">
        <f t="shared" si="26"/>
        <v>1.3182870199544647E-2</v>
      </c>
      <c r="AQ9" s="227">
        <f t="shared" si="32"/>
        <v>8.2636806705055896E-2</v>
      </c>
      <c r="AR9" s="231">
        <f t="shared" si="27"/>
        <v>7.7161217844511155E-7</v>
      </c>
      <c r="AS9" s="228">
        <f t="shared" si="33"/>
        <v>4.8504700353765438E-2</v>
      </c>
      <c r="AT9" s="232">
        <f t="shared" si="34"/>
        <v>-4.7844855745255605E-7</v>
      </c>
      <c r="AU9" s="165">
        <f t="shared" si="35"/>
        <v>7.8225374330881212E-2</v>
      </c>
      <c r="AX9" s="150"/>
      <c r="AY9" s="152"/>
    </row>
    <row r="10" spans="1:51" ht="13.9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2.1789999999999998</v>
      </c>
      <c r="F10" s="73">
        <v>11.96</v>
      </c>
      <c r="G10" s="73">
        <v>7.56</v>
      </c>
      <c r="H10" s="73">
        <v>1710</v>
      </c>
      <c r="I10" s="78">
        <v>2150</v>
      </c>
      <c r="J10" s="61"/>
      <c r="K10" s="2">
        <f t="shared" si="2"/>
        <v>90.417600000000007</v>
      </c>
      <c r="L10" s="1">
        <f t="shared" si="3"/>
        <v>106</v>
      </c>
      <c r="M10" s="234">
        <f t="shared" si="4"/>
        <v>4.6634390941120669</v>
      </c>
      <c r="N10" s="3">
        <f t="shared" si="5"/>
        <v>584.79532163742692</v>
      </c>
      <c r="O10" s="3">
        <f t="shared" si="5"/>
        <v>465.11627906976747</v>
      </c>
      <c r="P10" s="3">
        <f t="shared" si="6"/>
        <v>35087.719298245618</v>
      </c>
      <c r="Q10" s="3">
        <f t="shared" si="22"/>
        <v>27906.976744186049</v>
      </c>
      <c r="R10" s="3">
        <f t="shared" si="7"/>
        <v>76.145224171539965</v>
      </c>
      <c r="S10" s="3">
        <f t="shared" si="8"/>
        <v>60.562015503875976</v>
      </c>
      <c r="T10" s="3">
        <f t="shared" si="9"/>
        <v>106</v>
      </c>
      <c r="U10" s="158">
        <f t="shared" si="0"/>
        <v>90.417600000000007</v>
      </c>
      <c r="V10" s="229">
        <f t="shared" si="23"/>
        <v>89.488120000000009</v>
      </c>
      <c r="W10" s="234">
        <f t="shared" si="24"/>
        <v>0.12000553765864003</v>
      </c>
      <c r="X10" s="230">
        <f t="shared" si="28"/>
        <v>1.7962668887820554E-2</v>
      </c>
      <c r="Y10" s="230">
        <f t="shared" si="29"/>
        <v>1.5241418717777001E-2</v>
      </c>
      <c r="Z10" s="228">
        <f t="shared" si="10"/>
        <v>1.953604519532822</v>
      </c>
      <c r="AA10" s="229">
        <f t="shared" si="11"/>
        <v>26.782413083507471</v>
      </c>
      <c r="AB10" s="2">
        <f t="shared" si="30"/>
        <v>29.620796264784143</v>
      </c>
      <c r="AC10" s="158">
        <f t="shared" si="12"/>
        <v>27.418459381852905</v>
      </c>
      <c r="AD10" s="175">
        <f t="shared" si="13"/>
        <v>61.691533609169035</v>
      </c>
      <c r="AE10" s="175">
        <f t="shared" si="14"/>
        <v>80.366323696483093</v>
      </c>
      <c r="AF10" s="165">
        <f t="shared" si="25"/>
        <v>2.9311028230008462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35104.339970826579</v>
      </c>
      <c r="AK10" s="229">
        <f t="shared" si="18"/>
        <v>76.181293339467402</v>
      </c>
      <c r="AL10" s="229">
        <f t="shared" si="19"/>
        <v>60.559014044952193</v>
      </c>
      <c r="AM10" s="229">
        <f t="shared" si="20"/>
        <v>76.09970288140002</v>
      </c>
      <c r="AN10" s="2">
        <f t="shared" si="31"/>
        <v>60.559014044952193</v>
      </c>
      <c r="AO10" s="3">
        <f t="shared" si="21"/>
        <v>27905.593671913972</v>
      </c>
      <c r="AP10" s="227">
        <f t="shared" si="26"/>
        <v>1.4910454394727607E-2</v>
      </c>
      <c r="AQ10" s="227">
        <f t="shared" si="32"/>
        <v>9.9661397599395116E-2</v>
      </c>
      <c r="AR10" s="231">
        <f t="shared" si="27"/>
        <v>8.1174118948713279E-7</v>
      </c>
      <c r="AS10" s="228">
        <f t="shared" si="33"/>
        <v>4.6106835515446754E-2</v>
      </c>
      <c r="AT10" s="232">
        <f t="shared" si="34"/>
        <v>-5.6524766238984967E-7</v>
      </c>
      <c r="AU10" s="165">
        <f t="shared" si="35"/>
        <v>6.6213130977944956E-2</v>
      </c>
      <c r="AX10" s="127"/>
      <c r="AY10" s="96"/>
    </row>
    <row r="11" spans="1:51" ht="13.9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2.5299999999999998</v>
      </c>
      <c r="F11" s="73">
        <v>11.83</v>
      </c>
      <c r="G11" s="73">
        <v>10.54</v>
      </c>
      <c r="H11" s="73">
        <v>1500</v>
      </c>
      <c r="I11" s="78">
        <v>1840</v>
      </c>
      <c r="J11" s="61"/>
      <c r="K11" s="2">
        <f t="shared" si="2"/>
        <v>124.68819999999999</v>
      </c>
      <c r="L11" s="1">
        <f t="shared" si="3"/>
        <v>132</v>
      </c>
      <c r="M11" s="234">
        <f t="shared" si="4"/>
        <v>4.8828019225863706</v>
      </c>
      <c r="N11" s="3">
        <f t="shared" si="5"/>
        <v>666.66666666666663</v>
      </c>
      <c r="O11" s="3">
        <f t="shared" si="5"/>
        <v>543.47826086956525</v>
      </c>
      <c r="P11" s="3">
        <f t="shared" si="6"/>
        <v>40000</v>
      </c>
      <c r="Q11" s="3">
        <f t="shared" si="22"/>
        <v>32608.695652173916</v>
      </c>
      <c r="R11" s="3">
        <f t="shared" si="7"/>
        <v>86.805555555555557</v>
      </c>
      <c r="S11" s="3">
        <f t="shared" si="8"/>
        <v>70.76539855072464</v>
      </c>
      <c r="T11" s="3">
        <f t="shared" si="9"/>
        <v>132</v>
      </c>
      <c r="U11" s="158">
        <f t="shared" si="0"/>
        <v>124.68819999999999</v>
      </c>
      <c r="V11" s="229">
        <f t="shared" si="23"/>
        <v>123.75872</v>
      </c>
      <c r="W11" s="234">
        <f t="shared" si="24"/>
        <v>0.16596316621184001</v>
      </c>
      <c r="X11" s="230">
        <f t="shared" si="28"/>
        <v>2.1790963723614595E-2</v>
      </c>
      <c r="Y11" s="230">
        <f t="shared" si="29"/>
        <v>1.9069713553571042E-2</v>
      </c>
      <c r="Z11" s="228">
        <f t="shared" si="10"/>
        <v>2.894351054286735</v>
      </c>
      <c r="AA11" s="229">
        <f t="shared" si="11"/>
        <v>48.297153477389912</v>
      </c>
      <c r="AB11" s="2">
        <f t="shared" si="30"/>
        <v>38.734341723908052</v>
      </c>
      <c r="AC11" s="158">
        <f t="shared" si="12"/>
        <v>33.373390146201146</v>
      </c>
      <c r="AD11" s="175">
        <f t="shared" si="13"/>
        <v>75.090127828952575</v>
      </c>
      <c r="AE11" s="175">
        <f t="shared" si="14"/>
        <v>93.906302145347084</v>
      </c>
      <c r="AF11" s="165">
        <f t="shared" si="25"/>
        <v>2.8138076993066985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38241.653832148877</v>
      </c>
      <c r="AK11" s="229">
        <f t="shared" si="18"/>
        <v>82.989700156573079</v>
      </c>
      <c r="AL11" s="229">
        <f t="shared" si="19"/>
        <v>67.430017941309458</v>
      </c>
      <c r="AM11" s="229">
        <f t="shared" si="20"/>
        <v>82.875744584343238</v>
      </c>
      <c r="AN11" s="2">
        <f t="shared" si="31"/>
        <v>67.430017941309458</v>
      </c>
      <c r="AO11" s="3">
        <f t="shared" si="21"/>
        <v>31071.752267355398</v>
      </c>
      <c r="AP11" s="227">
        <f t="shared" si="26"/>
        <v>1.7547642207818674E-2</v>
      </c>
      <c r="AQ11" s="227">
        <f t="shared" si="32"/>
        <v>0.12777053672540106</v>
      </c>
      <c r="AR11" s="231">
        <f t="shared" si="27"/>
        <v>8.6943444652625607E-7</v>
      </c>
      <c r="AS11" s="228">
        <f t="shared" si="33"/>
        <v>4.3047313865158747E-2</v>
      </c>
      <c r="AT11" s="232">
        <f t="shared" si="34"/>
        <v>-7.1539226585738016E-7</v>
      </c>
      <c r="AU11" s="165">
        <f t="shared" si="35"/>
        <v>5.2316497243566365E-2</v>
      </c>
      <c r="AX11" s="127"/>
      <c r="AY11" s="96"/>
    </row>
    <row r="12" spans="1:51" ht="13.9" customHeight="1" thickBot="1" x14ac:dyDescent="0.35">
      <c r="A12" t="s">
        <v>233</v>
      </c>
      <c r="B12" t="s">
        <v>234</v>
      </c>
      <c r="C12" s="221">
        <f t="shared" si="1"/>
        <v>1.9888888888888889</v>
      </c>
      <c r="D12" s="80">
        <v>178</v>
      </c>
      <c r="E12" s="80">
        <v>2.82</v>
      </c>
      <c r="F12" s="80">
        <v>11.66</v>
      </c>
      <c r="G12" s="80">
        <v>13.79</v>
      </c>
      <c r="H12" s="80">
        <v>1360</v>
      </c>
      <c r="I12" s="81">
        <v>1650</v>
      </c>
      <c r="J12" s="61"/>
      <c r="K12" s="2">
        <f t="shared" si="2"/>
        <v>160.79139999999998</v>
      </c>
      <c r="L12" s="1">
        <f t="shared" si="3"/>
        <v>178</v>
      </c>
      <c r="M12" s="234">
        <f t="shared" si="4"/>
        <v>5.181783550292085</v>
      </c>
      <c r="N12" s="3">
        <f t="shared" si="5"/>
        <v>735.2941176470589</v>
      </c>
      <c r="O12" s="3">
        <f t="shared" si="5"/>
        <v>606.06060606060612</v>
      </c>
      <c r="P12" s="3">
        <f t="shared" si="6"/>
        <v>44117.647058823532</v>
      </c>
      <c r="Q12" s="3">
        <f t="shared" si="22"/>
        <v>36363.636363636368</v>
      </c>
      <c r="R12" s="3">
        <f t="shared" si="7"/>
        <v>95.741421568627459</v>
      </c>
      <c r="S12" s="3">
        <f t="shared" si="8"/>
        <v>78.914141414141426</v>
      </c>
      <c r="T12" s="3">
        <f t="shared" si="9"/>
        <v>178</v>
      </c>
      <c r="U12" s="158">
        <f t="shared" si="0"/>
        <v>160.79139999999998</v>
      </c>
      <c r="V12" s="229">
        <f t="shared" si="23"/>
        <v>159.86191999999997</v>
      </c>
      <c r="W12" s="234">
        <f t="shared" si="24"/>
        <v>0.21437835168223998</v>
      </c>
      <c r="X12" s="230">
        <f t="shared" si="28"/>
        <v>2.5520742335462816E-2</v>
      </c>
      <c r="Y12" s="230">
        <f t="shared" si="29"/>
        <v>2.2799492165419263E-2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56.779932838024848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104.71975511965978</v>
      </c>
      <c r="AF12" s="165">
        <f t="shared" si="25"/>
        <v>2.5377543086950669</v>
      </c>
      <c r="AG12" s="151"/>
      <c r="AH12" s="228">
        <f t="shared" si="15"/>
        <v>4.9444444444444446</v>
      </c>
      <c r="AI12" s="228">
        <f t="shared" si="16"/>
        <v>178</v>
      </c>
      <c r="AJ12" s="229">
        <f t="shared" si="17"/>
        <v>42517.670928599298</v>
      </c>
      <c r="AK12" s="229">
        <f t="shared" si="18"/>
        <v>92.269251147133886</v>
      </c>
      <c r="AL12" s="229">
        <f t="shared" si="19"/>
        <v>76.794885923698061</v>
      </c>
      <c r="AM12" s="229">
        <f t="shared" si="20"/>
        <v>92.111183386068433</v>
      </c>
      <c r="AN12" s="2">
        <f t="shared" si="31"/>
        <v>76.794885923698061</v>
      </c>
      <c r="AO12" s="3">
        <f t="shared" si="21"/>
        <v>35387.083433640066</v>
      </c>
      <c r="AP12" s="227">
        <f t="shared" si="26"/>
        <v>2.1433477440750276E-2</v>
      </c>
      <c r="AQ12" s="227">
        <f t="shared" si="32"/>
        <v>0.17351514483651501</v>
      </c>
      <c r="AR12" s="231">
        <f t="shared" si="27"/>
        <v>9.4806775015920004E-7</v>
      </c>
      <c r="AS12" s="228">
        <f t="shared" si="33"/>
        <v>3.9476944024845896E-2</v>
      </c>
      <c r="AT12" s="232">
        <f t="shared" si="34"/>
        <v>-9.1436059288589362E-7</v>
      </c>
      <c r="AU12" s="165">
        <f t="shared" si="35"/>
        <v>4.0932229358955928E-2</v>
      </c>
      <c r="AX12" s="127"/>
      <c r="AY12" s="96"/>
    </row>
    <row r="13" spans="1:51" ht="13.9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ht="14.45" x14ac:dyDescent="0.3">
      <c r="A14" t="s">
        <v>235</v>
      </c>
      <c r="AE14" s="194"/>
      <c r="AF14" s="30"/>
    </row>
    <row r="15" spans="1:51" ht="13.9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ht="14.45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9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88.314953905624549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77.520773378818305</v>
      </c>
      <c r="K39" s="243">
        <v>4.2999999999999997E-2</v>
      </c>
      <c r="L39" s="249"/>
      <c r="M39" s="250"/>
      <c r="P39" s="65" t="s">
        <v>121</v>
      </c>
      <c r="Q39" s="205">
        <f>INDEX(LINEST($Q$4:$Q$12,$E$4:$E$12^{1,2},FALSE,FALSE),3)</f>
        <v>0</v>
      </c>
      <c r="R39" s="67">
        <f>INDEX(LINEST($Q$4:$Q$12,$E$4:$E$12^{1,2},FALSE,FALSE),2)</f>
        <v>12813.411080914857</v>
      </c>
      <c r="S39" s="67">
        <f>INDEX(LINEST($Q$4:$Q$12,$E$4:$E$12^{1,2},FALSE,FALSE),1)</f>
        <v>22.268575818648586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6"/>
        <v>63.714263402670746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-31591.882963333705</v>
      </c>
      <c r="R40" s="67">
        <f>INDEX(LINEST($P$4:$P$12,$M$4:$M$12),1)</f>
        <v>14301.939317352539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41.032139870428352</v>
      </c>
      <c r="K41" s="243">
        <v>0.28899999999999998</v>
      </c>
      <c r="L41" s="61"/>
      <c r="M41" s="250"/>
      <c r="P41" s="65" t="s">
        <v>122</v>
      </c>
      <c r="Q41" s="205">
        <f>INDEX(LINEST($Q$4:$Q$12,$P$4:$P$12),2)</f>
        <v>-7521.4986270648442</v>
      </c>
      <c r="R41" s="69">
        <f>INDEX(LINEST($Q$4:$Q$12,$P$4:$P$12),1)</f>
        <v>1.0091940862132847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6"/>
        <v>32.156526314333505</v>
      </c>
      <c r="K42" s="243">
        <v>0.436</v>
      </c>
      <c r="L42" s="61"/>
      <c r="M42" s="250"/>
      <c r="P42" s="65" t="s">
        <v>123</v>
      </c>
      <c r="Q42" s="205">
        <f>INDEX(LINEST($P$4:$P$12,$Q$4:$Q$12),2)</f>
        <v>7546.8247004919795</v>
      </c>
      <c r="R42" s="69">
        <f>INDEX(LINEST($P$4:$P$12,$Q$4:$Q$12),1)</f>
        <v>0.98617928401053878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28.292313609639148</v>
      </c>
      <c r="K43" s="246">
        <v>0.5</v>
      </c>
      <c r="L43" s="255"/>
      <c r="M43" s="256"/>
      <c r="P43" s="65" t="s">
        <v>180</v>
      </c>
      <c r="Q43" s="206">
        <f>AG8</f>
        <v>-1.0396896822678605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3.1300676739119901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-2.2544327284355296E-3</v>
      </c>
      <c r="K46" s="180">
        <f>INDEX(LINEST($Y$3:$Y$12,$P$3:$P$12^{1,2}),2)</f>
        <v>1.6619413916043592E-7</v>
      </c>
      <c r="L46" s="180">
        <f>INDEX(LINEST($Y$3:$Y$12,$P$3:$P$12^{1,2}),1)</f>
        <v>9.1946900420742566E-12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abSelected="1" topLeftCell="A7" zoomScale="70" zoomScaleNormal="70" workbookViewId="0">
      <selection activeCell="Q20" sqref="Q2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65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65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.75" thickBot="1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5.75" thickBot="1" x14ac:dyDescent="0.3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.75" thickBot="1" x14ac:dyDescent="0.3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.75" thickBot="1" x14ac:dyDescent="0.3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.75" thickBot="1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.75" thickBot="1" x14ac:dyDescent="0.3">
      <c r="Q49" s="61"/>
      <c r="R49" s="213"/>
      <c r="T49" s="213"/>
      <c r="U49" s="188"/>
      <c r="V49" s="30"/>
      <c r="BC49" s="45"/>
      <c r="BD49" s="61"/>
      <c r="BE49" s="45"/>
    </row>
    <row r="50" spans="1:57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25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25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25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25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25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.75" thickBot="1" x14ac:dyDescent="0.3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25">
      <c r="V58" s="45"/>
      <c r="W58" s="45"/>
      <c r="X58" s="196"/>
      <c r="Y58" s="45"/>
    </row>
    <row r="59" spans="1:57" x14ac:dyDescent="0.25">
      <c r="W59" s="45"/>
      <c r="X59" s="196"/>
      <c r="Y59" s="45"/>
    </row>
    <row r="60" spans="1:57" x14ac:dyDescent="0.25">
      <c r="W60" s="45"/>
      <c r="X60" s="149"/>
      <c r="Y60" s="45"/>
    </row>
    <row r="61" spans="1:57" x14ac:dyDescent="0.25">
      <c r="W61" s="45"/>
      <c r="X61" s="149"/>
      <c r="Y61" s="45"/>
    </row>
    <row r="62" spans="1:57" x14ac:dyDescent="0.25">
      <c r="W62" s="45"/>
      <c r="X62" s="149"/>
      <c r="Y62" s="45"/>
    </row>
    <row r="63" spans="1:57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ht="14.45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ht="14.45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3"/>
    <row r="22" spans="1:50" ht="13.9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ht="14.45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ht="14.45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ht="14.45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.75" thickBot="1" x14ac:dyDescent="0.3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.75" thickBot="1" x14ac:dyDescent="0.3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210023782</cp:lastModifiedBy>
  <dcterms:created xsi:type="dcterms:W3CDTF">2016-09-13T12:10:02Z</dcterms:created>
  <dcterms:modified xsi:type="dcterms:W3CDTF">2017-01-11T18:49:58Z</dcterms:modified>
</cp:coreProperties>
</file>