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2936" windowHeight="6516" firstSheet="1" activeTab="1"/>
  </bookViews>
  <sheets>
    <sheet name="Time Const Comp" sheetId="11" r:id="rId1"/>
    <sheet name="Ard1_Turn1_ESC1_G1b_T1a" sheetId="7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Ard1_Turn1_ESC1_G1b_T1a!$K$39:$K$44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Ard1_Turn1_ESC1_G1b_T1a!$I$39:$I$44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Ard1_Turn1_ESC1_G1b_T1a!$K$39:$K$44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AH69" i="4" l="1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T69" i="4" s="1"/>
  <c r="AU69" i="4" s="1"/>
  <c r="AV69" i="4" s="1"/>
  <c r="AW69" i="4" s="1"/>
  <c r="AG69" i="4"/>
  <c r="AW68" i="4"/>
  <c r="AX18" i="4" l="1"/>
  <c r="AH18" i="4"/>
  <c r="AI18" i="4" s="1"/>
  <c r="O18" i="4"/>
  <c r="Q18" i="4" s="1"/>
  <c r="AE18" i="4" s="1"/>
  <c r="N18" i="4"/>
  <c r="P18" i="4" s="1"/>
  <c r="L18" i="4"/>
  <c r="T18" i="4" s="1"/>
  <c r="K18" i="4"/>
  <c r="U18" i="4" s="1"/>
  <c r="W18" i="4" s="1"/>
  <c r="C18" i="4"/>
  <c r="AX16" i="4"/>
  <c r="AH16" i="4"/>
  <c r="AI16" i="4" s="1"/>
  <c r="O16" i="4"/>
  <c r="Q16" i="4" s="1"/>
  <c r="AE16" i="4" s="1"/>
  <c r="N16" i="4"/>
  <c r="P16" i="4" s="1"/>
  <c r="L16" i="4"/>
  <c r="T16" i="4" s="1"/>
  <c r="K16" i="4"/>
  <c r="U16" i="4" s="1"/>
  <c r="W16" i="4" s="1"/>
  <c r="C16" i="4"/>
  <c r="AX17" i="4"/>
  <c r="AH17" i="4"/>
  <c r="AI17" i="4" s="1"/>
  <c r="O17" i="4"/>
  <c r="Q17" i="4" s="1"/>
  <c r="AE17" i="4" s="1"/>
  <c r="N17" i="4"/>
  <c r="P17" i="4" s="1"/>
  <c r="L17" i="4"/>
  <c r="T17" i="4" s="1"/>
  <c r="K17" i="4"/>
  <c r="U17" i="4" s="1"/>
  <c r="W17" i="4" s="1"/>
  <c r="C17" i="4"/>
  <c r="AX14" i="4"/>
  <c r="AH14" i="4"/>
  <c r="AI14" i="4" s="1"/>
  <c r="O14" i="4"/>
  <c r="Q14" i="4" s="1"/>
  <c r="AE14" i="4" s="1"/>
  <c r="N14" i="4"/>
  <c r="P14" i="4" s="1"/>
  <c r="L14" i="4"/>
  <c r="T14" i="4" s="1"/>
  <c r="K14" i="4"/>
  <c r="U14" i="4" s="1"/>
  <c r="W14" i="4" s="1"/>
  <c r="C14" i="4"/>
  <c r="AX20" i="4"/>
  <c r="AH20" i="4"/>
  <c r="AI20" i="4" s="1"/>
  <c r="AC20" i="4"/>
  <c r="AD20" i="4" s="1"/>
  <c r="Z20" i="4"/>
  <c r="AA20" i="4" s="1"/>
  <c r="P20" i="4"/>
  <c r="R20" i="4" s="1"/>
  <c r="O20" i="4"/>
  <c r="Q20" i="4" s="1"/>
  <c r="AE20" i="4" s="1"/>
  <c r="AF20" i="4" s="1"/>
  <c r="N20" i="4"/>
  <c r="L20" i="4"/>
  <c r="M20" i="4" s="1"/>
  <c r="K20" i="4"/>
  <c r="U20" i="4" s="1"/>
  <c r="W20" i="4" s="1"/>
  <c r="C20" i="4"/>
  <c r="AX13" i="4"/>
  <c r="AH13" i="4"/>
  <c r="AI13" i="4" s="1"/>
  <c r="O13" i="4"/>
  <c r="Q13" i="4" s="1"/>
  <c r="AE13" i="4" s="1"/>
  <c r="N13" i="4"/>
  <c r="P13" i="4" s="1"/>
  <c r="L13" i="4"/>
  <c r="T13" i="4" s="1"/>
  <c r="K13" i="4"/>
  <c r="U13" i="4" s="1"/>
  <c r="W13" i="4" s="1"/>
  <c r="C13" i="4"/>
  <c r="X18" i="4" l="1"/>
  <c r="Y18" i="4" s="1"/>
  <c r="M18" i="4"/>
  <c r="Z18" i="4"/>
  <c r="R18" i="4"/>
  <c r="V18" i="4"/>
  <c r="S18" i="4"/>
  <c r="X16" i="4"/>
  <c r="Y16" i="4" s="1"/>
  <c r="M16" i="4"/>
  <c r="Z16" i="4"/>
  <c r="R16" i="4"/>
  <c r="V16" i="4"/>
  <c r="S16" i="4"/>
  <c r="X20" i="4"/>
  <c r="Y20" i="4" s="1"/>
  <c r="X17" i="4"/>
  <c r="Y17" i="4" s="1"/>
  <c r="M14" i="4"/>
  <c r="X13" i="4"/>
  <c r="Y13" i="4" s="1"/>
  <c r="M17" i="4"/>
  <c r="Z17" i="4"/>
  <c r="R17" i="4"/>
  <c r="V17" i="4"/>
  <c r="S17" i="4"/>
  <c r="X14" i="4"/>
  <c r="Y14" i="4" s="1"/>
  <c r="Z14" i="4"/>
  <c r="R14" i="4"/>
  <c r="V14" i="4"/>
  <c r="S14" i="4"/>
  <c r="T20" i="4"/>
  <c r="V20" i="4"/>
  <c r="AB20" i="4" s="1"/>
  <c r="S20" i="4"/>
  <c r="M13" i="4"/>
  <c r="Z13" i="4"/>
  <c r="R13" i="4"/>
  <c r="V13" i="4"/>
  <c r="S13" i="4"/>
  <c r="AC18" i="4" l="1"/>
  <c r="AA18" i="4"/>
  <c r="AB18" i="4" s="1"/>
  <c r="AA16" i="4"/>
  <c r="AB16" i="4" s="1"/>
  <c r="AC16" i="4"/>
  <c r="AA17" i="4"/>
  <c r="AB17" i="4" s="1"/>
  <c r="AC17" i="4"/>
  <c r="AA14" i="4"/>
  <c r="AB14" i="4" s="1"/>
  <c r="AC14" i="4"/>
  <c r="AC13" i="4"/>
  <c r="AA13" i="4"/>
  <c r="AB13" i="4" s="1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D18" i="4" l="1"/>
  <c r="AU18" i="4"/>
  <c r="AV18" i="4" s="1"/>
  <c r="AF18" i="4"/>
  <c r="AU16" i="4"/>
  <c r="AV16" i="4" s="1"/>
  <c r="AD16" i="4"/>
  <c r="AF16" i="4"/>
  <c r="AD17" i="4"/>
  <c r="AF17" i="4"/>
  <c r="AD14" i="4"/>
  <c r="AF14" i="4"/>
  <c r="AD13" i="4"/>
  <c r="AF13" i="4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5" i="7"/>
  <c r="Q45" i="7"/>
  <c r="S41" i="7"/>
  <c r="R46" i="7"/>
  <c r="Q46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R42" i="7" s="1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42" i="7" l="1"/>
  <c r="J42" i="7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J3" i="7" l="1"/>
  <c r="AJ7" i="7"/>
  <c r="AJ11" i="7"/>
  <c r="AJ4" i="7"/>
  <c r="AJ8" i="7"/>
  <c r="AJ12" i="7"/>
  <c r="AO12" i="7" s="1"/>
  <c r="AN12" i="7" s="1"/>
  <c r="AJ5" i="7"/>
  <c r="AJ9" i="7"/>
  <c r="AJ13" i="7"/>
  <c r="AJ6" i="7"/>
  <c r="AJ10" i="7"/>
  <c r="AJ14" i="7"/>
  <c r="AC7" i="7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O13" i="7"/>
  <c r="AN13" i="7" s="1"/>
  <c r="AK10" i="7"/>
  <c r="AL10" i="7" s="1"/>
  <c r="AM10" i="7" s="1"/>
  <c r="AK11" i="7"/>
  <c r="AL11" i="7" s="1"/>
  <c r="AM11" i="7" s="1"/>
  <c r="AO10" i="7"/>
  <c r="AN10" i="7" s="1"/>
  <c r="AK13" i="7"/>
  <c r="AL13" i="7" s="1"/>
  <c r="AM13" i="7" s="1"/>
  <c r="AK12" i="7"/>
  <c r="AL12" i="7" s="1"/>
  <c r="AM12" i="7" s="1"/>
  <c r="AO11" i="7"/>
  <c r="AN11" i="7" s="1"/>
  <c r="AC3" i="7"/>
  <c r="AF3" i="7" s="1"/>
  <c r="AC4" i="7"/>
  <c r="AD4" i="7" s="1"/>
  <c r="AC9" i="7"/>
  <c r="AO14" i="7"/>
  <c r="AN14" i="7" s="1"/>
  <c r="AK9" i="7"/>
  <c r="AL9" i="7" s="1"/>
  <c r="AM9" i="7" s="1"/>
  <c r="AK8" i="7"/>
  <c r="AL8" i="7" s="1"/>
  <c r="AM8" i="7" s="1"/>
  <c r="AO7" i="7"/>
  <c r="AN7" i="7" s="1"/>
  <c r="AK6" i="7"/>
  <c r="AL6" i="7" s="1"/>
  <c r="AM6" i="7" s="1"/>
  <c r="AK14" i="7"/>
  <c r="AL14" i="7" s="1"/>
  <c r="AM14" i="7" s="1"/>
  <c r="AK5" i="7"/>
  <c r="AL5" i="7" s="1"/>
  <c r="AM5" i="7" s="1"/>
  <c r="AK7" i="7"/>
  <c r="AL7" i="7" s="1"/>
  <c r="AM7" i="7" s="1"/>
  <c r="AO8" i="7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8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AJ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6" i="4"/>
  <c r="AG11" i="7" l="1"/>
  <c r="Q47" i="7" s="1"/>
  <c r="AT6" i="7" s="1"/>
  <c r="AU6" i="7" s="1"/>
  <c r="AK2" i="7"/>
  <c r="AL2" i="7" s="1"/>
  <c r="AM2" i="7" s="1"/>
  <c r="AO2" i="7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8" i="4"/>
  <c r="AF43" i="4" l="1"/>
  <c r="U50" i="4"/>
  <c r="AE3" i="4" l="1"/>
  <c r="Y49" i="4" l="1"/>
  <c r="AF42" i="4" s="1"/>
  <c r="Y47" i="4"/>
  <c r="AA47" i="4" s="1"/>
  <c r="Z21" i="4" s="1"/>
  <c r="AK33" i="4" l="1"/>
  <c r="AK32" i="4"/>
  <c r="AK34" i="4" s="1"/>
  <c r="AK35" i="4" s="1"/>
  <c r="Q75" i="4"/>
  <c r="N75" i="4"/>
  <c r="P75" i="4" s="1"/>
  <c r="L75" i="4"/>
  <c r="M75" i="4" s="1"/>
  <c r="K75" i="4"/>
  <c r="U75" i="4" s="1"/>
  <c r="C75" i="4"/>
  <c r="Q76" i="4"/>
  <c r="N76" i="4"/>
  <c r="P76" i="4" s="1"/>
  <c r="L76" i="4"/>
  <c r="T76" i="4" s="1"/>
  <c r="K76" i="4"/>
  <c r="U76" i="4" s="1"/>
  <c r="C76" i="4"/>
  <c r="Q77" i="4"/>
  <c r="N77" i="4"/>
  <c r="P77" i="4" s="1"/>
  <c r="L77" i="4"/>
  <c r="M77" i="4" s="1"/>
  <c r="K77" i="4"/>
  <c r="U77" i="4" s="1"/>
  <c r="C77" i="4"/>
  <c r="Q74" i="4"/>
  <c r="N74" i="4"/>
  <c r="P74" i="4" s="1"/>
  <c r="L74" i="4"/>
  <c r="M74" i="4" s="1"/>
  <c r="K74" i="4"/>
  <c r="U74" i="4" s="1"/>
  <c r="C74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31" i="4"/>
  <c r="AK36" i="4" l="1"/>
  <c r="T74" i="4"/>
  <c r="T75" i="4"/>
  <c r="M76" i="4"/>
  <c r="T77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8" i="4"/>
  <c r="P108" i="4" s="1"/>
  <c r="L108" i="4"/>
  <c r="T108" i="4" s="1"/>
  <c r="K108" i="4"/>
  <c r="U108" i="4" s="1"/>
  <c r="W108" i="4" s="1"/>
  <c r="X108" i="4" s="1"/>
  <c r="C108" i="4"/>
  <c r="N107" i="4"/>
  <c r="P107" i="4" s="1"/>
  <c r="L107" i="4"/>
  <c r="M107" i="4" s="1"/>
  <c r="K107" i="4"/>
  <c r="U107" i="4" s="1"/>
  <c r="W107" i="4" s="1"/>
  <c r="C107" i="4"/>
  <c r="Q106" i="4"/>
  <c r="N106" i="4"/>
  <c r="P106" i="4" s="1"/>
  <c r="L106" i="4"/>
  <c r="T106" i="4" s="1"/>
  <c r="K106" i="4"/>
  <c r="U106" i="4" s="1"/>
  <c r="W106" i="4" s="1"/>
  <c r="C106" i="4"/>
  <c r="Q105" i="4"/>
  <c r="N105" i="4"/>
  <c r="P105" i="4" s="1"/>
  <c r="L105" i="4"/>
  <c r="M105" i="4" s="1"/>
  <c r="K105" i="4"/>
  <c r="U105" i="4" s="1"/>
  <c r="W105" i="4" s="1"/>
  <c r="C105" i="4"/>
  <c r="Q104" i="4"/>
  <c r="N104" i="4"/>
  <c r="P104" i="4" s="1"/>
  <c r="L104" i="4"/>
  <c r="M104" i="4" s="1"/>
  <c r="K104" i="4"/>
  <c r="U104" i="4" s="1"/>
  <c r="W104" i="4" s="1"/>
  <c r="C104" i="4"/>
  <c r="Q103" i="4"/>
  <c r="N103" i="4"/>
  <c r="P103" i="4" s="1"/>
  <c r="L103" i="4"/>
  <c r="T103" i="4" s="1"/>
  <c r="K103" i="4"/>
  <c r="U103" i="4" s="1"/>
  <c r="W103" i="4" s="1"/>
  <c r="C103" i="4"/>
  <c r="Q102" i="4"/>
  <c r="N102" i="4"/>
  <c r="P102" i="4" s="1"/>
  <c r="L102" i="4"/>
  <c r="M102" i="4" s="1"/>
  <c r="K102" i="4"/>
  <c r="U102" i="4" s="1"/>
  <c r="W102" i="4" s="1"/>
  <c r="C102" i="4"/>
  <c r="Q101" i="4"/>
  <c r="N101" i="4"/>
  <c r="P101" i="4" s="1"/>
  <c r="L101" i="4"/>
  <c r="T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T98" i="4" s="1"/>
  <c r="K98" i="4"/>
  <c r="U98" i="4" s="1"/>
  <c r="W98" i="4" s="1"/>
  <c r="C98" i="4"/>
  <c r="Q97" i="4"/>
  <c r="N97" i="4"/>
  <c r="P97" i="4" s="1"/>
  <c r="L97" i="4"/>
  <c r="M97" i="4" s="1"/>
  <c r="K97" i="4"/>
  <c r="U97" i="4" s="1"/>
  <c r="W97" i="4" s="1"/>
  <c r="C97" i="4"/>
  <c r="Q96" i="4"/>
  <c r="N96" i="4"/>
  <c r="P96" i="4" s="1"/>
  <c r="L96" i="4"/>
  <c r="T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M94" i="4" s="1"/>
  <c r="K94" i="4"/>
  <c r="U94" i="4" s="1"/>
  <c r="W94" i="4" s="1"/>
  <c r="C94" i="4"/>
  <c r="N90" i="4"/>
  <c r="P90" i="4" s="1"/>
  <c r="L90" i="4"/>
  <c r="T90" i="4" s="1"/>
  <c r="K90" i="4"/>
  <c r="U90" i="4" s="1"/>
  <c r="C90" i="4"/>
  <c r="N89" i="4"/>
  <c r="P89" i="4" s="1"/>
  <c r="L89" i="4"/>
  <c r="M89" i="4" s="1"/>
  <c r="K89" i="4"/>
  <c r="U89" i="4" s="1"/>
  <c r="C89" i="4"/>
  <c r="Q88" i="4"/>
  <c r="N88" i="4"/>
  <c r="P88" i="4" s="1"/>
  <c r="L88" i="4"/>
  <c r="T88" i="4" s="1"/>
  <c r="K88" i="4"/>
  <c r="U88" i="4" s="1"/>
  <c r="C88" i="4"/>
  <c r="Q87" i="4"/>
  <c r="N87" i="4"/>
  <c r="P87" i="4" s="1"/>
  <c r="L87" i="4"/>
  <c r="M87" i="4" s="1"/>
  <c r="K87" i="4"/>
  <c r="U87" i="4" s="1"/>
  <c r="C87" i="4"/>
  <c r="Q86" i="4"/>
  <c r="N86" i="4"/>
  <c r="P86" i="4" s="1"/>
  <c r="L86" i="4"/>
  <c r="M86" i="4" s="1"/>
  <c r="K86" i="4"/>
  <c r="U86" i="4" s="1"/>
  <c r="C86" i="4"/>
  <c r="Q85" i="4"/>
  <c r="N85" i="4"/>
  <c r="P85" i="4" s="1"/>
  <c r="L85" i="4"/>
  <c r="M85" i="4" s="1"/>
  <c r="K85" i="4"/>
  <c r="U85" i="4" s="1"/>
  <c r="C85" i="4"/>
  <c r="Q84" i="4"/>
  <c r="N84" i="4"/>
  <c r="P84" i="4" s="1"/>
  <c r="L84" i="4"/>
  <c r="T84" i="4" s="1"/>
  <c r="K84" i="4"/>
  <c r="U84" i="4" s="1"/>
  <c r="C84" i="4"/>
  <c r="Q83" i="4"/>
  <c r="N83" i="4"/>
  <c r="P83" i="4" s="1"/>
  <c r="L83" i="4"/>
  <c r="T83" i="4" s="1"/>
  <c r="K83" i="4"/>
  <c r="U83" i="4" s="1"/>
  <c r="C83" i="4"/>
  <c r="Q82" i="4"/>
  <c r="N82" i="4"/>
  <c r="P82" i="4" s="1"/>
  <c r="L82" i="4"/>
  <c r="M82" i="4" s="1"/>
  <c r="K82" i="4"/>
  <c r="U82" i="4" s="1"/>
  <c r="C82" i="4"/>
  <c r="Q81" i="4"/>
  <c r="N81" i="4"/>
  <c r="P81" i="4" s="1"/>
  <c r="L81" i="4"/>
  <c r="T81" i="4" s="1"/>
  <c r="K81" i="4"/>
  <c r="U81" i="4" s="1"/>
  <c r="C81" i="4"/>
  <c r="Q80" i="4"/>
  <c r="N80" i="4"/>
  <c r="P80" i="4" s="1"/>
  <c r="L80" i="4"/>
  <c r="T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M78" i="4" s="1"/>
  <c r="K78" i="4"/>
  <c r="U78" i="4" s="1"/>
  <c r="C78" i="4"/>
  <c r="Q73" i="4"/>
  <c r="N73" i="4"/>
  <c r="P73" i="4" s="1"/>
  <c r="L73" i="4"/>
  <c r="M73" i="4" s="1"/>
  <c r="K73" i="4"/>
  <c r="U73" i="4" s="1"/>
  <c r="C73" i="4"/>
  <c r="AK37" i="4"/>
  <c r="AK38" i="4" s="1"/>
  <c r="Y42" i="4" s="1"/>
  <c r="AF4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AC46" i="4"/>
  <c r="Y46" i="4"/>
  <c r="R5" i="4" s="1"/>
  <c r="AF34" i="4"/>
  <c r="AF33" i="4"/>
  <c r="Y40" i="4"/>
  <c r="Y41" i="4" s="1"/>
  <c r="AF31" i="4"/>
  <c r="AF30" i="4"/>
  <c r="AF29" i="4"/>
  <c r="AF28" i="4"/>
  <c r="N32" i="4"/>
  <c r="P32" i="4" s="1"/>
  <c r="L32" i="4"/>
  <c r="T32" i="4" s="1"/>
  <c r="K32" i="4"/>
  <c r="U32" i="4" s="1"/>
  <c r="W32" i="4" s="1"/>
  <c r="C32" i="4"/>
  <c r="N31" i="4"/>
  <c r="P31" i="4" s="1"/>
  <c r="L31" i="4"/>
  <c r="T31" i="4" s="1"/>
  <c r="K31" i="4"/>
  <c r="U31" i="4" s="1"/>
  <c r="W31" i="4" s="1"/>
  <c r="C31" i="4"/>
  <c r="N30" i="4"/>
  <c r="P30" i="4" s="1"/>
  <c r="L30" i="4"/>
  <c r="T30" i="4" s="1"/>
  <c r="K30" i="4"/>
  <c r="U30" i="4" s="1"/>
  <c r="W30" i="4" s="1"/>
  <c r="C30" i="4"/>
  <c r="N29" i="4"/>
  <c r="P29" i="4" s="1"/>
  <c r="L29" i="4"/>
  <c r="T29" i="4" s="1"/>
  <c r="K29" i="4"/>
  <c r="U29" i="4" s="1"/>
  <c r="W29" i="4" s="1"/>
  <c r="C29" i="4"/>
  <c r="N28" i="4"/>
  <c r="P28" i="4" s="1"/>
  <c r="L28" i="4"/>
  <c r="T28" i="4" s="1"/>
  <c r="K28" i="4"/>
  <c r="U28" i="4" s="1"/>
  <c r="W28" i="4" s="1"/>
  <c r="C28" i="4"/>
  <c r="N27" i="4"/>
  <c r="P27" i="4" s="1"/>
  <c r="L27" i="4"/>
  <c r="M27" i="4" s="1"/>
  <c r="K27" i="4"/>
  <c r="U27" i="4" s="1"/>
  <c r="W27" i="4" s="1"/>
  <c r="C27" i="4"/>
  <c r="N26" i="4"/>
  <c r="P26" i="4" s="1"/>
  <c r="L26" i="4"/>
  <c r="M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M24" i="4" s="1"/>
  <c r="K24" i="4"/>
  <c r="U24" i="4" s="1"/>
  <c r="W24" i="4" s="1"/>
  <c r="C24" i="4"/>
  <c r="C22" i="4"/>
  <c r="AX21" i="4"/>
  <c r="O21" i="4"/>
  <c r="Q21" i="4" s="1"/>
  <c r="AE21" i="4" s="1"/>
  <c r="N21" i="4"/>
  <c r="P21" i="4" s="1"/>
  <c r="L21" i="4"/>
  <c r="T21" i="4" s="1"/>
  <c r="K21" i="4"/>
  <c r="U21" i="4" s="1"/>
  <c r="C21" i="4"/>
  <c r="AX19" i="4"/>
  <c r="O19" i="4"/>
  <c r="Q19" i="4" s="1"/>
  <c r="AE19" i="4" s="1"/>
  <c r="N19" i="4"/>
  <c r="P19" i="4" s="1"/>
  <c r="L19" i="4"/>
  <c r="T19" i="4" s="1"/>
  <c r="K19" i="4"/>
  <c r="U19" i="4" s="1"/>
  <c r="C19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Q3" i="1" l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60" i="4"/>
  <c r="AF38" i="4" s="1"/>
  <c r="AB59" i="4"/>
  <c r="AG38" i="4" s="1"/>
  <c r="Y60" i="4"/>
  <c r="AG35" i="4" s="1"/>
  <c r="Y59" i="4"/>
  <c r="AH35" i="4" s="1"/>
  <c r="Y61" i="4"/>
  <c r="AF35" i="4" s="1"/>
  <c r="AS31" i="4"/>
  <c r="AS35" i="4"/>
  <c r="AT35" i="4" s="1"/>
  <c r="AS28" i="4"/>
  <c r="AS32" i="4"/>
  <c r="AS27" i="4"/>
  <c r="AS29" i="4"/>
  <c r="AS33" i="4"/>
  <c r="AS30" i="4"/>
  <c r="AS34" i="4"/>
  <c r="AB62" i="4"/>
  <c r="AB52" i="4" s="1"/>
  <c r="AB54" i="4" s="1"/>
  <c r="AB55" i="4" s="1"/>
  <c r="AB61" i="4"/>
  <c r="AG37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21" i="4"/>
  <c r="V21" i="4"/>
  <c r="W7" i="4"/>
  <c r="X7" i="4" s="1"/>
  <c r="V6" i="4"/>
  <c r="V10" i="4"/>
  <c r="W10" i="4"/>
  <c r="X10" i="4" s="1"/>
  <c r="W19" i="4"/>
  <c r="V19" i="4"/>
  <c r="W6" i="4"/>
  <c r="X6" i="4" s="1"/>
  <c r="W77" i="4"/>
  <c r="X77" i="4" s="1"/>
  <c r="W3" i="4"/>
  <c r="V3" i="4"/>
  <c r="W9" i="4"/>
  <c r="V9" i="4"/>
  <c r="W15" i="4"/>
  <c r="X15" i="4" s="1"/>
  <c r="V15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94" i="4"/>
  <c r="Y94" i="4" s="1"/>
  <c r="Z94" i="4" s="1"/>
  <c r="R4" i="3"/>
  <c r="R7" i="3"/>
  <c r="S8" i="3"/>
  <c r="AF10" i="3"/>
  <c r="AG10" i="3" s="1"/>
  <c r="R14" i="3"/>
  <c r="Q17" i="3"/>
  <c r="Q22" i="3"/>
  <c r="Q24" i="3"/>
  <c r="AD37" i="1"/>
  <c r="Q4" i="1"/>
  <c r="X99" i="4"/>
  <c r="X107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8" i="4"/>
  <c r="X106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32" i="4"/>
  <c r="X100" i="4"/>
  <c r="X24" i="4"/>
  <c r="X26" i="4"/>
  <c r="X28" i="4"/>
  <c r="X30" i="4"/>
  <c r="X32" i="4"/>
  <c r="X97" i="4"/>
  <c r="X105" i="4"/>
  <c r="Y105" i="4" s="1"/>
  <c r="Z105" i="4" s="1"/>
  <c r="X102" i="4"/>
  <c r="X103" i="4"/>
  <c r="X96" i="4"/>
  <c r="X104" i="4"/>
  <c r="X95" i="4"/>
  <c r="X25" i="4"/>
  <c r="X27" i="4"/>
  <c r="X29" i="4"/>
  <c r="X31" i="4"/>
  <c r="X101" i="4"/>
  <c r="R9" i="4"/>
  <c r="R15" i="4"/>
  <c r="S15" i="4"/>
  <c r="R8" i="4"/>
  <c r="R12" i="4"/>
  <c r="S2" i="4"/>
  <c r="R29" i="4"/>
  <c r="S9" i="4"/>
  <c r="R2" i="4"/>
  <c r="S19" i="4"/>
  <c r="R24" i="4"/>
  <c r="R26" i="4"/>
  <c r="M28" i="4"/>
  <c r="M95" i="4"/>
  <c r="M32" i="4"/>
  <c r="W82" i="4"/>
  <c r="T86" i="4"/>
  <c r="W90" i="4"/>
  <c r="W79" i="4"/>
  <c r="W81" i="4"/>
  <c r="X81" i="4" s="1"/>
  <c r="M30" i="4"/>
  <c r="W84" i="4"/>
  <c r="W87" i="4"/>
  <c r="W78" i="4"/>
  <c r="W86" i="4"/>
  <c r="X86" i="4" s="1"/>
  <c r="W89" i="4"/>
  <c r="W83" i="4"/>
  <c r="W76" i="4"/>
  <c r="T24" i="4"/>
  <c r="W80" i="4"/>
  <c r="W75" i="4"/>
  <c r="R31" i="4"/>
  <c r="W73" i="4"/>
  <c r="X73" i="4" s="1"/>
  <c r="Y73" i="4" s="1"/>
  <c r="Z73" i="4" s="1"/>
  <c r="W85" i="4"/>
  <c r="W88" i="4"/>
  <c r="W74" i="4"/>
  <c r="S12" i="4"/>
  <c r="R28" i="4"/>
  <c r="R78" i="4"/>
  <c r="M84" i="4"/>
  <c r="T85" i="4"/>
  <c r="S74" i="4"/>
  <c r="R21" i="4"/>
  <c r="S3" i="4"/>
  <c r="S11" i="4"/>
  <c r="S21" i="4"/>
  <c r="M25" i="4"/>
  <c r="M80" i="4"/>
  <c r="R74" i="4"/>
  <c r="R3" i="4"/>
  <c r="R11" i="4"/>
  <c r="AF32" i="4"/>
  <c r="AN29" i="4" s="1"/>
  <c r="R10" i="4"/>
  <c r="R19" i="4"/>
  <c r="R25" i="4"/>
  <c r="R27" i="4"/>
  <c r="R30" i="4"/>
  <c r="AH9" i="4"/>
  <c r="AI9" i="4" s="1"/>
  <c r="R73" i="4"/>
  <c r="M100" i="4"/>
  <c r="S77" i="4"/>
  <c r="R100" i="4"/>
  <c r="S106" i="4"/>
  <c r="R108" i="4"/>
  <c r="R77" i="4"/>
  <c r="S75" i="4"/>
  <c r="S76" i="4"/>
  <c r="R99" i="4"/>
  <c r="R75" i="4"/>
  <c r="R76" i="4"/>
  <c r="X11" i="4"/>
  <c r="X21" i="4"/>
  <c r="X19" i="4"/>
  <c r="X4" i="4"/>
  <c r="Y4" i="4" s="1"/>
  <c r="X5" i="4"/>
  <c r="X9" i="4"/>
  <c r="R79" i="4"/>
  <c r="R102" i="4"/>
  <c r="R105" i="4"/>
  <c r="M9" i="4"/>
  <c r="T26" i="4"/>
  <c r="T99" i="4"/>
  <c r="AH21" i="4"/>
  <c r="AI21" i="4" s="1"/>
  <c r="T73" i="4"/>
  <c r="T105" i="4"/>
  <c r="R89" i="4"/>
  <c r="T82" i="4"/>
  <c r="S101" i="4"/>
  <c r="S85" i="4"/>
  <c r="R6" i="4"/>
  <c r="T2" i="4"/>
  <c r="T8" i="4"/>
  <c r="R85" i="4"/>
  <c r="T87" i="4"/>
  <c r="R96" i="4"/>
  <c r="R101" i="4"/>
  <c r="R106" i="4"/>
  <c r="S4" i="4"/>
  <c r="AH2" i="4"/>
  <c r="AI2" i="4" s="1"/>
  <c r="M15" i="4"/>
  <c r="M19" i="4"/>
  <c r="T79" i="4"/>
  <c r="M83" i="4"/>
  <c r="R84" i="4"/>
  <c r="R95" i="4"/>
  <c r="T102" i="4"/>
  <c r="T10" i="4"/>
  <c r="R83" i="4"/>
  <c r="R94" i="4"/>
  <c r="M98" i="4"/>
  <c r="S6" i="4"/>
  <c r="S5" i="4"/>
  <c r="R7" i="4"/>
  <c r="AH6" i="4"/>
  <c r="AI6" i="4" s="1"/>
  <c r="AH7" i="4"/>
  <c r="AI7" i="4" s="1"/>
  <c r="AH4" i="4"/>
  <c r="AI4" i="4" s="1"/>
  <c r="AH5" i="4"/>
  <c r="AI5" i="4" s="1"/>
  <c r="R82" i="4"/>
  <c r="R88" i="4"/>
  <c r="S94" i="4"/>
  <c r="R98" i="4"/>
  <c r="R104" i="4"/>
  <c r="R4" i="4"/>
  <c r="AH15" i="4"/>
  <c r="AI15" i="4" s="1"/>
  <c r="M21" i="4"/>
  <c r="M81" i="4"/>
  <c r="T94" i="4"/>
  <c r="R97" i="4"/>
  <c r="S98" i="4"/>
  <c r="S7" i="4"/>
  <c r="R81" i="4"/>
  <c r="R87" i="4"/>
  <c r="R90" i="4"/>
  <c r="S97" i="4"/>
  <c r="R103" i="4"/>
  <c r="R107" i="4"/>
  <c r="AH19" i="4"/>
  <c r="AI19" i="4" s="1"/>
  <c r="R80" i="4"/>
  <c r="S81" i="4"/>
  <c r="R86" i="4"/>
  <c r="T97" i="4"/>
  <c r="M101" i="4"/>
  <c r="S10" i="4"/>
  <c r="S8" i="4"/>
  <c r="T12" i="4"/>
  <c r="T27" i="4"/>
  <c r="M31" i="4"/>
  <c r="S84" i="4"/>
  <c r="S87" i="4"/>
  <c r="S95" i="4"/>
  <c r="S102" i="4"/>
  <c r="S105" i="4"/>
  <c r="S78" i="4"/>
  <c r="M103" i="4"/>
  <c r="S104" i="4"/>
  <c r="M106" i="4"/>
  <c r="AH8" i="4"/>
  <c r="AI8" i="4" s="1"/>
  <c r="M29" i="4"/>
  <c r="M88" i="4"/>
  <c r="M96" i="4"/>
  <c r="T78" i="4"/>
  <c r="S80" i="4"/>
  <c r="S83" i="4"/>
  <c r="S86" i="4"/>
  <c r="T89" i="4"/>
  <c r="M90" i="4"/>
  <c r="S100" i="4"/>
  <c r="T104" i="4"/>
  <c r="T107" i="4"/>
  <c r="M108" i="4"/>
  <c r="T11" i="4"/>
  <c r="S103" i="4"/>
  <c r="AH10" i="4"/>
  <c r="AI10" i="4" s="1"/>
  <c r="AH12" i="4"/>
  <c r="AI12" i="4" s="1"/>
  <c r="S88" i="4"/>
  <c r="S96" i="4"/>
  <c r="S73" i="4"/>
  <c r="S79" i="4"/>
  <c r="S82" i="4"/>
  <c r="S99" i="4"/>
  <c r="R8" i="1" l="1"/>
  <c r="T8" i="1" s="1"/>
  <c r="Y98" i="4"/>
  <c r="Z98" i="4" s="1"/>
  <c r="W54" i="3"/>
  <c r="AE35" i="3" s="1"/>
  <c r="Y95" i="4"/>
  <c r="Z95" i="4" s="1"/>
  <c r="Y97" i="4"/>
  <c r="Z97" i="4" s="1"/>
  <c r="Y100" i="4"/>
  <c r="Z100" i="4" s="1"/>
  <c r="Y15" i="4"/>
  <c r="Y21" i="4"/>
  <c r="Y11" i="4"/>
  <c r="Y9" i="4"/>
  <c r="Y7" i="4"/>
  <c r="Y25" i="4"/>
  <c r="Y106" i="4"/>
  <c r="Z106" i="4" s="1"/>
  <c r="Y104" i="4"/>
  <c r="Z104" i="4" s="1"/>
  <c r="Y32" i="4"/>
  <c r="Y6" i="4"/>
  <c r="Y96" i="4"/>
  <c r="Z96" i="4" s="1"/>
  <c r="AD33" i="2"/>
  <c r="AH29" i="2" s="1"/>
  <c r="AH32" i="1"/>
  <c r="R9" i="1"/>
  <c r="T9" i="1" s="1"/>
  <c r="AD4" i="1"/>
  <c r="AC10" i="1"/>
  <c r="AI31" i="1"/>
  <c r="AD34" i="2"/>
  <c r="AI28" i="2" s="1"/>
  <c r="Y101" i="4"/>
  <c r="Z101" i="4" s="1"/>
  <c r="Y103" i="4"/>
  <c r="Z103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31" i="4"/>
  <c r="Y28" i="4"/>
  <c r="Y107" i="4"/>
  <c r="Z107" i="4" s="1"/>
  <c r="AD36" i="3"/>
  <c r="Z44" i="3"/>
  <c r="Z46" i="3" s="1"/>
  <c r="Z47" i="3" s="1"/>
  <c r="Y8" i="4"/>
  <c r="Y10" i="4"/>
  <c r="Y29" i="4"/>
  <c r="Y102" i="4"/>
  <c r="Z102" i="4" s="1"/>
  <c r="Y99" i="4"/>
  <c r="Z99" i="4" s="1"/>
  <c r="R6" i="1"/>
  <c r="T6" i="1" s="1"/>
  <c r="R7" i="1"/>
  <c r="T7" i="1" s="1"/>
  <c r="Y108" i="4"/>
  <c r="Z108" i="4" s="1"/>
  <c r="Y19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80" i="4"/>
  <c r="Y80" i="4" s="1"/>
  <c r="Z80" i="4" s="1"/>
  <c r="X84" i="4"/>
  <c r="Y84" i="4" s="1"/>
  <c r="Z84" i="4" s="1"/>
  <c r="Y27" i="4"/>
  <c r="Y30" i="4"/>
  <c r="X74" i="4"/>
  <c r="Y74" i="4" s="1"/>
  <c r="Z74" i="4" s="1"/>
  <c r="X76" i="4"/>
  <c r="Y76" i="4" s="1"/>
  <c r="Z76" i="4" s="1"/>
  <c r="Y81" i="4"/>
  <c r="Z81" i="4" s="1"/>
  <c r="Y26" i="4"/>
  <c r="X87" i="4"/>
  <c r="Y87" i="4" s="1"/>
  <c r="Z87" i="4" s="1"/>
  <c r="X88" i="4"/>
  <c r="Y88" i="4" s="1"/>
  <c r="Z88" i="4" s="1"/>
  <c r="X83" i="4"/>
  <c r="Y83" i="4" s="1"/>
  <c r="Z83" i="4" s="1"/>
  <c r="X79" i="4"/>
  <c r="Y79" i="4" s="1"/>
  <c r="Z79" i="4" s="1"/>
  <c r="Y77" i="4"/>
  <c r="Z77" i="4" s="1"/>
  <c r="Y24" i="4"/>
  <c r="X85" i="4"/>
  <c r="Y85" i="4" s="1"/>
  <c r="Z85" i="4" s="1"/>
  <c r="X89" i="4"/>
  <c r="Y89" i="4" s="1"/>
  <c r="Z89" i="4" s="1"/>
  <c r="X90" i="4"/>
  <c r="Y90" i="4" s="1"/>
  <c r="Z90" i="4" s="1"/>
  <c r="X75" i="4"/>
  <c r="Y75" i="4" s="1"/>
  <c r="Z75" i="4" s="1"/>
  <c r="Y86" i="4"/>
  <c r="Z86" i="4" s="1"/>
  <c r="X78" i="4"/>
  <c r="Y78" i="4" s="1"/>
  <c r="Z78" i="4" s="1"/>
  <c r="X82" i="4"/>
  <c r="Y82" i="4" s="1"/>
  <c r="Z82" i="4" s="1"/>
  <c r="AN27" i="4"/>
  <c r="AN33" i="4"/>
  <c r="AN35" i="4"/>
  <c r="AN32" i="4"/>
  <c r="AN30" i="4"/>
  <c r="AN34" i="4"/>
  <c r="Y63" i="4"/>
  <c r="AF36" i="4" s="1"/>
  <c r="AN28" i="4"/>
  <c r="AN31" i="4"/>
  <c r="Y62" i="4"/>
  <c r="AG36" i="4" s="1"/>
  <c r="AF37" i="4"/>
  <c r="AK18" i="4" l="1"/>
  <c r="AL18" i="4" s="1"/>
  <c r="AM18" i="4" s="1"/>
  <c r="AJ18" i="4"/>
  <c r="AK16" i="4"/>
  <c r="AL16" i="4" s="1"/>
  <c r="AM16" i="4" s="1"/>
  <c r="AJ16" i="4"/>
  <c r="AK17" i="4"/>
  <c r="AL17" i="4" s="1"/>
  <c r="AM17" i="4" s="1"/>
  <c r="AJ17" i="4"/>
  <c r="AK14" i="4"/>
  <c r="AL14" i="4" s="1"/>
  <c r="AM14" i="4" s="1"/>
  <c r="AJ14" i="4"/>
  <c r="AK20" i="4"/>
  <c r="AL20" i="4" s="1"/>
  <c r="AM20" i="4" s="1"/>
  <c r="AJ20" i="4"/>
  <c r="AK13" i="4"/>
  <c r="AL13" i="4" s="1"/>
  <c r="AM13" i="4" s="1"/>
  <c r="AJ13" i="4"/>
  <c r="Y67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9" i="4"/>
  <c r="Y68" i="4"/>
  <c r="AK5" i="4"/>
  <c r="AL5" i="4" s="1"/>
  <c r="AM5" i="4" s="1"/>
  <c r="AK12" i="4"/>
  <c r="AL12" i="4" s="1"/>
  <c r="AM12" i="4" s="1"/>
  <c r="AJ15" i="4"/>
  <c r="AO15" i="4" s="1"/>
  <c r="AN15" i="4" s="1"/>
  <c r="AJ8" i="4"/>
  <c r="AO8" i="4" s="1"/>
  <c r="AN8" i="4" s="1"/>
  <c r="D3" i="4"/>
  <c r="C3" i="4" s="1"/>
  <c r="AK11" i="4"/>
  <c r="AL11" i="4" s="1"/>
  <c r="AM11" i="4" s="1"/>
  <c r="AJ6" i="4"/>
  <c r="AK21" i="4"/>
  <c r="AL21" i="4" s="1"/>
  <c r="AM21" i="4" s="1"/>
  <c r="AK7" i="4"/>
  <c r="AL7" i="4" s="1"/>
  <c r="AM7" i="4" s="1"/>
  <c r="AJ9" i="4"/>
  <c r="AK19" i="4"/>
  <c r="AL19" i="4" s="1"/>
  <c r="AM19" i="4" s="1"/>
  <c r="AK4" i="4"/>
  <c r="AL4" i="4" s="1"/>
  <c r="AM4" i="4" s="1"/>
  <c r="AJ12" i="4"/>
  <c r="AK8" i="4"/>
  <c r="AL8" i="4" s="1"/>
  <c r="AM8" i="4" s="1"/>
  <c r="AJ21" i="4"/>
  <c r="AJ2" i="4"/>
  <c r="AO2" i="4" s="1"/>
  <c r="AJ11" i="4"/>
  <c r="AO11" i="4" s="1"/>
  <c r="AN11" i="4" s="1"/>
  <c r="AJ7" i="4"/>
  <c r="AO7" i="4" s="1"/>
  <c r="AJ10" i="4"/>
  <c r="Y65" i="4"/>
  <c r="AJ4" i="4"/>
  <c r="AK9" i="4"/>
  <c r="AL9" i="4" s="1"/>
  <c r="AM9" i="4" s="1"/>
  <c r="AK15" i="4"/>
  <c r="AL15" i="4" s="1"/>
  <c r="AM15" i="4" s="1"/>
  <c r="AJ5" i="4"/>
  <c r="AK2" i="4"/>
  <c r="AL2" i="4" s="1"/>
  <c r="AM2" i="4" s="1"/>
  <c r="AK10" i="4"/>
  <c r="AL10" i="4" s="1"/>
  <c r="AM10" i="4" s="1"/>
  <c r="AJ19" i="4"/>
  <c r="AO18" i="4" l="1"/>
  <c r="AN18" i="4" s="1"/>
  <c r="AO16" i="4"/>
  <c r="AN16" i="4" s="1"/>
  <c r="AO17" i="4"/>
  <c r="AN17" i="4" s="1"/>
  <c r="AO14" i="4"/>
  <c r="AN14" i="4" s="1"/>
  <c r="AO20" i="4"/>
  <c r="AN20" i="4" s="1"/>
  <c r="AO13" i="4"/>
  <c r="AN13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21" i="4"/>
  <c r="AN21" i="4" s="1"/>
  <c r="AO12" i="4"/>
  <c r="AN12" i="4" s="1"/>
  <c r="AO9" i="4"/>
  <c r="AN9" i="4" s="1"/>
  <c r="AO10" i="4"/>
  <c r="AN10" i="4" s="1"/>
  <c r="AO5" i="4"/>
  <c r="AO4" i="4"/>
  <c r="AO6" i="4"/>
  <c r="AO19" i="4"/>
  <c r="AN19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9" i="4" l="1"/>
  <c r="AF40" i="4" s="1"/>
  <c r="AB68" i="4"/>
  <c r="AG40" i="4" s="1"/>
  <c r="AB67" i="4"/>
  <c r="AH40" i="4" s="1"/>
  <c r="AH39" i="4" l="1"/>
  <c r="AG39" i="4"/>
  <c r="AF39" i="4"/>
  <c r="AP16" i="4" l="1"/>
  <c r="AQ16" i="4" s="1"/>
  <c r="AP18" i="4"/>
  <c r="AQ18" i="4" s="1"/>
  <c r="AR16" i="4"/>
  <c r="AY16" i="4" s="1"/>
  <c r="AR18" i="4"/>
  <c r="AR17" i="4"/>
  <c r="AY17" i="4" s="1"/>
  <c r="AP14" i="4"/>
  <c r="AQ14" i="4" s="1"/>
  <c r="AP17" i="4"/>
  <c r="AQ17" i="4" s="1"/>
  <c r="AR20" i="4"/>
  <c r="AY20" i="4" s="1"/>
  <c r="AR14" i="4"/>
  <c r="AP13" i="4"/>
  <c r="AQ13" i="4" s="1"/>
  <c r="AP20" i="4"/>
  <c r="AQ20" i="4" s="1"/>
  <c r="AR13" i="4"/>
  <c r="AR11" i="4"/>
  <c r="AR6" i="4"/>
  <c r="AS6" i="4" s="1"/>
  <c r="AR12" i="4"/>
  <c r="AR10" i="4"/>
  <c r="AR9" i="4"/>
  <c r="AR5" i="4"/>
  <c r="AR8" i="4"/>
  <c r="AR19" i="4"/>
  <c r="AR15" i="4"/>
  <c r="AR21" i="4"/>
  <c r="AR7" i="4"/>
  <c r="AR4" i="4"/>
  <c r="AP5" i="4"/>
  <c r="AQ5" i="4" s="1"/>
  <c r="AP12" i="4"/>
  <c r="AQ12" i="4" s="1"/>
  <c r="AP7" i="4"/>
  <c r="AQ7" i="4" s="1"/>
  <c r="AP19" i="4"/>
  <c r="AQ19" i="4" s="1"/>
  <c r="AP4" i="4"/>
  <c r="AQ4" i="4" s="1"/>
  <c r="AP11" i="4"/>
  <c r="AQ11" i="4" s="1"/>
  <c r="AP8" i="4"/>
  <c r="AQ8" i="4" s="1"/>
  <c r="AP6" i="4"/>
  <c r="AQ6" i="4" s="1"/>
  <c r="AP9" i="4"/>
  <c r="AQ9" i="4" s="1"/>
  <c r="AP21" i="4"/>
  <c r="AQ21" i="4" s="1"/>
  <c r="AP10" i="4"/>
  <c r="AQ10" i="4" s="1"/>
  <c r="AP15" i="4"/>
  <c r="AQ15" i="4" s="1"/>
  <c r="AS16" i="4" l="1"/>
  <c r="AY18" i="4"/>
  <c r="AS18" i="4"/>
  <c r="AS17" i="4"/>
  <c r="AS20" i="4"/>
  <c r="AY14" i="4"/>
  <c r="AS14" i="4"/>
  <c r="AY13" i="4"/>
  <c r="AS13" i="4"/>
  <c r="AS11" i="4"/>
  <c r="AY11" i="4"/>
  <c r="AS9" i="4"/>
  <c r="AY9" i="4"/>
  <c r="AY12" i="4"/>
  <c r="AS12" i="4"/>
  <c r="AS10" i="4"/>
  <c r="AY10" i="4"/>
  <c r="AY7" i="4"/>
  <c r="AS7" i="4"/>
  <c r="AY6" i="4"/>
  <c r="AY8" i="4"/>
  <c r="AS8" i="4"/>
  <c r="AS21" i="4"/>
  <c r="AY21" i="4"/>
  <c r="AY19" i="4"/>
  <c r="AS19" i="4"/>
  <c r="AS15" i="4"/>
  <c r="AY15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41" i="4"/>
  <c r="AA21" i="4"/>
  <c r="AB21" i="4" s="1"/>
  <c r="AC21" i="4"/>
  <c r="AF21" i="4" s="1"/>
  <c r="AF50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5" i="4"/>
  <c r="Z6" i="4"/>
  <c r="Z19" i="4"/>
  <c r="Z10" i="4"/>
  <c r="Z7" i="4"/>
  <c r="Z3" i="4"/>
  <c r="Z8" i="4"/>
  <c r="Z11" i="4"/>
  <c r="AW9" i="3"/>
  <c r="AQ9" i="3"/>
  <c r="AQ7" i="3"/>
  <c r="AW7" i="3"/>
  <c r="AW8" i="3"/>
  <c r="AQ8" i="3"/>
  <c r="AD21" i="4"/>
  <c r="AC3" i="4" l="1"/>
  <c r="AA3" i="4"/>
  <c r="AA15" i="4"/>
  <c r="AB15" i="4" s="1"/>
  <c r="AC15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9" i="4"/>
  <c r="AB19" i="4" s="1"/>
  <c r="AC19" i="4"/>
  <c r="AF3" i="4"/>
  <c r="AD3" i="4"/>
  <c r="AD5" i="4" l="1"/>
  <c r="AF5" i="4"/>
  <c r="AD19" i="4"/>
  <c r="AF19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5" i="4"/>
  <c r="AF45" i="4" s="1"/>
  <c r="AD15" i="4"/>
  <c r="AF12" i="4"/>
  <c r="AD12" i="4"/>
  <c r="AG15" i="4" l="1"/>
  <c r="AF44" i="4" s="1"/>
  <c r="AU19" i="4" l="1"/>
  <c r="AV19" i="4" s="1"/>
  <c r="AU20" i="4"/>
  <c r="AV20" i="4" s="1"/>
  <c r="AU17" i="4"/>
  <c r="AV17" i="4" s="1"/>
  <c r="AU13" i="4"/>
  <c r="AV13" i="4" s="1"/>
  <c r="AU14" i="4"/>
  <c r="AV14" i="4" s="1"/>
  <c r="AU8" i="4"/>
  <c r="AV8" i="4" s="1"/>
  <c r="AU12" i="4"/>
  <c r="AV12" i="4" s="1"/>
  <c r="AU15" i="4"/>
  <c r="AV15" i="4" s="1"/>
  <c r="AU11" i="4"/>
  <c r="AV11" i="4" s="1"/>
  <c r="AU10" i="4"/>
  <c r="AV10" i="4" s="1"/>
  <c r="AU21" i="4"/>
  <c r="AV21" i="4" s="1"/>
  <c r="AU9" i="4"/>
  <c r="AV9" i="4" s="1"/>
</calcChain>
</file>

<file path=xl/sharedStrings.xml><?xml version="1.0" encoding="utf-8"?>
<sst xmlns="http://schemas.openxmlformats.org/spreadsheetml/2006/main" count="1365" uniqueCount="308">
  <si>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</si>
  <si>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</si>
  <si>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</si>
  <si>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</si>
  <si>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</si>
  <si>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</si>
  <si>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</si>
  <si>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</si>
  <si>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</si>
  <si>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</si>
  <si>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</si>
  <si>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</si>
  <si>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</si>
  <si>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</si>
  <si>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</si>
  <si>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</si>
  <si>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</si>
  <si>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</si>
  <si>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</si>
  <si>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</si>
  <si>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</si>
  <si>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</si>
  <si>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</si>
  <si>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</si>
  <si>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</si>
  <si>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</si>
  <si>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</si>
  <si>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</si>
  <si>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</si>
  <si>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</si>
  <si>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</si>
  <si>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</si>
  <si>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</si>
  <si>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</si>
  <si>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</si>
  <si>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</si>
  <si>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</si>
  <si>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</si>
  <si>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</si>
  <si>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</si>
  <si>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</si>
  <si>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</si>
  <si>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</si>
  <si>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</si>
  <si>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</si>
  <si>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</si>
  <si>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</si>
  <si>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</si>
  <si>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</si>
  <si>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</si>
  <si>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</si>
  <si>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</si>
  <si>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</si>
  <si>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</si>
  <si>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</si>
  <si>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</si>
  <si>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</si>
  <si>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</si>
  <si>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</si>
  <si>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</si>
  <si>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</si>
  <si>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</si>
  <si>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</si>
  <si>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</si>
  <si>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</si>
  <si>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</si>
  <si>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</si>
  <si>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</si>
  <si>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</si>
  <si>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</si>
  <si>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</si>
  <si>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</si>
  <si>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</si>
  <si>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</si>
  <si>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</si>
  <si>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</si>
  <si>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</si>
  <si>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</si>
  <si>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</si>
  <si>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</si>
  <si>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</si>
  <si>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</si>
  <si>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</si>
  <si>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</si>
  <si>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</si>
  <si>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</si>
  <si>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</si>
  <si>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</si>
  <si>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</si>
  <si>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</si>
  <si>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</si>
  <si>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</si>
  <si>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</si>
  <si>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</si>
  <si>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</si>
  <si>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</si>
  <si>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</si>
  <si>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</si>
  <si>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</si>
  <si>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</si>
  <si>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</si>
  <si>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</si>
  <si>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</si>
  <si>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</si>
  <si>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</si>
  <si>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</si>
  <si>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</si>
  <si>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</si>
  <si>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</si>
  <si>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</si>
  <si>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</si>
  <si>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</si>
  <si>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</si>
  <si>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</si>
  <si>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</si>
  <si>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</si>
  <si>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</si>
  <si>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</si>
  <si>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</si>
  <si>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</si>
  <si>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</si>
  <si>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</si>
  <si>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</si>
  <si>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</si>
  <si>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</si>
  <si>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</si>
  <si>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</si>
  <si>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</si>
  <si>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</si>
  <si>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</si>
  <si>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</si>
  <si>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</si>
  <si>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</si>
  <si>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</si>
  <si>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</si>
  <si>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</si>
  <si>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</si>
  <si>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</si>
  <si>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</si>
  <si>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</si>
  <si>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</si>
  <si>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</si>
  <si>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</si>
  <si>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</si>
  <si>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</si>
  <si>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</si>
  <si>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</si>
  <si>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</si>
  <si>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</si>
  <si>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</si>
  <si>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</si>
  <si>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</si>
  <si>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</si>
  <si>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</si>
  <si>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</si>
  <si>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</si>
  <si>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</si>
  <si>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</si>
  <si>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</si>
  <si>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</si>
  <si>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</si>
  <si>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</si>
  <si>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</si>
  <si>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</si>
  <si>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</si>
  <si>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</si>
  <si>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</si>
  <si>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</si>
  <si>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</si>
  <si>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</si>
  <si>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</si>
  <si>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</si>
  <si>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</si>
  <si>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</si>
  <si>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</si>
  <si>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</si>
  <si>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</si>
  <si>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</si>
  <si>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</si>
  <si>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</si>
  <si>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</si>
  <si>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</si>
  <si>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</si>
  <si>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</si>
  <si>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</si>
  <si>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</si>
  <si>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</si>
  <si>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</si>
  <si>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</si>
  <si>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</si>
  <si>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</si>
  <si>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</si>
  <si>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</si>
  <si>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</si>
  <si>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</si>
  <si>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</si>
  <si>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</si>
  <si>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</si>
  <si>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</si>
  <si>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</si>
  <si>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</si>
  <si>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</si>
  <si>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</si>
  <si>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</si>
  <si>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</si>
  <si>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</si>
  <si>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</si>
  <si>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</si>
  <si>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</si>
  <si>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</si>
  <si>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</si>
  <si>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</si>
  <si>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</si>
  <si>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</si>
  <si>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</si>
  <si>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</si>
  <si>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</si>
  <si>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</si>
  <si>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</si>
  <si>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</si>
  <si>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</si>
  <si>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</si>
  <si>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</si>
  <si>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</si>
  <si>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</si>
  <si>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</si>
  <si>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</si>
  <si>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</si>
  <si>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</si>
  <si>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</si>
  <si>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</si>
  <si>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</si>
  <si>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</si>
  <si>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</si>
  <si>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</si>
  <si>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</si>
  <si>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</si>
  <si>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</si>
  <si>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</si>
  <si>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</si>
  <si>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</si>
  <si>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</si>
  <si>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</si>
  <si>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</si>
  <si>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</si>
  <si>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</si>
  <si>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</si>
  <si>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</si>
  <si>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</si>
  <si>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</si>
  <si>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</si>
  <si>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</si>
  <si>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</si>
  <si>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</si>
  <si>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</si>
  <si>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</si>
  <si>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</si>
  <si>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</si>
  <si>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</si>
  <si>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</si>
  <si>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</si>
  <si>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</si>
  <si>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</si>
  <si>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</si>
  <si>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</si>
  <si>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</si>
  <si>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</si>
  <si>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</si>
  <si>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</si>
  <si>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</si>
  <si>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</si>
  <si>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</si>
  <si>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</si>
  <si>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</si>
  <si>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</si>
  <si>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</si>
  <si>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</si>
  <si>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</si>
  <si>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</si>
  <si>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</si>
  <si>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</si>
  <si>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</si>
  <si>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</si>
  <si>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</si>
  <si>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</si>
  <si>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</si>
  <si>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</si>
  <si>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</si>
  <si>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</si>
  <si>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</si>
  <si>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</si>
  <si>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</si>
  <si>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</si>
  <si>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</si>
  <si>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</si>
  <si>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</si>
  <si>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</si>
  <si>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</si>
  <si>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</si>
  <si>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</si>
  <si>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</si>
  <si>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</si>
  <si>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</si>
  <si>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P_LT_NG_END</t>
  </si>
  <si>
    <t>T_BRK</t>
  </si>
  <si>
    <t>%rpm</t>
  </si>
  <si>
    <t>lnT_T</t>
  </si>
  <si>
    <t>pcng_T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</si>
</sst>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" xfId="0" applyFill="1" applyBorder="1"/>
    <xf numFmtId="166" fontId="0" fillId="5" borderId="7" xfId="0" applyNumberFormat="1" applyFill="1" applyBorder="1"/>
    <xf numFmtId="166" fontId="0" fillId="5" borderId="2" xfId="0" applyNumberFormat="1" applyFill="1" applyBorder="1"/>
    <xf numFmtId="166" fontId="0" fillId="5" borderId="8" xfId="0" applyNumberFormat="1" applyFill="1" applyBorder="1"/>
    <xf numFmtId="166" fontId="0" fillId="5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84.309310072446905</c:v>
                </c:pt>
                <c:pt idx="1">
                  <c:v>78.083132867103643</c:v>
                </c:pt>
                <c:pt idx="2">
                  <c:v>64.178003775170367</c:v>
                </c:pt>
                <c:pt idx="3">
                  <c:v>41.33386312413711</c:v>
                </c:pt>
                <c:pt idx="4">
                  <c:v>32.394851565037136</c:v>
                </c:pt>
                <c:pt idx="5">
                  <c:v>29.049931110664247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8656"/>
        <c:axId val="190836696"/>
      </c:scatterChart>
      <c:valAx>
        <c:axId val="1908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6696"/>
        <c:crosses val="autoZero"/>
        <c:crossBetween val="midCat"/>
      </c:valAx>
      <c:valAx>
        <c:axId val="1908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0448"/>
        <c:axId val="557303584"/>
      </c:scatterChart>
      <c:valAx>
        <c:axId val="557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303584"/>
        <c:crosses val="autoZero"/>
        <c:crossBetween val="midCat"/>
      </c:valAx>
      <c:valAx>
        <c:axId val="557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97312"/>
        <c:axId val="557299664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98096"/>
        <c:axId val="557297704"/>
      </c:scatterChart>
      <c:valAx>
        <c:axId val="5572973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299664"/>
        <c:crossesAt val="-40"/>
        <c:crossBetween val="midCat"/>
        <c:majorUnit val="20"/>
      </c:valAx>
      <c:valAx>
        <c:axId val="557299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297312"/>
        <c:crosses val="autoZero"/>
        <c:crossBetween val="midCat"/>
      </c:valAx>
      <c:valAx>
        <c:axId val="5572977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298096"/>
        <c:crosses val="max"/>
        <c:crossBetween val="midCat"/>
        <c:majorUnit val="40"/>
      </c:valAx>
      <c:valAx>
        <c:axId val="55729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9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99272"/>
        <c:axId val="557300056"/>
      </c:scatterChart>
      <c:valAx>
        <c:axId val="5572992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7300056"/>
        <c:crosses val="autoZero"/>
        <c:crossBetween val="midCat"/>
      </c:valAx>
      <c:valAx>
        <c:axId val="55730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729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1232"/>
        <c:axId val="557302800"/>
      </c:scatterChart>
      <c:valAx>
        <c:axId val="5573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302800"/>
        <c:crosses val="autoZero"/>
        <c:crossBetween val="midCat"/>
      </c:valAx>
      <c:valAx>
        <c:axId val="557302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30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1104"/>
        <c:axId val="558682280"/>
      </c:scatterChart>
      <c:valAx>
        <c:axId val="55868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8682280"/>
        <c:crosses val="autoZero"/>
        <c:crossBetween val="midCat"/>
      </c:valAx>
      <c:valAx>
        <c:axId val="5586822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868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9928"/>
        <c:axId val="558681496"/>
      </c:scatterChart>
      <c:valAx>
        <c:axId val="5586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681496"/>
        <c:crosses val="autoZero"/>
        <c:crossBetween val="midCat"/>
      </c:valAx>
      <c:valAx>
        <c:axId val="55868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67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1888"/>
        <c:axId val="558682672"/>
      </c:scatterChart>
      <c:valAx>
        <c:axId val="5586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682672"/>
        <c:crosses val="autoZero"/>
        <c:crossBetween val="midCat"/>
      </c:valAx>
      <c:valAx>
        <c:axId val="5586826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8681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064"/>
        <c:axId val="558679536"/>
      </c:scatterChart>
      <c:valAx>
        <c:axId val="55868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679536"/>
        <c:crosses val="autoZero"/>
        <c:crossBetween val="midCat"/>
      </c:valAx>
      <c:valAx>
        <c:axId val="558679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8683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6008"/>
        <c:axId val="558676400"/>
      </c:scatterChart>
      <c:valAx>
        <c:axId val="5586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676400"/>
        <c:crosses val="autoZero"/>
        <c:crossBetween val="midCat"/>
      </c:valAx>
      <c:valAx>
        <c:axId val="5586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6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6792"/>
        <c:axId val="55867718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9144"/>
        <c:axId val="558677576"/>
      </c:scatterChart>
      <c:valAx>
        <c:axId val="5586767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677184"/>
        <c:crossesAt val="-40"/>
        <c:crossBetween val="midCat"/>
        <c:majorUnit val="20"/>
      </c:valAx>
      <c:valAx>
        <c:axId val="558677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676792"/>
        <c:crosses val="autoZero"/>
        <c:crossBetween val="midCat"/>
      </c:valAx>
      <c:valAx>
        <c:axId val="5586775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679144"/>
        <c:crosses val="max"/>
        <c:crossBetween val="midCat"/>
        <c:majorUnit val="40"/>
      </c:valAx>
      <c:valAx>
        <c:axId val="55867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6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28985.507246376812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82536"/>
        <c:axId val="556984104"/>
      </c:scatterChart>
      <c:valAx>
        <c:axId val="55698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4104"/>
        <c:crosses val="autoZero"/>
        <c:crossBetween val="midCat"/>
      </c:valAx>
      <c:valAx>
        <c:axId val="5569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78952"/>
        <c:axId val="559178560"/>
      </c:scatterChart>
      <c:valAx>
        <c:axId val="559178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178560"/>
        <c:crosses val="autoZero"/>
        <c:crossBetween val="midCat"/>
      </c:valAx>
      <c:valAx>
        <c:axId val="55917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917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520"/>
        <c:axId val="559180912"/>
      </c:scatterChart>
      <c:valAx>
        <c:axId val="55918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180912"/>
        <c:crosses val="autoZero"/>
        <c:crossBetween val="midCat"/>
      </c:valAx>
      <c:valAx>
        <c:axId val="559180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18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78168"/>
        <c:axId val="559179344"/>
      </c:scatterChart>
      <c:valAx>
        <c:axId val="5591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179344"/>
        <c:crosses val="autoZero"/>
        <c:crossBetween val="midCat"/>
      </c:valAx>
      <c:valAx>
        <c:axId val="5591793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9178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1696"/>
        <c:axId val="559182872"/>
      </c:scatterChart>
      <c:valAx>
        <c:axId val="559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82872"/>
        <c:crosses val="autoZero"/>
        <c:crossBetween val="midCat"/>
      </c:valAx>
      <c:valAx>
        <c:axId val="55918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1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2480"/>
        <c:axId val="559176600"/>
      </c:scatterChart>
      <c:valAx>
        <c:axId val="55918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76600"/>
        <c:crosses val="autoZero"/>
        <c:crossBetween val="midCat"/>
      </c:valAx>
      <c:valAx>
        <c:axId val="5591766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1824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76208"/>
        <c:axId val="559177384"/>
      </c:scatterChart>
      <c:valAx>
        <c:axId val="5591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77384"/>
        <c:crosses val="autoZero"/>
        <c:crossBetween val="midCat"/>
      </c:valAx>
      <c:valAx>
        <c:axId val="5591773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1762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5560"/>
        <c:axId val="559612032"/>
      </c:scatterChart>
      <c:valAx>
        <c:axId val="5596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2032"/>
        <c:crosses val="autoZero"/>
        <c:crossBetween val="midCat"/>
      </c:valAx>
      <c:valAx>
        <c:axId val="559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1248"/>
        <c:axId val="55961477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0464"/>
        <c:axId val="559612424"/>
      </c:scatterChart>
      <c:valAx>
        <c:axId val="5596112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4776"/>
        <c:crossesAt val="-40"/>
        <c:crossBetween val="midCat"/>
        <c:majorUnit val="20"/>
      </c:valAx>
      <c:valAx>
        <c:axId val="5596147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1248"/>
        <c:crosses val="autoZero"/>
        <c:crossBetween val="midCat"/>
      </c:valAx>
      <c:valAx>
        <c:axId val="5596124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0464"/>
        <c:crosses val="max"/>
        <c:crossBetween val="midCat"/>
        <c:majorUnit val="40"/>
      </c:valAx>
      <c:valAx>
        <c:axId val="55961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61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7128"/>
        <c:axId val="559615168"/>
      </c:scatterChart>
      <c:valAx>
        <c:axId val="55961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615168"/>
        <c:crosses val="autoZero"/>
        <c:crossBetween val="midCat"/>
      </c:valAx>
      <c:valAx>
        <c:axId val="55961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961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5952"/>
        <c:axId val="559610072"/>
      </c:scatterChart>
      <c:valAx>
        <c:axId val="5596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0072"/>
        <c:crosses val="autoZero"/>
        <c:crossBetween val="midCat"/>
      </c:valAx>
      <c:valAx>
        <c:axId val="559610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961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62.902576489533011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84888"/>
        <c:axId val="55697900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85280"/>
        <c:axId val="556978224"/>
      </c:scatterChart>
      <c:valAx>
        <c:axId val="5569848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79008"/>
        <c:crossesAt val="-40"/>
        <c:crossBetween val="midCat"/>
        <c:majorUnit val="20"/>
      </c:valAx>
      <c:valAx>
        <c:axId val="556979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4888"/>
        <c:crosses val="autoZero"/>
        <c:crossBetween val="midCat"/>
      </c:valAx>
      <c:valAx>
        <c:axId val="5569782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5280"/>
        <c:crosses val="max"/>
        <c:crossBetween val="midCat"/>
        <c:majorUnit val="40"/>
      </c:valAx>
      <c:valAx>
        <c:axId val="5569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9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6344"/>
        <c:axId val="559613992"/>
      </c:scatterChart>
      <c:valAx>
        <c:axId val="55961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613992"/>
        <c:crosses val="autoZero"/>
        <c:crossBetween val="midCat"/>
      </c:valAx>
      <c:valAx>
        <c:axId val="5596139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9616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1640"/>
        <c:axId val="559612816"/>
      </c:scatterChart>
      <c:valAx>
        <c:axId val="5596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612816"/>
        <c:crosses val="autoZero"/>
        <c:crossBetween val="midCat"/>
      </c:valAx>
      <c:valAx>
        <c:axId val="55961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61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5528"/>
        <c:axId val="559717688"/>
      </c:scatterChart>
      <c:valAx>
        <c:axId val="55972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717688"/>
        <c:crosses val="autoZero"/>
        <c:crossBetween val="midCat"/>
      </c:valAx>
      <c:valAx>
        <c:axId val="5597176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7255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6312"/>
        <c:axId val="559727880"/>
      </c:scatterChart>
      <c:valAx>
        <c:axId val="5597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727880"/>
        <c:crosses val="autoZero"/>
        <c:crossBetween val="midCat"/>
      </c:valAx>
      <c:valAx>
        <c:axId val="559727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7263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CalPhotonTurnigy!$P$8:$P$21</c:f>
              <c:numCache>
                <c:formatCode>0</c:formatCode>
                <c:ptCount val="14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34883.720930232557</c:v>
                </c:pt>
                <c:pt idx="6">
                  <c:v>36363.636363636368</c:v>
                </c:pt>
                <c:pt idx="7">
                  <c:v>38961.038961038961</c:v>
                </c:pt>
                <c:pt idx="8">
                  <c:v>39735.099337748346</c:v>
                </c:pt>
                <c:pt idx="9">
                  <c:v>40540.540540540547</c:v>
                </c:pt>
                <c:pt idx="10">
                  <c:v>42553.191489361707</c:v>
                </c:pt>
                <c:pt idx="11">
                  <c:v>43988.269794721404</c:v>
                </c:pt>
                <c:pt idx="12">
                  <c:v>43795.620437956204</c:v>
                </c:pt>
                <c:pt idx="13">
                  <c:v>43165.467625899284</c:v>
                </c:pt>
              </c:numCache>
            </c:numRef>
          </c:xVal>
          <c:yVal>
            <c:numRef>
              <c:f>CalPhotonTurnigy!$Q$8:$Q$21</c:f>
              <c:numCache>
                <c:formatCode>0</c:formatCode>
                <c:ptCount val="14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29126.213592233009</c:v>
                </c:pt>
                <c:pt idx="6">
                  <c:v>30769.23076923077</c:v>
                </c:pt>
                <c:pt idx="7">
                  <c:v>32786.885245901642</c:v>
                </c:pt>
                <c:pt idx="8">
                  <c:v>33333.333333333336</c:v>
                </c:pt>
                <c:pt idx="9">
                  <c:v>34682.080924855494</c:v>
                </c:pt>
                <c:pt idx="10">
                  <c:v>36144.57831325302</c:v>
                </c:pt>
                <c:pt idx="11">
                  <c:v>34482.758620689652</c:v>
                </c:pt>
                <c:pt idx="12">
                  <c:v>37974.6835443038</c:v>
                </c:pt>
                <c:pt idx="13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9056"/>
        <c:axId val="559728664"/>
      </c:scatterChart>
      <c:valAx>
        <c:axId val="5597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8664"/>
        <c:crosses val="autoZero"/>
        <c:crossBetween val="midCat"/>
      </c:valAx>
      <c:valAx>
        <c:axId val="5597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CalPhotonTurnigy!$L$8:$L$21</c:f>
              <c:numCache>
                <c:formatCode>General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101</c:v>
                </c:pt>
                <c:pt idx="6">
                  <c:v>114</c:v>
                </c:pt>
                <c:pt idx="7">
                  <c:v>125</c:v>
                </c:pt>
                <c:pt idx="8">
                  <c:v>130</c:v>
                </c:pt>
                <c:pt idx="9">
                  <c:v>140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180</c:v>
                </c:pt>
              </c:numCache>
            </c:numRef>
          </c:xVal>
          <c:yVal>
            <c:numRef>
              <c:f>CalPhotonTurnigy!$R$8:$R$21</c:f>
              <c:numCache>
                <c:formatCode>0</c:formatCode>
                <c:ptCount val="14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75.702519379844958</c:v>
                </c:pt>
                <c:pt idx="6">
                  <c:v>78.914141414141426</c:v>
                </c:pt>
                <c:pt idx="7">
                  <c:v>84.550865800865807</c:v>
                </c:pt>
                <c:pt idx="8">
                  <c:v>86.230684326710815</c:v>
                </c:pt>
                <c:pt idx="9">
                  <c:v>87.978603603603617</c:v>
                </c:pt>
                <c:pt idx="10">
                  <c:v>92.346335697399539</c:v>
                </c:pt>
                <c:pt idx="11">
                  <c:v>95.460654936461381</c:v>
                </c:pt>
                <c:pt idx="12">
                  <c:v>95.042579075425792</c:v>
                </c:pt>
                <c:pt idx="13">
                  <c:v>93.675059952038382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9448"/>
        <c:axId val="559722392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CalPhotonTurnigy!$U$4:$U$21</c:f>
              <c:numCache>
                <c:formatCode>0.00</c:formatCode>
                <c:ptCount val="18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95.811199999999999</c:v>
                </c:pt>
                <c:pt idx="10">
                  <c:v>115.2645</c:v>
                </c:pt>
                <c:pt idx="11">
                  <c:v>129.41060000000002</c:v>
                </c:pt>
                <c:pt idx="12">
                  <c:v>135.24780000000001</c:v>
                </c:pt>
                <c:pt idx="13">
                  <c:v>147.96539999999999</c:v>
                </c:pt>
                <c:pt idx="14">
                  <c:v>159.64259999999999</c:v>
                </c:pt>
                <c:pt idx="15">
                  <c:v>181.95599999999999</c:v>
                </c:pt>
                <c:pt idx="16">
                  <c:v>178.81980000000001</c:v>
                </c:pt>
                <c:pt idx="17">
                  <c:v>171.935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0432"/>
        <c:axId val="559729840"/>
      </c:scatterChart>
      <c:valAx>
        <c:axId val="5597294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2392"/>
        <c:crossesAt val="-40"/>
        <c:crossBetween val="midCat"/>
        <c:majorUnit val="20"/>
      </c:valAx>
      <c:valAx>
        <c:axId val="559722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9448"/>
        <c:crosses val="autoZero"/>
        <c:crossBetween val="midCat"/>
      </c:valAx>
      <c:valAx>
        <c:axId val="5597298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0432"/>
        <c:crosses val="max"/>
        <c:crossBetween val="midCat"/>
        <c:majorUnit val="40"/>
      </c:valAx>
      <c:valAx>
        <c:axId val="55972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7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CalPhotonTurnigy!$R$4:$R$21</c:f>
              <c:numCache>
                <c:formatCode>0</c:formatCode>
                <c:ptCount val="18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75.702519379844958</c:v>
                </c:pt>
                <c:pt idx="10">
                  <c:v>78.914141414141426</c:v>
                </c:pt>
                <c:pt idx="11">
                  <c:v>84.550865800865807</c:v>
                </c:pt>
                <c:pt idx="12">
                  <c:v>86.230684326710815</c:v>
                </c:pt>
                <c:pt idx="13">
                  <c:v>87.978603603603617</c:v>
                </c:pt>
                <c:pt idx="14">
                  <c:v>92.346335697399539</c:v>
                </c:pt>
                <c:pt idx="15">
                  <c:v>95.460654936461381</c:v>
                </c:pt>
                <c:pt idx="16">
                  <c:v>95.042579075425792</c:v>
                </c:pt>
                <c:pt idx="17">
                  <c:v>93.675059952038382</c:v>
                </c:pt>
              </c:numCache>
            </c:numRef>
          </c:xVal>
          <c:yVal>
            <c:numRef>
              <c:f>CalPhotonTurnigy!$W$4:$W$21</c:f>
              <c:numCache>
                <c:formatCode>General</c:formatCode>
                <c:ptCount val="18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0.12251732550552001</c:v>
                </c:pt>
                <c:pt idx="10">
                  <c:v>0.14860462877812</c:v>
                </c:pt>
                <c:pt idx="11">
                  <c:v>0.16757486009232003</c:v>
                </c:pt>
                <c:pt idx="12">
                  <c:v>0.17540267371072002</c:v>
                </c:pt>
                <c:pt idx="13">
                  <c:v>0.19245725509792</c:v>
                </c:pt>
                <c:pt idx="14">
                  <c:v>0.20811663719632001</c:v>
                </c:pt>
                <c:pt idx="15">
                  <c:v>0.23803939749111999</c:v>
                </c:pt>
                <c:pt idx="16">
                  <c:v>0.23383368429472004</c:v>
                </c:pt>
                <c:pt idx="17">
                  <c:v>0.22460101602912003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8272"/>
        <c:axId val="559721608"/>
      </c:scatterChart>
      <c:valAx>
        <c:axId val="5597282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9721608"/>
        <c:crosses val="autoZero"/>
        <c:crossBetween val="midCat"/>
      </c:valAx>
      <c:valAx>
        <c:axId val="55972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2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101</c:v>
                </c:pt>
                <c:pt idx="10">
                  <c:v>114</c:v>
                </c:pt>
                <c:pt idx="11">
                  <c:v>125</c:v>
                </c:pt>
                <c:pt idx="12">
                  <c:v>130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180</c:v>
                </c:pt>
              </c:numCache>
            </c:numRef>
          </c:xVal>
          <c:yVal>
            <c:numRef>
              <c:f>CalPhotonTurnigy!$AJ$4:$AJ$21</c:f>
              <c:numCache>
                <c:formatCode>0.00</c:formatCode>
                <c:ptCount val="18"/>
                <c:pt idx="0">
                  <c:v>3954.7032591946263</c:v>
                </c:pt>
                <c:pt idx="1">
                  <c:v>5364.2710293653727</c:v>
                </c:pt>
                <c:pt idx="2">
                  <c:v>6639.3801799096145</c:v>
                </c:pt>
                <c:pt idx="3">
                  <c:v>7803.4636306880639</c:v>
                </c:pt>
                <c:pt idx="4">
                  <c:v>17622.884948364663</c:v>
                </c:pt>
                <c:pt idx="5">
                  <c:v>22124.385508961968</c:v>
                </c:pt>
                <c:pt idx="6">
                  <c:v>27925.793225424321</c:v>
                </c:pt>
                <c:pt idx="7">
                  <c:v>31436.143715485603</c:v>
                </c:pt>
                <c:pt idx="8">
                  <c:v>34610.401844042484</c:v>
                </c:pt>
                <c:pt idx="9">
                  <c:v>36302.572540905501</c:v>
                </c:pt>
                <c:pt idx="10">
                  <c:v>37922.416074612651</c:v>
                </c:pt>
                <c:pt idx="11">
                  <c:v>39154.782313271673</c:v>
                </c:pt>
                <c:pt idx="12">
                  <c:v>39679.49741018255</c:v>
                </c:pt>
                <c:pt idx="13">
                  <c:v>40670.952400777387</c:v>
                </c:pt>
                <c:pt idx="14">
                  <c:v>41140.422326108441</c:v>
                </c:pt>
                <c:pt idx="15">
                  <c:v>42032.654216345327</c:v>
                </c:pt>
                <c:pt idx="16">
                  <c:v>42869.084065138595</c:v>
                </c:pt>
                <c:pt idx="17">
                  <c:v>44033.167515917041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6704"/>
        <c:axId val="559723568"/>
      </c:scatterChart>
      <c:valAx>
        <c:axId val="5597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3568"/>
        <c:crosses val="autoZero"/>
        <c:crossBetween val="midCat"/>
      </c:valAx>
      <c:valAx>
        <c:axId val="55972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xVal>
          <c:yVal>
            <c:numRef>
              <c:f>CalPhotonTurnigy!$Y$4:$Y$21</c:f>
              <c:numCache>
                <c:formatCode>0.00000</c:formatCode>
                <c:ptCount val="18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1.5470790914891007E-2</c:v>
                </c:pt>
                <c:pt idx="10">
                  <c:v>1.8487875634071796E-2</c:v>
                </c:pt>
                <c:pt idx="11">
                  <c:v>1.9614223673239457E-2</c:v>
                </c:pt>
                <c:pt idx="12">
                  <c:v>2.0208815964920249E-2</c:v>
                </c:pt>
                <c:pt idx="13">
                  <c:v>2.1957618192746726E-2</c:v>
                </c:pt>
                <c:pt idx="14">
                  <c:v>2.271108069569213E-2</c:v>
                </c:pt>
                <c:pt idx="15">
                  <c:v>2.5445734048152362E-2</c:v>
                </c:pt>
                <c:pt idx="16">
                  <c:v>2.5066400409393615E-2</c:v>
                </c:pt>
                <c:pt idx="17">
                  <c:v>2.4352414187932329E-2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CalPhotonTurnigy!$Y$73:$Y$90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18080"/>
        <c:axId val="559718864"/>
      </c:scatterChart>
      <c:valAx>
        <c:axId val="5597180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9718864"/>
        <c:crosses val="autoZero"/>
        <c:crossBetween val="midCat"/>
      </c:valAx>
      <c:valAx>
        <c:axId val="5597188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971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CalPhotonTurnigy!$AO$8:$AO$21</c:f>
              <c:numCache>
                <c:formatCode>0</c:formatCode>
                <c:ptCount val="14"/>
                <c:pt idx="0">
                  <c:v>7980.5348451198879</c:v>
                </c:pt>
                <c:pt idx="1">
                  <c:v>13058.450801874398</c:v>
                </c:pt>
                <c:pt idx="2">
                  <c:v>19602.726520270393</c:v>
                </c:pt>
                <c:pt idx="3">
                  <c:v>23562.576025413618</c:v>
                </c:pt>
                <c:pt idx="4">
                  <c:v>27143.296672867655</c:v>
                </c:pt>
                <c:pt idx="5">
                  <c:v>29052.149169381162</c:v>
                </c:pt>
                <c:pt idx="6">
                  <c:v>30879.413037624618</c:v>
                </c:pt>
                <c:pt idx="7">
                  <c:v>32269.583293878422</c:v>
                </c:pt>
                <c:pt idx="8">
                  <c:v>32861.487954887765</c:v>
                </c:pt>
                <c:pt idx="9">
                  <c:v>33979.898371452815</c:v>
                </c:pt>
                <c:pt idx="10">
                  <c:v>34509.483738146308</c:v>
                </c:pt>
                <c:pt idx="11">
                  <c:v>35515.965574940288</c:v>
                </c:pt>
                <c:pt idx="12">
                  <c:v>36459.499940585134</c:v>
                </c:pt>
                <c:pt idx="13">
                  <c:v>37772.643824525338</c:v>
                </c:pt>
              </c:numCache>
            </c:numRef>
          </c:xVal>
          <c:yVal>
            <c:numRef>
              <c:f>CalPhotonTurnigy!$AV$8:$AV$21</c:f>
              <c:numCache>
                <c:formatCode>0.000</c:formatCode>
                <c:ptCount val="14"/>
                <c:pt idx="0">
                  <c:v>0.25696593410542906</c:v>
                </c:pt>
                <c:pt idx="1">
                  <c:v>0.12586728444259276</c:v>
                </c:pt>
                <c:pt idx="2">
                  <c:v>7.0520712900926E-2</c:v>
                </c:pt>
                <c:pt idx="3">
                  <c:v>6.1151129689547869E-2</c:v>
                </c:pt>
                <c:pt idx="4">
                  <c:v>4.6115142673135323E-2</c:v>
                </c:pt>
                <c:pt idx="5">
                  <c:v>4.3501965144133965E-2</c:v>
                </c:pt>
                <c:pt idx="6">
                  <c:v>4.0034442502417979E-2</c:v>
                </c:pt>
                <c:pt idx="7">
                  <c:v>3.500000000000001E-2</c:v>
                </c:pt>
                <c:pt idx="8">
                  <c:v>3.3708711834034566E-2</c:v>
                </c:pt>
                <c:pt idx="9">
                  <c:v>3.245050874206834E-2</c:v>
                </c:pt>
                <c:pt idx="10">
                  <c:v>2.963810839832914E-2</c:v>
                </c:pt>
                <c:pt idx="11">
                  <c:v>2.7879834300024883E-2</c:v>
                </c:pt>
                <c:pt idx="12">
                  <c:v>2.5619819687353256E-2</c:v>
                </c:pt>
                <c:pt idx="13">
                  <c:v>2.5619819687353256E-2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CalPhotonTurnigy!$AJ$8:$AJ$22</c:f>
              <c:numCache>
                <c:formatCode>0.00</c:formatCode>
                <c:ptCount val="15"/>
                <c:pt idx="0">
                  <c:v>17622.884948364663</c:v>
                </c:pt>
                <c:pt idx="1">
                  <c:v>22124.385508961968</c:v>
                </c:pt>
                <c:pt idx="2">
                  <c:v>27925.793225424321</c:v>
                </c:pt>
                <c:pt idx="3">
                  <c:v>31436.143715485603</c:v>
                </c:pt>
                <c:pt idx="4">
                  <c:v>34610.401844042484</c:v>
                </c:pt>
                <c:pt idx="5">
                  <c:v>36302.572540905501</c:v>
                </c:pt>
                <c:pt idx="6">
                  <c:v>37922.416074612651</c:v>
                </c:pt>
                <c:pt idx="7">
                  <c:v>39154.782313271673</c:v>
                </c:pt>
                <c:pt idx="8">
                  <c:v>39679.49741018255</c:v>
                </c:pt>
                <c:pt idx="9">
                  <c:v>40670.952400777387</c:v>
                </c:pt>
                <c:pt idx="10">
                  <c:v>41140.422326108441</c:v>
                </c:pt>
                <c:pt idx="11">
                  <c:v>42032.654216345327</c:v>
                </c:pt>
                <c:pt idx="12">
                  <c:v>42869.084065138595</c:v>
                </c:pt>
                <c:pt idx="13">
                  <c:v>44033.167515917041</c:v>
                </c:pt>
              </c:numCache>
            </c:numRef>
          </c:xVal>
          <c:yVal>
            <c:numRef>
              <c:f>CalPhotonTurnigy!$AS$8:$AS$22</c:f>
              <c:numCache>
                <c:formatCode>0.000</c:formatCode>
                <c:ptCount val="15"/>
                <c:pt idx="0">
                  <c:v>8.1827248678863027E-2</c:v>
                </c:pt>
                <c:pt idx="1">
                  <c:v>6.3514046909290078E-2</c:v>
                </c:pt>
                <c:pt idx="2">
                  <c:v>4.9295640466854723E-2</c:v>
                </c:pt>
                <c:pt idx="3">
                  <c:v>4.341484009314036E-2</c:v>
                </c:pt>
                <c:pt idx="4">
                  <c:v>3.9187499532960038E-2</c:v>
                </c:pt>
                <c:pt idx="5">
                  <c:v>3.7253746890637769E-2</c:v>
                </c:pt>
                <c:pt idx="6">
                  <c:v>3.5573367883799327E-2</c:v>
                </c:pt>
                <c:pt idx="7">
                  <c:v>3.4393113805104944E-2</c:v>
                </c:pt>
                <c:pt idx="8">
                  <c:v>3.3914027602912664E-2</c:v>
                </c:pt>
                <c:pt idx="9">
                  <c:v>3.3044290414191255E-2</c:v>
                </c:pt>
                <c:pt idx="10">
                  <c:v>3.2647831863382805E-2</c:v>
                </c:pt>
                <c:pt idx="11">
                  <c:v>3.1919994850702342E-2</c:v>
                </c:pt>
                <c:pt idx="12">
                  <c:v>3.1266546174169838E-2</c:v>
                </c:pt>
                <c:pt idx="13">
                  <c:v>3.0400416736209745E-2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CalPhotonTurnigy!$AR$25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CalPhotonTurnigy!$AN$27:$AN$35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CalPhotonTurnigy!$AR$27:$AR$35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19256"/>
        <c:axId val="559719648"/>
      </c:scatterChart>
      <c:valAx>
        <c:axId val="55971925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9719648"/>
        <c:crosses val="autoZero"/>
        <c:crossBetween val="midCat"/>
      </c:valAx>
      <c:valAx>
        <c:axId val="55971964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9719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62.902576489533011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8616"/>
        <c:axId val="556979792"/>
      </c:scatterChart>
      <c:valAx>
        <c:axId val="5569786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6979792"/>
        <c:crosses val="autoZero"/>
        <c:crossBetween val="midCat"/>
      </c:valAx>
      <c:valAx>
        <c:axId val="55697979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97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CalPhotonTurnigy!$W$72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CalPhotonTurnigy!$W$73:$W$90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CalPhotonTurnigy!$W$93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CalPhotonTurnigy!$P$94:$P$108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CalPhotonTurnigy!$W$94:$W$108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2784"/>
        <c:axId val="559723176"/>
      </c:scatterChart>
      <c:valAx>
        <c:axId val="5597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3176"/>
        <c:crosses val="autoZero"/>
        <c:crossBetween val="midCat"/>
      </c:valAx>
      <c:valAx>
        <c:axId val="5597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CalPhotonTurnigy!$Y$72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CalPhotonTurnigy!$P$73:$P$90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CalPhotonTurnigy!$Y$73:$Y$90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CalPhotonTurnigy!$Y$93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CalPhotonTurnigy!$P$94:$P$108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CalPhotonTurnigy!$Y$94:$Y$108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CalPhotonTurnigy!$P$4:$P$21</c:f>
              <c:numCache>
                <c:formatCode>0</c:formatCode>
                <c:ptCount val="18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34883.720930232557</c:v>
                </c:pt>
                <c:pt idx="10">
                  <c:v>36363.636363636368</c:v>
                </c:pt>
                <c:pt idx="11">
                  <c:v>38961.038961038961</c:v>
                </c:pt>
                <c:pt idx="12">
                  <c:v>39735.099337748346</c:v>
                </c:pt>
                <c:pt idx="13">
                  <c:v>40540.540540540547</c:v>
                </c:pt>
                <c:pt idx="14">
                  <c:v>42553.191489361707</c:v>
                </c:pt>
                <c:pt idx="15">
                  <c:v>43988.269794721404</c:v>
                </c:pt>
                <c:pt idx="16">
                  <c:v>43795.620437956204</c:v>
                </c:pt>
                <c:pt idx="17">
                  <c:v>43165.467625899284</c:v>
                </c:pt>
              </c:numCache>
            </c:numRef>
          </c:xVal>
          <c:yVal>
            <c:numRef>
              <c:f>CalPhotonTurnigy!$Y$4:$Y$21</c:f>
              <c:numCache>
                <c:formatCode>0.00000</c:formatCode>
                <c:ptCount val="18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1.5470790914891007E-2</c:v>
                </c:pt>
                <c:pt idx="10">
                  <c:v>1.8487875634071796E-2</c:v>
                </c:pt>
                <c:pt idx="11">
                  <c:v>1.9614223673239457E-2</c:v>
                </c:pt>
                <c:pt idx="12">
                  <c:v>2.0208815964920249E-2</c:v>
                </c:pt>
                <c:pt idx="13">
                  <c:v>2.1957618192746726E-2</c:v>
                </c:pt>
                <c:pt idx="14">
                  <c:v>2.271108069569213E-2</c:v>
                </c:pt>
                <c:pt idx="15">
                  <c:v>2.5445734048152362E-2</c:v>
                </c:pt>
                <c:pt idx="16">
                  <c:v>2.5066400409393615E-2</c:v>
                </c:pt>
                <c:pt idx="17">
                  <c:v>2.4352414187932329E-2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24352"/>
        <c:axId val="559724744"/>
      </c:scatterChart>
      <c:valAx>
        <c:axId val="5597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4744"/>
        <c:crosses val="autoZero"/>
        <c:crossBetween val="midCat"/>
      </c:valAx>
      <c:valAx>
        <c:axId val="5597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CalPhotonTurnigy!$Q$8:$Q$21</c:f>
              <c:numCache>
                <c:formatCode>0</c:formatCode>
                <c:ptCount val="14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29126.213592233009</c:v>
                </c:pt>
                <c:pt idx="6">
                  <c:v>30769.23076923077</c:v>
                </c:pt>
                <c:pt idx="7">
                  <c:v>32786.885245901642</c:v>
                </c:pt>
                <c:pt idx="8">
                  <c:v>33333.333333333336</c:v>
                </c:pt>
                <c:pt idx="9">
                  <c:v>34682.080924855494</c:v>
                </c:pt>
                <c:pt idx="10">
                  <c:v>36144.57831325302</c:v>
                </c:pt>
                <c:pt idx="11">
                  <c:v>34482.758620689652</c:v>
                </c:pt>
                <c:pt idx="12">
                  <c:v>37974.6835443038</c:v>
                </c:pt>
                <c:pt idx="13">
                  <c:v>37037.037037037036</c:v>
                </c:pt>
              </c:numCache>
            </c:numRef>
          </c:xVal>
          <c:yVal>
            <c:numRef>
              <c:f>CalPhotonTurnigy!$AF$8:$AF$21</c:f>
              <c:numCache>
                <c:formatCode>0.00</c:formatCode>
                <c:ptCount val="14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>
                  <c:v>3.0860346503517482</c:v>
                </c:pt>
                <c:pt idx="6">
                  <c:v>3.0631386348996381</c:v>
                </c:pt>
                <c:pt idx="7" formatCode="0.000">
                  <c:v>2.9431021745403703</c:v>
                </c:pt>
                <c:pt idx="8">
                  <c:v>2.9051480126974192</c:v>
                </c:pt>
                <c:pt idx="9">
                  <c:v>2.9330658813207928</c:v>
                </c:pt>
                <c:pt idx="10">
                  <c:v>2.8424702569647033</c:v>
                </c:pt>
                <c:pt idx="11">
                  <c:v>2.5801660429310118</c:v>
                </c:pt>
                <c:pt idx="12" formatCode="0.000">
                  <c:v>2.6501864616119368</c:v>
                </c:pt>
                <c:pt idx="13" formatCode="0.000">
                  <c:v>2.5847497588560868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31408"/>
        <c:axId val="559731800"/>
      </c:scatterChart>
      <c:valAx>
        <c:axId val="5597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31800"/>
        <c:crosses val="autoZero"/>
        <c:crossBetween val="midCat"/>
      </c:valAx>
      <c:valAx>
        <c:axId val="559731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CalPhotonTurnigy!$AR$25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CalPhotonTurnigy!$AO$26:$AO$35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CalPhotonTurnigy!$AR$26:$AR$35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30624"/>
        <c:axId val="559730232"/>
      </c:scatterChart>
      <c:valAx>
        <c:axId val="55973062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59730232"/>
        <c:crosses val="autoZero"/>
        <c:crossBetween val="midCat"/>
        <c:minorUnit val="2"/>
      </c:valAx>
      <c:valAx>
        <c:axId val="55973023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5973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32192"/>
        <c:axId val="559732584"/>
      </c:scatterChart>
      <c:valAx>
        <c:axId val="5597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32584"/>
        <c:crosses val="autoZero"/>
        <c:crossBetween val="midCat"/>
      </c:valAx>
      <c:valAx>
        <c:axId val="5597325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3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4656"/>
        <c:axId val="561135048"/>
      </c:scatterChart>
      <c:valAx>
        <c:axId val="5611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5048"/>
        <c:crosses val="autoZero"/>
        <c:crossBetween val="midCat"/>
      </c:valAx>
      <c:valAx>
        <c:axId val="5611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0344"/>
        <c:axId val="56114014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8968"/>
        <c:axId val="561131912"/>
      </c:scatterChart>
      <c:valAx>
        <c:axId val="5611303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0144"/>
        <c:crossesAt val="-40"/>
        <c:crossBetween val="midCat"/>
        <c:majorUnit val="20"/>
      </c:valAx>
      <c:valAx>
        <c:axId val="5611401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0344"/>
        <c:crosses val="autoZero"/>
        <c:crossBetween val="midCat"/>
      </c:valAx>
      <c:valAx>
        <c:axId val="5611319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8968"/>
        <c:crosses val="max"/>
        <c:crossBetween val="midCat"/>
        <c:majorUnit val="40"/>
      </c:valAx>
      <c:valAx>
        <c:axId val="561138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1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3872"/>
        <c:axId val="561135440"/>
      </c:scatterChart>
      <c:valAx>
        <c:axId val="5611338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1135440"/>
        <c:crosses val="autoZero"/>
        <c:crossBetween val="midCat"/>
      </c:valAx>
      <c:valAx>
        <c:axId val="56113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3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3088"/>
        <c:axId val="561140536"/>
      </c:scatterChart>
      <c:valAx>
        <c:axId val="5611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0536"/>
        <c:crosses val="autoZero"/>
        <c:crossBetween val="midCat"/>
      </c:valAx>
      <c:valAx>
        <c:axId val="561140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2496"/>
        <c:axId val="561131520"/>
      </c:scatterChart>
      <c:valAx>
        <c:axId val="561142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1131520"/>
        <c:crosses val="autoZero"/>
        <c:crossBetween val="midCat"/>
      </c:valAx>
      <c:valAx>
        <c:axId val="5611315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6114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Ard1_Turn1_ESC1_G1b_T1a!$L$2:$L$14</c:f>
              <c:numCache>
                <c:formatCode>General</c:formatCode>
                <c:ptCount val="13"/>
                <c:pt idx="0" formatCode="0.00">
                  <c:v>4.8134460522724005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9900.9900990099013</c:v>
                </c:pt>
                <c:pt idx="2">
                  <c:v>10752.688172043012</c:v>
                </c:pt>
                <c:pt idx="3">
                  <c:v>14285.714285714286</c:v>
                </c:pt>
                <c:pt idx="4">
                  <c:v>16304.347826086958</c:v>
                </c:pt>
                <c:pt idx="5">
                  <c:v>17910.447761194031</c:v>
                </c:pt>
                <c:pt idx="6">
                  <c:v>21978.021978021978</c:v>
                </c:pt>
                <c:pt idx="7">
                  <c:v>28571.428571428572</c:v>
                </c:pt>
                <c:pt idx="8">
                  <c:v>28985.507246376812</c:v>
                </c:pt>
                <c:pt idx="9">
                  <c:v>29702.970297029704</c:v>
                </c:pt>
                <c:pt idx="10">
                  <c:v>30769.23076923077</c:v>
                </c:pt>
                <c:pt idx="11">
                  <c:v>34090.909090909088</c:v>
                </c:pt>
                <c:pt idx="12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5416.8069931989485</c:v>
                </c:pt>
                <c:pt idx="1">
                  <c:v>11383.661277356445</c:v>
                </c:pt>
                <c:pt idx="2">
                  <c:v>13453.832762038826</c:v>
                </c:pt>
                <c:pt idx="3">
                  <c:v>15706.897450369433</c:v>
                </c:pt>
                <c:pt idx="4">
                  <c:v>18386.515512237907</c:v>
                </c:pt>
                <c:pt idx="5">
                  <c:v>23097.51850331419</c:v>
                </c:pt>
                <c:pt idx="6">
                  <c:v>28077.110314402489</c:v>
                </c:pt>
                <c:pt idx="7">
                  <c:v>28544.151938854891</c:v>
                </c:pt>
                <c:pt idx="8">
                  <c:v>29833.798544990212</c:v>
                </c:pt>
                <c:pt idx="9">
                  <c:v>30488.139556258939</c:v>
                </c:pt>
                <c:pt idx="10">
                  <c:v>34379.640138211798</c:v>
                </c:pt>
                <c:pt idx="11">
                  <c:v>38314.021547408571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80576"/>
        <c:axId val="556984496"/>
      </c:scatterChart>
      <c:valAx>
        <c:axId val="5569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4496"/>
        <c:crosses val="autoZero"/>
        <c:crossBetween val="midCat"/>
      </c:valAx>
      <c:valAx>
        <c:axId val="55698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98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8184"/>
        <c:axId val="561138576"/>
      </c:scatterChart>
      <c:valAx>
        <c:axId val="561138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61138576"/>
        <c:crosses val="autoZero"/>
        <c:crossBetween val="midCat"/>
        <c:dispUnits>
          <c:builtInUnit val="thousands"/>
          <c:dispUnitsLbl/>
        </c:dispUnits>
      </c:valAx>
      <c:valAx>
        <c:axId val="561138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1138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3480"/>
        <c:axId val="561141320"/>
      </c:scatterChart>
      <c:valAx>
        <c:axId val="56113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41320"/>
        <c:crosses val="autoZero"/>
        <c:crossBetween val="midCat"/>
      </c:valAx>
      <c:valAx>
        <c:axId val="56114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3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6616"/>
        <c:axId val="561135832"/>
      </c:scatterChart>
      <c:valAx>
        <c:axId val="561136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61135832"/>
        <c:crosses val="autoZero"/>
        <c:crossBetween val="midCat"/>
      </c:valAx>
      <c:valAx>
        <c:axId val="5611358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61136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9752"/>
        <c:axId val="561141712"/>
      </c:scatterChart>
      <c:valAx>
        <c:axId val="5611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1712"/>
        <c:crosses val="autoZero"/>
        <c:crossBetween val="midCat"/>
      </c:valAx>
      <c:valAx>
        <c:axId val="561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7008"/>
        <c:axId val="561137400"/>
      </c:scatterChart>
      <c:valAx>
        <c:axId val="561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7400"/>
        <c:crosses val="autoZero"/>
        <c:crossBetween val="midCat"/>
      </c:valAx>
      <c:valAx>
        <c:axId val="5611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5632"/>
        <c:axId val="5611460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2888"/>
        <c:axId val="561145240"/>
      </c:scatterChart>
      <c:valAx>
        <c:axId val="5611456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6024"/>
        <c:crosses val="autoZero"/>
        <c:crossBetween val="midCat"/>
      </c:valAx>
      <c:valAx>
        <c:axId val="5611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5632"/>
        <c:crosses val="autoZero"/>
        <c:crossBetween val="midCat"/>
      </c:valAx>
      <c:valAx>
        <c:axId val="561145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2888"/>
        <c:crosses val="max"/>
        <c:crossBetween val="midCat"/>
      </c:valAx>
      <c:valAx>
        <c:axId val="561142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14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3672"/>
        <c:axId val="561144064"/>
      </c:scatterChart>
      <c:valAx>
        <c:axId val="561143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1144064"/>
        <c:crosses val="autoZero"/>
        <c:crossBetween val="midCat"/>
      </c:valAx>
      <c:valAx>
        <c:axId val="56114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4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4848"/>
        <c:axId val="562202040"/>
      </c:scatterChart>
      <c:valAx>
        <c:axId val="5611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2202040"/>
        <c:crosses val="autoZero"/>
        <c:crossBetween val="midCat"/>
      </c:valAx>
      <c:valAx>
        <c:axId val="56220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4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97336"/>
        <c:axId val="562197728"/>
      </c:scatterChart>
      <c:valAx>
        <c:axId val="56219733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728"/>
        <c:crosses val="autoZero"/>
        <c:crossBetween val="midCat"/>
      </c:valAx>
      <c:valAx>
        <c:axId val="562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33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93808"/>
        <c:axId val="562194200"/>
      </c:scatterChart>
      <c:valAx>
        <c:axId val="5621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4200"/>
        <c:crosses val="autoZero"/>
        <c:crossBetween val="midCat"/>
      </c:valAx>
      <c:valAx>
        <c:axId val="562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8.2091772511932812E-3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82928"/>
        <c:axId val="190839440"/>
      </c:scatterChart>
      <c:valAx>
        <c:axId val="5569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0839440"/>
        <c:crosses val="autoZero"/>
        <c:crossBetween val="midCat"/>
      </c:valAx>
      <c:valAx>
        <c:axId val="1908394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698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92632"/>
        <c:axId val="562202432"/>
      </c:scatterChart>
      <c:valAx>
        <c:axId val="56219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2432"/>
        <c:crosses val="autoZero"/>
        <c:crossBetween val="midCat"/>
      </c:valAx>
      <c:valAx>
        <c:axId val="5622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03608"/>
        <c:axId val="562204000"/>
      </c:scatterChart>
      <c:valAx>
        <c:axId val="5622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4000"/>
        <c:crosses val="autoZero"/>
        <c:crossBetween val="midCat"/>
      </c:valAx>
      <c:valAx>
        <c:axId val="562204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2184"/>
        <c:axId val="188188424"/>
      </c:scatterChart>
      <c:valAx>
        <c:axId val="1908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188424"/>
        <c:crosses val="autoZero"/>
        <c:crossBetween val="midCat"/>
      </c:valAx>
      <c:valAx>
        <c:axId val="18818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98488"/>
        <c:axId val="557298880"/>
      </c:scatterChart>
      <c:valAx>
        <c:axId val="5572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298880"/>
        <c:crosses val="autoZero"/>
        <c:crossBetween val="midCat"/>
      </c:valAx>
      <c:valAx>
        <c:axId val="557298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2984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8.3780724674701155</c:v>
                </c:pt>
                <c:pt idx="1">
                  <c:v>12.883184115801589</c:v>
                </c:pt>
                <c:pt idx="2">
                  <c:v>17.786308348236794</c:v>
                </c:pt>
                <c:pt idx="3">
                  <c:v>23.617698951829823</c:v>
                </c:pt>
                <c:pt idx="4">
                  <c:v>33.869793818105329</c:v>
                </c:pt>
                <c:pt idx="5">
                  <c:v>44.706392253578336</c:v>
                </c:pt>
                <c:pt idx="6">
                  <c:v>45.722769243670534</c:v>
                </c:pt>
                <c:pt idx="7">
                  <c:v>48.529300968467616</c:v>
                </c:pt>
                <c:pt idx="8">
                  <c:v>49.953279287973857</c:v>
                </c:pt>
                <c:pt idx="9">
                  <c:v>58.421971244637696</c:v>
                </c:pt>
                <c:pt idx="10">
                  <c:v>66.983980550002386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0.16057575816004357</c:v>
                </c:pt>
                <c:pt idx="1">
                  <c:v>0.12933657962950107</c:v>
                </c:pt>
                <c:pt idx="2">
                  <c:v>0.10673693154917858</c:v>
                </c:pt>
                <c:pt idx="3">
                  <c:v>8.837182809045413E-2</c:v>
                </c:pt>
                <c:pt idx="4">
                  <c:v>6.7848078696043493E-2</c:v>
                </c:pt>
                <c:pt idx="5">
                  <c:v>5.447527030475157E-2</c:v>
                </c:pt>
                <c:pt idx="6">
                  <c:v>5.3486509663499819E-2</c:v>
                </c:pt>
                <c:pt idx="7">
                  <c:v>5.0933735270875427E-2</c:v>
                </c:pt>
                <c:pt idx="8">
                  <c:v>4.9729488230710744E-2</c:v>
                </c:pt>
                <c:pt idx="9">
                  <c:v>4.3598944494489283E-2</c:v>
                </c:pt>
                <c:pt idx="10">
                  <c:v>3.8767152129328832E-2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3192"/>
        <c:axId val="557302016"/>
      </c:scatterChart>
      <c:valAx>
        <c:axId val="55730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302016"/>
        <c:crosses val="autoZero"/>
        <c:crossBetween val="midCat"/>
      </c:valAx>
      <c:valAx>
        <c:axId val="5573020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303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15239</xdr:rowOff>
    </xdr:from>
    <xdr:to>
      <xdr:col>6</xdr:col>
      <xdr:colOff>423333</xdr:colOff>
      <xdr:row>70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33</xdr:row>
      <xdr:rowOff>68580</xdr:rowOff>
    </xdr:from>
    <xdr:to>
      <xdr:col>22</xdr:col>
      <xdr:colOff>381000</xdr:colOff>
      <xdr:row>46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48</xdr:row>
      <xdr:rowOff>172091</xdr:rowOff>
    </xdr:from>
    <xdr:to>
      <xdr:col>12</xdr:col>
      <xdr:colOff>101600</xdr:colOff>
      <xdr:row>61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48</xdr:row>
      <xdr:rowOff>170186</xdr:rowOff>
    </xdr:from>
    <xdr:to>
      <xdr:col>19</xdr:col>
      <xdr:colOff>306493</xdr:colOff>
      <xdr:row>64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33</xdr:row>
      <xdr:rowOff>93133</xdr:rowOff>
    </xdr:from>
    <xdr:to>
      <xdr:col>14</xdr:col>
      <xdr:colOff>228599</xdr:colOff>
      <xdr:row>46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38</xdr:row>
      <xdr:rowOff>120656</xdr:rowOff>
    </xdr:from>
    <xdr:to>
      <xdr:col>40</xdr:col>
      <xdr:colOff>53824</xdr:colOff>
      <xdr:row>52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71</xdr:row>
      <xdr:rowOff>28786</xdr:rowOff>
    </xdr:from>
    <xdr:to>
      <xdr:col>33</xdr:col>
      <xdr:colOff>39369</xdr:colOff>
      <xdr:row>86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85</xdr:row>
      <xdr:rowOff>86590</xdr:rowOff>
    </xdr:from>
    <xdr:to>
      <xdr:col>34</xdr:col>
      <xdr:colOff>142702</xdr:colOff>
      <xdr:row>100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53</xdr:row>
      <xdr:rowOff>67732</xdr:rowOff>
    </xdr:from>
    <xdr:to>
      <xdr:col>51</xdr:col>
      <xdr:colOff>8466</xdr:colOff>
      <xdr:row>63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24</xdr:row>
      <xdr:rowOff>61382</xdr:rowOff>
    </xdr:from>
    <xdr:to>
      <xdr:col>53</xdr:col>
      <xdr:colOff>357717</xdr:colOff>
      <xdr:row>39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34" zoomScale="80" zoomScaleNormal="80" workbookViewId="0">
      <selection activeCell="Q44" sqref="Q44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1.0267413669570689</v>
      </c>
      <c r="D2" s="262">
        <f>EXP((0-$Q$42)/$R$42)</f>
        <v>4.8134460522724005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4.8134460522724005</v>
      </c>
      <c r="M2" s="234">
        <f t="shared" ref="M2:M14" si="4">LN(L2)</f>
        <v>1.571413262584505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4.8134460522724005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0.13370683478534445</v>
      </c>
      <c r="AI2" s="228">
        <f t="shared" ref="AI2:AI14" si="17">AH2/$Q$24*$Q$32</f>
        <v>4.8134460522724005</v>
      </c>
      <c r="AJ2" s="229">
        <f>MAX(($Q$42+$R$42*LN($AI2)),IF($AI2&gt;$Q$43,($Q$44+$R$44*$AI2+$S$44*$AI2*$AI2),0))</f>
        <v>0</v>
      </c>
      <c r="AK2" s="229">
        <f t="shared" ref="AK2:AK14" si="18">MAX(($Q$42+$R$42*LN(AI2))/$Q$31,0)</f>
        <v>0</v>
      </c>
      <c r="AL2" s="229">
        <f t="shared" ref="AL2:AL14" si="19">($Q$45+$R$45*AK2*$Q$31)/$Q$31</f>
        <v>-16.395075747904372</v>
      </c>
      <c r="AM2" s="229">
        <f t="shared" ref="AM2:AM14" si="20">($Q$46+$R$46*AL2*$Q$31)/$Q$31</f>
        <v>0.21930083521088445</v>
      </c>
      <c r="AN2" s="1"/>
      <c r="AO2" s="1">
        <f t="shared" ref="AO2:AO14" si="21">MAX($Q$45+$R$45*AJ2,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2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3">($U3-$U$2)</f>
        <v>6.9509000000000007</v>
      </c>
      <c r="W3" s="234">
        <f t="shared" ref="W3:W14" si="24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5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ref="AJ3:AJ14" si="26">MAX(($Q$42+$R$42*LN($AI3)),IF($AI3&gt;$Q$43,($Q$44+$R$44*$AI3+$S$44*$AI3*$AI3),0))</f>
        <v>5416.8069931989485</v>
      </c>
      <c r="AK3" s="229">
        <f t="shared" si="18"/>
        <v>11.75522350954633</v>
      </c>
      <c r="AL3" s="229">
        <f t="shared" si="19"/>
        <v>-4.6070086904701961</v>
      </c>
      <c r="AM3" s="229">
        <f t="shared" si="20"/>
        <v>11.927486133638626</v>
      </c>
      <c r="AN3" s="1"/>
      <c r="AO3" s="1">
        <f t="shared" si="21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7.0815593570040385E-8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2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3"/>
        <v>7.7587400000000013</v>
      </c>
      <c r="W4" s="234">
        <f t="shared" si="24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5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26"/>
        <v>11383.661277356445</v>
      </c>
      <c r="AK4" s="229">
        <f t="shared" si="18"/>
        <v>24.704126035929782</v>
      </c>
      <c r="AL4" s="229">
        <f t="shared" si="19"/>
        <v>8.3780724674701101</v>
      </c>
      <c r="AM4" s="229">
        <f t="shared" si="20"/>
        <v>24.824573974380804</v>
      </c>
      <c r="AN4" s="2">
        <f t="shared" ref="AN4:AN14" si="32">AO4/$Q$31</f>
        <v>8.3780724674701155</v>
      </c>
      <c r="AO4" s="3">
        <f t="shared" si="21"/>
        <v>3860.615793010229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2.3307887774375972E-7</v>
      </c>
      <c r="AS4" s="228">
        <f t="shared" ref="AS4:AS14" si="34">$Q$36/AR4</f>
        <v>0.16057575816004357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2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3"/>
        <v>10.869629999999999</v>
      </c>
      <c r="W5" s="234">
        <f t="shared" si="24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5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26"/>
        <v>13453.832762038826</v>
      </c>
      <c r="AK5" s="229">
        <f t="shared" si="18"/>
        <v>29.196685681507869</v>
      </c>
      <c r="AL5" s="229">
        <f t="shared" si="19"/>
        <v>12.883184115801589</v>
      </c>
      <c r="AM5" s="229">
        <f t="shared" si="20"/>
        <v>29.299156763210917</v>
      </c>
      <c r="AN5" s="2">
        <f t="shared" si="32"/>
        <v>12.883184115801589</v>
      </c>
      <c r="AO5" s="3">
        <f t="shared" si="21"/>
        <v>5936.5712405613722</v>
      </c>
      <c r="AP5" s="227">
        <f t="shared" si="27"/>
        <v>5.0671890917926223E-4</v>
      </c>
      <c r="AQ5" s="227">
        <f t="shared" si="33"/>
        <v>1.298041024649759E-3</v>
      </c>
      <c r="AR5" s="231">
        <f t="shared" si="28"/>
        <v>2.8937534618597134E-7</v>
      </c>
      <c r="AS5" s="228">
        <f t="shared" si="34"/>
        <v>0.12933657962950107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2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3"/>
        <v>12.86312</v>
      </c>
      <c r="W6" s="234">
        <f t="shared" si="24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5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26"/>
        <v>15706.897450369433</v>
      </c>
      <c r="AK6" s="229">
        <f t="shared" si="18"/>
        <v>34.086148980836441</v>
      </c>
      <c r="AL6" s="229">
        <f t="shared" si="19"/>
        <v>17.786308348236783</v>
      </c>
      <c r="AM6" s="229">
        <f t="shared" si="20"/>
        <v>34.169055006482182</v>
      </c>
      <c r="AN6" s="2">
        <f t="shared" si="32"/>
        <v>17.786308348236794</v>
      </c>
      <c r="AO6" s="3">
        <f t="shared" si="21"/>
        <v>8195.9308868675143</v>
      </c>
      <c r="AP6" s="227">
        <f t="shared" si="27"/>
        <v>1.2277230170748017E-3</v>
      </c>
      <c r="AQ6" s="227">
        <f t="shared" si="33"/>
        <v>3.6716906943358857E-3</v>
      </c>
      <c r="AR6" s="231">
        <f t="shared" si="28"/>
        <v>3.5064543229399543E-7</v>
      </c>
      <c r="AS6" s="228">
        <f t="shared" si="34"/>
        <v>0.10673693154917858</v>
      </c>
      <c r="AT6" s="232">
        <f t="shared" ref="AT6:AT14" si="35">$Q$47*$Q$28*$Q$37^2*$Q$34*PI()/240*($AC6-$Q$49)/$Q$48*$Q$35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2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3"/>
        <v>18.081340000000004</v>
      </c>
      <c r="W7" s="234">
        <f t="shared" si="24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5"/>
        <v>3.0104447854798013</v>
      </c>
      <c r="AG7" s="151"/>
      <c r="AH7" s="228">
        <f t="shared" si="16"/>
        <v>0.75</v>
      </c>
      <c r="AI7" s="228">
        <f t="shared" si="17"/>
        <v>27</v>
      </c>
      <c r="AJ7" s="229">
        <f t="shared" si="26"/>
        <v>18386.515512237907</v>
      </c>
      <c r="AK7" s="233">
        <f t="shared" si="18"/>
        <v>39.901292344266288</v>
      </c>
      <c r="AL7" s="233">
        <f t="shared" si="19"/>
        <v>23.617698951829823</v>
      </c>
      <c r="AM7" s="233">
        <f t="shared" si="20"/>
        <v>39.960929229942749</v>
      </c>
      <c r="AN7" s="9">
        <f t="shared" si="32"/>
        <v>23.617698951829823</v>
      </c>
      <c r="AO7" s="10">
        <f t="shared" si="21"/>
        <v>10883.035677003183</v>
      </c>
      <c r="AP7" s="230">
        <f t="shared" si="27"/>
        <v>2.2649505002809295E-3</v>
      </c>
      <c r="AQ7" s="230">
        <f t="shared" si="33"/>
        <v>7.9292740875602282E-3</v>
      </c>
      <c r="AR7" s="232">
        <f t="shared" si="28"/>
        <v>4.2351525722074708E-7</v>
      </c>
      <c r="AS7" s="228">
        <f t="shared" si="34"/>
        <v>8.837182809045413E-2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2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3"/>
        <v>28.491699999999998</v>
      </c>
      <c r="W8" s="234">
        <f t="shared" si="24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5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26"/>
        <v>23097.51850331419</v>
      </c>
      <c r="AK8" s="229">
        <f t="shared" si="18"/>
        <v>50.124823140872806</v>
      </c>
      <c r="AL8" s="229">
        <f t="shared" si="19"/>
        <v>33.869793818105329</v>
      </c>
      <c r="AM8" s="229">
        <f t="shared" si="20"/>
        <v>50.143550842678991</v>
      </c>
      <c r="AN8" s="2">
        <f t="shared" si="32"/>
        <v>33.869793818105329</v>
      </c>
      <c r="AO8" s="3">
        <f t="shared" si="21"/>
        <v>15607.200991382935</v>
      </c>
      <c r="AP8" s="227">
        <f t="shared" si="27"/>
        <v>4.5618990385826617E-3</v>
      </c>
      <c r="AQ8" s="227">
        <f t="shared" si="33"/>
        <v>2.0062556636312689E-2</v>
      </c>
      <c r="AR8" s="231">
        <f t="shared" si="28"/>
        <v>5.5162678478291002E-7</v>
      </c>
      <c r="AS8" s="228">
        <f t="shared" si="34"/>
        <v>6.7848078696043493E-2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2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3"/>
        <v>49.327800000000003</v>
      </c>
      <c r="W9" s="234">
        <f t="shared" si="24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5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26"/>
        <v>28077.110314402489</v>
      </c>
      <c r="AK9" s="229">
        <f t="shared" si="18"/>
        <v>60.93122898090818</v>
      </c>
      <c r="AL9" s="229">
        <f t="shared" si="19"/>
        <v>44.706392253578343</v>
      </c>
      <c r="AM9" s="229">
        <f t="shared" si="20"/>
        <v>60.90671514001432</v>
      </c>
      <c r="AN9" s="2">
        <f t="shared" si="32"/>
        <v>44.706392253578336</v>
      </c>
      <c r="AO9" s="3">
        <f t="shared" si="21"/>
        <v>20600.705550448896</v>
      </c>
      <c r="AP9" s="227">
        <f t="shared" si="27"/>
        <v>7.6459323685304087E-3</v>
      </c>
      <c r="AQ9" s="227">
        <f t="shared" si="33"/>
        <v>4.0875035523170025E-2</v>
      </c>
      <c r="AR9" s="231">
        <f t="shared" si="28"/>
        <v>6.8704234591988427E-7</v>
      </c>
      <c r="AS9" s="228">
        <f t="shared" si="34"/>
        <v>5.447527030475157E-2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1.6870000000000001</v>
      </c>
      <c r="F10" s="73">
        <v>12.12</v>
      </c>
      <c r="G10" s="73">
        <v>4.6100000000000003</v>
      </c>
      <c r="H10" s="73">
        <v>2070</v>
      </c>
      <c r="I10" s="78">
        <v>2810</v>
      </c>
      <c r="J10" s="61"/>
      <c r="K10" s="2">
        <f t="shared" si="2"/>
        <v>55.873199999999997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483.09178743961354</v>
      </c>
      <c r="O10" s="3">
        <f t="shared" si="6"/>
        <v>355.87188612099646</v>
      </c>
      <c r="P10" s="3">
        <f t="shared" si="7"/>
        <v>28985.507246376812</v>
      </c>
      <c r="Q10" s="3">
        <f t="shared" si="22"/>
        <v>21352.313167259788</v>
      </c>
      <c r="R10" s="3">
        <f t="shared" si="8"/>
        <v>62.902576489533011</v>
      </c>
      <c r="S10" s="3">
        <f t="shared" si="9"/>
        <v>46.337485172004747</v>
      </c>
      <c r="T10" s="3">
        <f t="shared" ref="T10:T13" si="38">L10</f>
        <v>70</v>
      </c>
      <c r="U10" s="158">
        <f t="shared" ref="U10:U13" si="39">K10</f>
        <v>55.873199999999997</v>
      </c>
      <c r="V10" s="229">
        <f t="shared" si="23"/>
        <v>54.133699999999997</v>
      </c>
      <c r="W10" s="234">
        <f t="shared" si="24"/>
        <v>7.2594482641400004E-2</v>
      </c>
      <c r="X10" s="230">
        <f t="shared" si="29"/>
        <v>1.3153684687725832E-2</v>
      </c>
      <c r="Y10" s="230">
        <f t="shared" ref="Y10:Y13" si="40">X10-$X$3</f>
        <v>8.2091772511932812E-3</v>
      </c>
      <c r="Z10" s="228">
        <f t="shared" si="11"/>
        <v>1.1013210651331984</v>
      </c>
      <c r="AA10" s="229">
        <f t="shared" si="12"/>
        <v>11.336151631995348</v>
      </c>
      <c r="AB10" s="2">
        <f t="shared" si="31"/>
        <v>20.289068161471597</v>
      </c>
      <c r="AC10" s="158">
        <f t="shared" si="13"/>
        <v>20.586461098198111</v>
      </c>
      <c r="AD10" s="175">
        <f t="shared" ref="AD10:AD13" si="41">AC10*1/1.6/1000*3600</f>
        <v>46.319537470945747</v>
      </c>
      <c r="AE10" s="175">
        <f t="shared" si="15"/>
        <v>61.49024766812763</v>
      </c>
      <c r="AF10" s="165">
        <f t="shared" ref="AF10:AF13" si="42">AE10/AC10</f>
        <v>2.9869265715373361</v>
      </c>
      <c r="AG10" s="151"/>
      <c r="AH10" s="228">
        <f t="shared" si="16"/>
        <v>1.9444444444444444</v>
      </c>
      <c r="AI10" s="228">
        <f t="shared" si="17"/>
        <v>70</v>
      </c>
      <c r="AJ10" s="229">
        <f t="shared" si="26"/>
        <v>28544.151938854891</v>
      </c>
      <c r="AK10" s="229">
        <f t="shared" si="18"/>
        <v>61.944774172862175</v>
      </c>
      <c r="AL10" s="229">
        <f t="shared" si="19"/>
        <v>45.722769243670534</v>
      </c>
      <c r="AM10" s="229">
        <f t="shared" si="20"/>
        <v>61.916204658107354</v>
      </c>
      <c r="AN10" s="2">
        <f t="shared" si="32"/>
        <v>45.722769243670534</v>
      </c>
      <c r="AO10" s="3">
        <f t="shared" si="21"/>
        <v>21069.052067483382</v>
      </c>
      <c r="AP10" s="227">
        <f t="shared" si="27"/>
        <v>7.9697756384652096E-3</v>
      </c>
      <c r="AQ10" s="227">
        <f t="shared" ref="AQ10:AQ13" si="43">AJ10*AP10/5252</f>
        <v>4.3315020324245085E-2</v>
      </c>
      <c r="AR10" s="231">
        <f t="shared" si="28"/>
        <v>6.9974312663623059E-7</v>
      </c>
      <c r="AS10" s="228">
        <f t="shared" si="34"/>
        <v>5.3486509663499819E-2</v>
      </c>
      <c r="AT10" s="232">
        <f t="shared" si="35"/>
        <v>-3.6770058164675188E-7</v>
      </c>
      <c r="AU10" s="165">
        <f t="shared" si="36"/>
        <v>0.10178612537728342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2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79</v>
      </c>
      <c r="U11" s="158">
        <f t="shared" si="39"/>
        <v>62.608699999999999</v>
      </c>
      <c r="V11" s="229">
        <f t="shared" si="23"/>
        <v>60.869199999999999</v>
      </c>
      <c r="W11" s="234">
        <f t="shared" si="24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$M$42/($Q$28*$Q$37*$Q$34*($AC11-$Q$49)^2/4/$AF11)/(PI()*$Q$37/60/($AC11-$Q$49))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26"/>
        <v>29833.798544990212</v>
      </c>
      <c r="AK11" s="229">
        <f t="shared" si="18"/>
        <v>64.743486425760011</v>
      </c>
      <c r="AL11" s="229">
        <f t="shared" si="19"/>
        <v>48.529300968467624</v>
      </c>
      <c r="AM11" s="229">
        <f t="shared" si="20"/>
        <v>64.703717939100898</v>
      </c>
      <c r="AN11" s="2">
        <f t="shared" si="32"/>
        <v>48.529300968467616</v>
      </c>
      <c r="AO11" s="3">
        <f t="shared" si="21"/>
        <v>22362.301886269877</v>
      </c>
      <c r="AP11" s="227">
        <f t="shared" si="27"/>
        <v>8.8948114495660171E-3</v>
      </c>
      <c r="AQ11" s="227">
        <f t="shared" si="43"/>
        <v>5.052665896458966E-2</v>
      </c>
      <c r="AR11" s="231">
        <f t="shared" si="28"/>
        <v>7.3481391666551243E-7</v>
      </c>
      <c r="AS11" s="228">
        <f t="shared" si="34"/>
        <v>5.0933735270875427E-2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 t="shared" si="37"/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2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84</v>
      </c>
      <c r="U12" s="158">
        <f t="shared" si="39"/>
        <v>65.890500000000003</v>
      </c>
      <c r="V12" s="229">
        <f t="shared" si="23"/>
        <v>64.150999999999996</v>
      </c>
      <c r="W12" s="234">
        <f t="shared" si="24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26"/>
        <v>30488.139556258939</v>
      </c>
      <c r="AK12" s="229">
        <f t="shared" si="18"/>
        <v>66.163497300909157</v>
      </c>
      <c r="AL12" s="229">
        <f t="shared" si="19"/>
        <v>49.953279287973857</v>
      </c>
      <c r="AM12" s="229">
        <f t="shared" si="20"/>
        <v>66.1180466788758</v>
      </c>
      <c r="AN12" s="2">
        <f t="shared" si="32"/>
        <v>49.953279287973857</v>
      </c>
      <c r="AO12" s="3">
        <f t="shared" si="21"/>
        <v>23018.471095898352</v>
      </c>
      <c r="AP12" s="227">
        <f t="shared" si="27"/>
        <v>9.381452075044398E-3</v>
      </c>
      <c r="AQ12" s="227">
        <f t="shared" si="43"/>
        <v>5.4459828656570564E-2</v>
      </c>
      <c r="AR12" s="231">
        <f t="shared" si="28"/>
        <v>7.5260813727182439E-7</v>
      </c>
      <c r="AS12" s="228">
        <f t="shared" si="34"/>
        <v>4.9729488230710744E-2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 t="shared" si="37"/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2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121</v>
      </c>
      <c r="U13" s="158">
        <f t="shared" si="39"/>
        <v>87.217500000000001</v>
      </c>
      <c r="V13" s="229">
        <f t="shared" si="23"/>
        <v>85.477999999999994</v>
      </c>
      <c r="W13" s="234">
        <f t="shared" si="24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26"/>
        <v>34379.640138211798</v>
      </c>
      <c r="AK13" s="229">
        <f t="shared" si="18"/>
        <v>74.608594049938802</v>
      </c>
      <c r="AL13" s="229">
        <f t="shared" si="19"/>
        <v>58.421971244637696</v>
      </c>
      <c r="AM13" s="229">
        <f t="shared" si="20"/>
        <v>74.529350600106355</v>
      </c>
      <c r="AN13" s="2">
        <f t="shared" si="32"/>
        <v>58.421971244637696</v>
      </c>
      <c r="AO13" s="3">
        <f t="shared" si="21"/>
        <v>26920.844349529052</v>
      </c>
      <c r="AP13" s="227">
        <f t="shared" si="27"/>
        <v>1.2516137835372998E-2</v>
      </c>
      <c r="AQ13" s="227">
        <f t="shared" si="43"/>
        <v>8.1930752989409911E-2</v>
      </c>
      <c r="AR13" s="231">
        <f t="shared" si="28"/>
        <v>8.5843402721657435E-7</v>
      </c>
      <c r="AS13" s="228">
        <f t="shared" si="34"/>
        <v>4.3598944494489283E-2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2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3"/>
        <v>171.8253</v>
      </c>
      <c r="W14" s="234">
        <f t="shared" si="24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5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26"/>
        <v>38314.021547408571</v>
      </c>
      <c r="AK14" s="229">
        <f t="shared" si="18"/>
        <v>83.146748149758182</v>
      </c>
      <c r="AL14" s="229">
        <f t="shared" si="19"/>
        <v>66.983980550002386</v>
      </c>
      <c r="AM14" s="229">
        <f t="shared" si="20"/>
        <v>83.033339505637045</v>
      </c>
      <c r="AN14" s="2">
        <f t="shared" si="32"/>
        <v>66.983980550002386</v>
      </c>
      <c r="AO14" s="3">
        <f t="shared" si="21"/>
        <v>30866.218237441102</v>
      </c>
      <c r="AP14" s="227">
        <f t="shared" si="27"/>
        <v>1.6104018372725654E-2</v>
      </c>
      <c r="AQ14" s="227">
        <f t="shared" si="33"/>
        <v>0.11748090383329668</v>
      </c>
      <c r="AR14" s="231">
        <f t="shared" si="28"/>
        <v>9.6542602303978658E-7</v>
      </c>
      <c r="AS14" s="228">
        <f t="shared" si="34"/>
        <v>3.8767152129328832E-2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44">(I40*$Q$31*$R$46+$Q$46)/$Q$31</f>
        <v>84.309310072446905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44"/>
        <v>78.083132867103643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64.178003775170367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INDEX(LINEST($P$4:$P$13,$M$4:$M$13),2)</f>
        <v>-16755.056165635309</v>
      </c>
      <c r="R42" s="67">
        <f>INDEX(LINEST($P$4:$P$13,$M$4:$M$13),1)</f>
        <v>10662.412342172964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41.33386312413711</v>
      </c>
      <c r="K43" s="243">
        <v>0.28699999999999998</v>
      </c>
      <c r="L43" s="61"/>
      <c r="M43" s="250"/>
      <c r="P43" s="290" t="s">
        <v>304</v>
      </c>
      <c r="Q43" s="291">
        <v>120</v>
      </c>
      <c r="R43" s="213"/>
      <c r="S43" s="213"/>
      <c r="T43" s="216" t="s">
        <v>175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44"/>
        <v>32.394851565037136</v>
      </c>
      <c r="K44" s="243">
        <v>0.442</v>
      </c>
      <c r="L44" s="61"/>
      <c r="M44" s="250"/>
      <c r="P44" s="290" t="s">
        <v>303</v>
      </c>
      <c r="Q44" s="291">
        <v>-2000</v>
      </c>
      <c r="R44" s="291">
        <v>100</v>
      </c>
      <c r="S44" s="291">
        <v>0</v>
      </c>
      <c r="T44" s="216" t="s">
        <v>305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29.049931110664247</v>
      </c>
      <c r="K45" s="246">
        <v>0.5</v>
      </c>
      <c r="L45" s="255"/>
      <c r="M45" s="256"/>
      <c r="P45" s="65" t="s">
        <v>122</v>
      </c>
      <c r="Q45" s="205">
        <f>INDEX(LINEST($Q$4:$Q$14,$P$4:$P$14),2)</f>
        <v>-7554.8509046343352</v>
      </c>
      <c r="R45" s="69">
        <f>INDEX(LINEST($Q$4:$Q$14,$P$4:$P$14),1)</f>
        <v>1.0027939535017072</v>
      </c>
      <c r="S45" s="30"/>
      <c r="T45" s="31" t="s">
        <v>267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123</v>
      </c>
      <c r="Q46" s="205">
        <f>INDEX(LINEST($P$4:$P$14,$Q$4:$Q$14),2)</f>
        <v>7604.7093319544183</v>
      </c>
      <c r="R46" s="69">
        <f>INDEX(LINEST($P$4:$P$14,$Q$4:$Q$14),1)</f>
        <v>0.99322350656666325</v>
      </c>
      <c r="S46" s="30"/>
      <c r="T46" s="31" t="s">
        <v>267</v>
      </c>
      <c r="AI46" s="5"/>
      <c r="AJ46" s="5"/>
      <c r="AK46" s="151"/>
      <c r="AX46" s="164"/>
    </row>
    <row r="47" spans="1:50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65" t="s">
        <v>180</v>
      </c>
      <c r="Q47" s="206">
        <f>AG11</f>
        <v>-0.94179186274305016</v>
      </c>
      <c r="R47" s="30"/>
      <c r="S47" s="30"/>
      <c r="T47" s="31" t="s">
        <v>261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-9.253454029792222E-4</v>
      </c>
      <c r="K48" s="180">
        <f>INDEX(LINEST($Y$3:$Y$14,$P$3:$P$14^{1,2}),2)</f>
        <v>-7.6489644767238127E-8</v>
      </c>
      <c r="L48" s="180">
        <f>INDEX(LINEST($Y$3:$Y$14,$P$3:$P$14^{1,2}),1)</f>
        <v>1.3597054364520191E-11</v>
      </c>
      <c r="M48" s="44" t="s">
        <v>268</v>
      </c>
      <c r="N48" s="10"/>
      <c r="O48" s="10"/>
      <c r="P48" s="65" t="s">
        <v>182</v>
      </c>
      <c r="Q48" s="207">
        <f>AF11</f>
        <v>3.0303384816264241</v>
      </c>
      <c r="R48" s="30"/>
      <c r="S48" s="30"/>
      <c r="T48" s="31" t="s">
        <v>261</v>
      </c>
      <c r="U48" s="10"/>
      <c r="V48" s="3"/>
      <c r="W48" s="45"/>
      <c r="X48" s="61"/>
      <c r="Y48" s="45"/>
      <c r="AX48" s="164"/>
    </row>
    <row r="49" spans="1:45" ht="15" thickBot="1" x14ac:dyDescent="0.35">
      <c r="P49" s="218" t="s">
        <v>211</v>
      </c>
      <c r="Q49" s="219">
        <v>5</v>
      </c>
      <c r="R49" s="32"/>
      <c r="S49" s="32"/>
      <c r="T49" s="33" t="s">
        <v>263</v>
      </c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22" zoomScale="90" zoomScaleNormal="90" workbookViewId="0">
      <selection activeCell="I41" sqref="I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J41" sqref="J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9" zoomScale="90" zoomScaleNormal="90" workbookViewId="0">
      <selection activeCell="I39" sqref="I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10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2.5546875" bestFit="1" customWidth="1"/>
    <col min="39" max="39" width="9.6640625" customWidth="1"/>
    <col min="40" max="45" width="12.5546875" bestFit="1" customWidth="1"/>
    <col min="46" max="46" width="13.21875" bestFit="1" customWidth="1"/>
    <col min="47" max="48" width="12.5546875" bestFit="1" customWidth="1"/>
    <col min="49" max="49" width="10.33203125" customWidth="1"/>
    <col min="50" max="50" width="13.66406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21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21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21" si="4">P2/$Y$46*100</f>
        <v>0</v>
      </c>
      <c r="S2" s="3">
        <f t="shared" ref="S2:S21" si="5">Q2/$Y$46*100</f>
        <v>0</v>
      </c>
      <c r="T2" s="3">
        <f t="shared" ref="T2:T21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D2/$AF$33*$AF$28</f>
        <v>2.7777777777777779E-5</v>
      </c>
      <c r="AI2" s="95">
        <f t="shared" ref="AI2:AI10" si="8">AH2/$AF$28*$AF$33</f>
        <v>1E-3</v>
      </c>
      <c r="AJ2" s="96">
        <f t="shared" ref="AJ2:AJ21" si="9">MAX(($AF$36+$AG$36*LN($AI2)),0)</f>
        <v>0</v>
      </c>
      <c r="AK2" s="96">
        <f>MAX(($AF$36+$AG$36*LN($AI2))/$AF$32,0)</f>
        <v>0</v>
      </c>
      <c r="AL2" s="96">
        <f t="shared" ref="AL2:AL21" si="10">($AF$37+$AG$37*AK2*$AF$32)/$AF$32</f>
        <v>-25.822382090641312</v>
      </c>
      <c r="AM2" s="96">
        <f t="shared" ref="AM2:AM21" si="11">($AF$38+$AG$38*AL2*$AF$32)/$AF$32</f>
        <v>1.4110595678771649</v>
      </c>
      <c r="AO2">
        <f t="shared" ref="AO2:AO21" si="12">MAX($AF$37+$AG$37*AJ2,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1.0372042147095519</v>
      </c>
      <c r="D3" s="111">
        <f>EXP((0-$AF$36)/$AG$36)</f>
        <v>6.6967586477193306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6.6967586477193306</v>
      </c>
      <c r="M3" s="1">
        <f t="shared" si="3"/>
        <v>1.9016236254132342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21" si="15">N3*60/$Y$35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6.6967586477193306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9" si="16">$AF$50*(P3/$AF$32/100)^3</f>
        <v>9.76843480821773E-87</v>
      </c>
      <c r="AA3" s="127">
        <f>SQRT(Z3^3/4/$Y$48/$Y$49)</f>
        <v>9.469612348787209E-129</v>
      </c>
      <c r="AC3">
        <f t="shared" ref="AC3:AC21" si="17">SQRT(Z3/$AF$42/$AF$43)</f>
        <v>1.9388187636407961E-42</v>
      </c>
      <c r="AD3" s="4">
        <f t="shared" ref="AD3:AD19" si="18">AC3*1/1.6/1000*3600</f>
        <v>4.3623422181917907E-42</v>
      </c>
      <c r="AE3" s="4">
        <f t="shared" ref="AE3:AE21" si="19">Q3/60*PI()*$AB$49/1000</f>
        <v>0</v>
      </c>
      <c r="AF3" s="158">
        <f>AE3/AC3</f>
        <v>0</v>
      </c>
      <c r="AH3" s="95">
        <f t="shared" si="7"/>
        <v>0.18602107354775915</v>
      </c>
      <c r="AI3" s="95">
        <f t="shared" si="8"/>
        <v>6.6967586477193297</v>
      </c>
      <c r="AJ3" s="96">
        <f t="shared" si="9"/>
        <v>0</v>
      </c>
      <c r="AK3" s="96">
        <f t="shared" ref="AK3:AK21" si="20">MAX(($AF$36+$AG$36*LN(AI3))/$AF$32,0)</f>
        <v>0</v>
      </c>
      <c r="AL3" s="96">
        <f t="shared" si="10"/>
        <v>-25.822382090641312</v>
      </c>
      <c r="AM3" s="96">
        <f t="shared" si="11"/>
        <v>1.4110595678771649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21" si="21">O4*60/$Y$35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21" si="22">($U4-$U$3)</f>
        <v>3.2163599999999999</v>
      </c>
      <c r="W4">
        <f t="shared" ref="W4:W21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5" si="24">SQRT(Z4^3/4/$Y$48/$Y$49)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21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3954.7032591946263</v>
      </c>
      <c r="AK4" s="96">
        <f t="shared" si="20"/>
        <v>8.5822553367938941</v>
      </c>
      <c r="AL4" s="96">
        <f t="shared" si="10"/>
        <v>-16.141172295598079</v>
      </c>
      <c r="AM4" s="96">
        <f t="shared" si="11"/>
        <v>9.8358971616271678</v>
      </c>
      <c r="AO4">
        <f t="shared" si="12"/>
        <v>0</v>
      </c>
      <c r="AP4" s="127">
        <f t="shared" ref="AP4:AP21" si="26">MAX($AF$39+$AJ4*($AG$39+$AJ4*$AH$39), 0)</f>
        <v>0</v>
      </c>
      <c r="AQ4" s="127">
        <f>AJ4*AP4/5252</f>
        <v>0</v>
      </c>
      <c r="AR4" s="146">
        <f t="shared" ref="AR4:AR21" si="27">MAX($AG$39+$AH$39*2*AJ4,1E-32)</f>
        <v>5.6952410220466514E-8</v>
      </c>
      <c r="AS4" s="95"/>
      <c r="AT4" s="127"/>
      <c r="AV4" s="95"/>
      <c r="AX4" s="128">
        <f t="shared" ref="AX4:AX21" si="28">$Y$39/$Y$38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21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21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5364.2710293653727</v>
      </c>
      <c r="AK5" s="96">
        <f t="shared" si="20"/>
        <v>11.641213171365825</v>
      </c>
      <c r="AL5" s="96">
        <f t="shared" si="10"/>
        <v>-12.690516099933642</v>
      </c>
      <c r="AM5" s="96">
        <f t="shared" si="11"/>
        <v>12.838746873160588</v>
      </c>
      <c r="AO5">
        <f t="shared" si="12"/>
        <v>0</v>
      </c>
      <c r="AP5" s="127">
        <f t="shared" si="26"/>
        <v>0</v>
      </c>
      <c r="AQ5" s="127">
        <f t="shared" ref="AQ5:AQ21" si="31">AJ5*AP5/5252</f>
        <v>0</v>
      </c>
      <c r="AR5" s="146">
        <f t="shared" si="27"/>
        <v>9.8248420756048184E-8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21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6639.3801799096145</v>
      </c>
      <c r="AK6" s="96">
        <f t="shared" si="20"/>
        <v>14.408377126539962</v>
      </c>
      <c r="AL6" s="96">
        <f t="shared" si="10"/>
        <v>-9.5690178764456562</v>
      </c>
      <c r="AM6" s="96">
        <f t="shared" si="11"/>
        <v>15.555154857163789</v>
      </c>
      <c r="AO6">
        <f t="shared" si="12"/>
        <v>0</v>
      </c>
      <c r="AP6" s="127">
        <f t="shared" si="26"/>
        <v>0</v>
      </c>
      <c r="AQ6" s="127">
        <f t="shared" si="31"/>
        <v>0</v>
      </c>
      <c r="AR6" s="146">
        <f t="shared" si="27"/>
        <v>1.356052063106108E-7</v>
      </c>
      <c r="AS6" s="95">
        <f>$Y$42/AR6</f>
        <v>0.27599838179566827</v>
      </c>
      <c r="AT6" s="127"/>
      <c r="AV6" s="95"/>
      <c r="AX6" s="127">
        <f t="shared" si="28"/>
        <v>1.0526315789473683E-4</v>
      </c>
      <c r="AY6" s="96">
        <f t="shared" ref="AY6:AY21" si="33">$Y$41/$Y$38/$Y$36/AR6</f>
        <v>536.21343086114734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7803.4636306880639</v>
      </c>
      <c r="AK7" s="96">
        <f t="shared" si="20"/>
        <v>16.934599892986249</v>
      </c>
      <c r="AL7" s="96">
        <f t="shared" si="10"/>
        <v>-6.7193132672004277</v>
      </c>
      <c r="AM7" s="96">
        <f t="shared" si="11"/>
        <v>18.035041052311019</v>
      </c>
      <c r="AO7">
        <f t="shared" si="12"/>
        <v>0</v>
      </c>
      <c r="AP7" s="127">
        <f t="shared" si="26"/>
        <v>1.1430672678827409E-4</v>
      </c>
      <c r="AQ7" s="127">
        <f t="shared" si="31"/>
        <v>1.6983784943550912E-4</v>
      </c>
      <c r="AR7" s="146">
        <f t="shared" si="27"/>
        <v>1.6970927953429126E-7</v>
      </c>
      <c r="AS7" s="95">
        <f>$Y$42/AR7</f>
        <v>0.22053489124166545</v>
      </c>
      <c r="AT7" s="127"/>
      <c r="AV7" s="95"/>
      <c r="AX7" s="127">
        <f t="shared" si="28"/>
        <v>1.0526315789473683E-4</v>
      </c>
      <c r="AY7" s="96">
        <f t="shared" si="33"/>
        <v>428.45820286305531</v>
      </c>
    </row>
    <row r="8" spans="2:51" ht="15" customHeight="1" x14ac:dyDescent="0.3">
      <c r="B8">
        <v>28</v>
      </c>
      <c r="C8" s="113">
        <f t="shared" ref="C8:C32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21" si="35">LN(L8)</f>
        <v>3.2188758248682006</v>
      </c>
      <c r="N8" s="3">
        <f t="shared" ref="N8:O21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17622.884948364663</v>
      </c>
      <c r="AK8" s="96">
        <f t="shared" si="20"/>
        <v>38.244107960860809</v>
      </c>
      <c r="AL8" s="96">
        <f t="shared" si="10"/>
        <v>17.318869021527533</v>
      </c>
      <c r="AM8" s="96">
        <f t="shared" si="11"/>
        <v>38.953685118384207</v>
      </c>
      <c r="AN8" s="97">
        <f t="shared" ref="AN8:AN21" si="37">AO8/$AF$32</f>
        <v>17.318869021527533</v>
      </c>
      <c r="AO8" s="174">
        <f t="shared" si="12"/>
        <v>7980.5348451198879</v>
      </c>
      <c r="AP8" s="127">
        <f t="shared" si="26"/>
        <v>3.1931738774250997E-3</v>
      </c>
      <c r="AQ8" s="127">
        <f t="shared" si="31"/>
        <v>1.0714572707918131E-2</v>
      </c>
      <c r="AR8" s="146">
        <f t="shared" si="27"/>
        <v>4.5738819414154551E-7</v>
      </c>
      <c r="AS8" s="95">
        <f>$Y$42/AR8</f>
        <v>8.1827248678863027E-2</v>
      </c>
      <c r="AT8" s="127"/>
      <c r="AU8" s="153">
        <f t="shared" ref="AU8:AU21" si="38">$AF$44*$AF$43*$AF$48^2*$AF$42*PI()/240*($AC8-$AF$49)/$AF$45*$AF$46</f>
        <v>-1.4564894617292225E-7</v>
      </c>
      <c r="AV8" s="151">
        <f t="shared" ref="AV8:AV21" si="39">-$AF$47/AU8</f>
        <v>0.25696593410542906</v>
      </c>
      <c r="AX8" s="127">
        <f t="shared" si="28"/>
        <v>1.0526315789473683E-4</v>
      </c>
      <c r="AY8" s="96">
        <f t="shared" si="33"/>
        <v>158.97509784859929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21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22124.385508961968</v>
      </c>
      <c r="AK9" s="96">
        <f t="shared" si="20"/>
        <v>48.012989385768158</v>
      </c>
      <c r="AL9" s="96">
        <f t="shared" si="10"/>
        <v>28.338651913789924</v>
      </c>
      <c r="AM9" s="96">
        <f t="shared" si="11"/>
        <v>48.543383425844624</v>
      </c>
      <c r="AN9" s="97">
        <f t="shared" si="37"/>
        <v>28.338651913789924</v>
      </c>
      <c r="AO9" s="174">
        <f t="shared" si="12"/>
        <v>13058.450801874398</v>
      </c>
      <c r="AP9" s="127">
        <f t="shared" si="26"/>
        <v>5.5489363833017514E-3</v>
      </c>
      <c r="AQ9" s="127">
        <f t="shared" si="31"/>
        <v>2.3375248992550095E-2</v>
      </c>
      <c r="AR9" s="146">
        <f t="shared" si="27"/>
        <v>5.8926834812224779E-7</v>
      </c>
      <c r="AS9" s="95">
        <f t="shared" ref="AS9:AS21" si="41">$Y$42/AR9</f>
        <v>6.3514046909290078E-2</v>
      </c>
      <c r="AT9" s="127"/>
      <c r="AU9" s="153">
        <f t="shared" si="38"/>
        <v>-2.9735143385783024E-7</v>
      </c>
      <c r="AV9" s="151">
        <f t="shared" si="39"/>
        <v>0.12586728444259276</v>
      </c>
      <c r="AX9" s="127">
        <f t="shared" si="28"/>
        <v>1.0526315789473683E-4</v>
      </c>
      <c r="AY9" s="96">
        <f t="shared" si="33"/>
        <v>123.39595898906393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27925.793225424321</v>
      </c>
      <c r="AK10" s="96">
        <f t="shared" si="20"/>
        <v>60.602849881563195</v>
      </c>
      <c r="AL10" s="96">
        <f t="shared" si="10"/>
        <v>42.540639149892343</v>
      </c>
      <c r="AM10" s="96">
        <f t="shared" si="11"/>
        <v>60.902317743530169</v>
      </c>
      <c r="AN10" s="97">
        <f t="shared" si="37"/>
        <v>42.540639149892343</v>
      </c>
      <c r="AO10" s="174">
        <f t="shared" si="12"/>
        <v>19602.726520270393</v>
      </c>
      <c r="AP10" s="127">
        <f t="shared" si="26"/>
        <v>9.460535945837097E-3</v>
      </c>
      <c r="AQ10" s="127">
        <f t="shared" si="31"/>
        <v>5.0303307430529486E-2</v>
      </c>
      <c r="AR10" s="146">
        <f t="shared" si="27"/>
        <v>7.5923179312298971E-7</v>
      </c>
      <c r="AS10" s="95">
        <f t="shared" si="41"/>
        <v>4.9295640466854723E-2</v>
      </c>
      <c r="AT10" s="127"/>
      <c r="AU10" s="153">
        <f t="shared" si="38"/>
        <v>-5.3072091822691825E-7</v>
      </c>
      <c r="AV10" s="151">
        <f t="shared" si="39"/>
        <v>7.0520712900926E-2</v>
      </c>
      <c r="AX10" s="127">
        <f t="shared" si="28"/>
        <v>1.0526315789473683E-4</v>
      </c>
      <c r="AY10" s="96">
        <f t="shared" si="33"/>
        <v>95.772244493806824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31436.143715485603</v>
      </c>
      <c r="AK11" s="152">
        <f t="shared" si="20"/>
        <v>68.220797993675347</v>
      </c>
      <c r="AL11" s="152">
        <f t="shared" si="10"/>
        <v>51.134062555151083</v>
      </c>
      <c r="AM11" s="152">
        <f t="shared" si="11"/>
        <v>68.380535662193893</v>
      </c>
      <c r="AN11" s="173">
        <f t="shared" si="37"/>
        <v>51.134062555151083</v>
      </c>
      <c r="AO11" s="8">
        <f t="shared" si="12"/>
        <v>23562.576025413618</v>
      </c>
      <c r="AP11" s="150">
        <f t="shared" si="26"/>
        <v>1.2306212249817698E-2</v>
      </c>
      <c r="AQ11" s="150">
        <f t="shared" si="31"/>
        <v>7.3659531012669185E-2</v>
      </c>
      <c r="AR11" s="153">
        <f t="shared" si="27"/>
        <v>8.620742912907756E-7</v>
      </c>
      <c r="AS11" s="151">
        <f t="shared" si="41"/>
        <v>4.341484009314036E-2</v>
      </c>
      <c r="AT11" s="150"/>
      <c r="AU11" s="153">
        <f t="shared" si="38"/>
        <v>-6.1203803911399248E-7</v>
      </c>
      <c r="AV11" s="151">
        <f t="shared" si="39"/>
        <v>6.1151129689547869E-2</v>
      </c>
      <c r="AX11" s="150">
        <f t="shared" si="28"/>
        <v>1.0526315789473683E-4</v>
      </c>
      <c r="AY11" s="152">
        <f t="shared" si="33"/>
        <v>84.346945098633384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 t="shared" ref="AH12:AH21" si="42">D12/$AF$33*$AF$28</f>
        <v>2.4722222222222223</v>
      </c>
      <c r="AI12" s="95">
        <f t="shared" ref="AI12:AI21" si="43">AH12/$AF$28*$AF$33</f>
        <v>89</v>
      </c>
      <c r="AJ12" s="96">
        <f t="shared" si="9"/>
        <v>34610.401844042484</v>
      </c>
      <c r="AK12" s="96">
        <f t="shared" si="20"/>
        <v>75.109379001828302</v>
      </c>
      <c r="AL12" s="96">
        <f t="shared" si="10"/>
        <v>58.904723682438473</v>
      </c>
      <c r="AM12" s="96">
        <f t="shared" si="11"/>
        <v>75.142764699620741</v>
      </c>
      <c r="AN12" s="97">
        <f t="shared" si="37"/>
        <v>58.904723682438487</v>
      </c>
      <c r="AO12" s="174">
        <f t="shared" si="12"/>
        <v>27143.296672867655</v>
      </c>
      <c r="AP12" s="127">
        <f t="shared" si="26"/>
        <v>1.5190255267721064E-2</v>
      </c>
      <c r="AQ12" s="127">
        <f t="shared" si="31"/>
        <v>0.10010297770933152</v>
      </c>
      <c r="AR12" s="146">
        <f t="shared" si="27"/>
        <v>9.5507031453530668E-7</v>
      </c>
      <c r="AS12" s="95">
        <f t="shared" si="41"/>
        <v>3.9187499532960038E-2</v>
      </c>
      <c r="AT12" s="127"/>
      <c r="AU12" s="153">
        <f t="shared" si="38"/>
        <v>-8.1159496285369976E-7</v>
      </c>
      <c r="AV12" s="151">
        <f t="shared" si="39"/>
        <v>4.6115142673135323E-2</v>
      </c>
      <c r="AX12" s="127">
        <f t="shared" si="28"/>
        <v>1.0526315789473683E-4</v>
      </c>
      <c r="AY12" s="96">
        <f t="shared" si="33"/>
        <v>76.134010042836792</v>
      </c>
    </row>
    <row r="13" spans="2:51" ht="13.95" customHeight="1" x14ac:dyDescent="0.3">
      <c r="C13" s="113">
        <f t="shared" ref="C13" si="44">D13/180+1</f>
        <v>1.5611111111111111</v>
      </c>
      <c r="D13" s="73">
        <v>101</v>
      </c>
      <c r="E13" s="73">
        <v>1.94</v>
      </c>
      <c r="F13" s="73">
        <v>12.64</v>
      </c>
      <c r="G13" s="73">
        <v>7.58</v>
      </c>
      <c r="H13" s="73">
        <v>1720</v>
      </c>
      <c r="I13" s="73">
        <v>2060</v>
      </c>
      <c r="J13" s="78"/>
      <c r="K13" s="2">
        <f t="shared" ref="K13" si="45">F13*G13</f>
        <v>95.811199999999999</v>
      </c>
      <c r="L13" s="1">
        <f t="shared" ref="L13" si="46">D13</f>
        <v>101</v>
      </c>
      <c r="M13" s="1">
        <f t="shared" ref="M13" si="47">LN(L13)</f>
        <v>4.6151205168412597</v>
      </c>
      <c r="N13" s="3">
        <f t="shared" ref="N13" si="48">1/H13/0.000001</f>
        <v>581.39534883720933</v>
      </c>
      <c r="O13" s="3">
        <f t="shared" ref="O13" si="49">1/I13/0.000001</f>
        <v>485.43689320388347</v>
      </c>
      <c r="P13" s="3">
        <f t="shared" ref="P13" si="50">N13*60/$Y$35</f>
        <v>34883.720930232557</v>
      </c>
      <c r="Q13" s="3">
        <f t="shared" ref="Q13" si="51">O13*60/$Y$35</f>
        <v>29126.213592233009</v>
      </c>
      <c r="R13" s="3">
        <f t="shared" ref="R13" si="52">P13/$Y$46*100</f>
        <v>75.702519379844958</v>
      </c>
      <c r="S13" s="3">
        <f t="shared" ref="S13" si="53">Q13/$Y$46*100</f>
        <v>63.207928802588995</v>
      </c>
      <c r="T13" s="3">
        <f t="shared" ref="T13" si="54">L13</f>
        <v>101</v>
      </c>
      <c r="U13" s="158">
        <f t="shared" ref="U13" si="55">K13</f>
        <v>95.811199999999999</v>
      </c>
      <c r="V13" s="96">
        <f t="shared" si="22"/>
        <v>91.361159999999998</v>
      </c>
      <c r="W13">
        <f t="shared" si="23"/>
        <v>0.12251732550552001</v>
      </c>
      <c r="X13" s="150">
        <f t="shared" si="32"/>
        <v>1.8445881815243079E-2</v>
      </c>
      <c r="Y13" s="150">
        <f t="shared" ref="Y13" si="56">X13-$X$4</f>
        <v>1.5470790914891007E-2</v>
      </c>
      <c r="Z13" s="95">
        <f t="shared" ref="Z13" si="57">$AF$50*(P13/$AF$32/100)^3</f>
        <v>1.9197277457129815</v>
      </c>
      <c r="AA13" s="147">
        <f t="shared" ref="AA13" si="58">SQRT(Z13^3/4/$Y$48/$Y$49)</f>
        <v>26.088805192246401</v>
      </c>
      <c r="AB13" s="97">
        <f t="shared" ref="AB13" si="59">AA13/V13*100</f>
        <v>28.555685142621218</v>
      </c>
      <c r="AC13">
        <f t="shared" ref="AC13" si="60">SQRT(Z13/$AF$42/$AF$43)</f>
        <v>27.179692798112988</v>
      </c>
      <c r="AD13" s="175">
        <f t="shared" ref="AD13" si="61">AC13*1/1.6/1000*3600</f>
        <v>61.154308795754218</v>
      </c>
      <c r="AE13" s="175">
        <f t="shared" ref="AE13" si="62">Q13/60*PI()*$AB$49/1000</f>
        <v>83.877473760892542</v>
      </c>
      <c r="AF13" s="158">
        <f t="shared" ref="AF13" si="63">AE13/AC13</f>
        <v>3.0860346503517482</v>
      </c>
      <c r="AG13" s="151"/>
      <c r="AH13" s="95">
        <f t="shared" si="42"/>
        <v>2.8055555555555554</v>
      </c>
      <c r="AI13" s="95">
        <f t="shared" si="43"/>
        <v>101</v>
      </c>
      <c r="AJ13" s="96">
        <f t="shared" si="9"/>
        <v>36302.572540905501</v>
      </c>
      <c r="AK13" s="96">
        <f t="shared" ref="AK13" si="64">MAX(($AF$36+$AG$36*LN(AI13))/$AF$32,0)</f>
        <v>78.781624437728951</v>
      </c>
      <c r="AL13" s="96">
        <f t="shared" ref="AL13" si="65">($AF$37+$AG$37*AK13*$AF$32)/$AF$32</f>
        <v>63.047198718275091</v>
      </c>
      <c r="AM13" s="96">
        <f t="shared" ref="AM13" si="66">($AF$38+$AG$38*AL13*$AF$32)/$AF$32</f>
        <v>78.74765294726059</v>
      </c>
      <c r="AN13" s="97">
        <f t="shared" ref="AN13" si="67">AO13/$AF$32</f>
        <v>63.047198718275091</v>
      </c>
      <c r="AO13" s="174">
        <f t="shared" ref="AO13" si="68">MAX($AF$37+$AG$37*AJ13, 0)</f>
        <v>29052.149169381162</v>
      </c>
      <c r="AP13" s="127">
        <f t="shared" si="26"/>
        <v>1.6848342294742639E-2</v>
      </c>
      <c r="AQ13" s="127">
        <f t="shared" ref="AQ13" si="69">AJ13*AP13/5252</f>
        <v>0.11645814324998113</v>
      </c>
      <c r="AR13" s="146">
        <f t="shared" ref="AR13" si="70">MAX($AG$39+$AH$39*2*AJ13,1E-32)</f>
        <v>1.0046457236816104E-6</v>
      </c>
      <c r="AS13" s="95">
        <f t="shared" ref="AS13" si="71">$Y$42/AR13</f>
        <v>3.7253746890637769E-2</v>
      </c>
      <c r="AT13" s="127"/>
      <c r="AU13" s="153">
        <f t="shared" si="38"/>
        <v>-8.6034774247073656E-7</v>
      </c>
      <c r="AV13" s="151">
        <f t="shared" ref="AV13" si="72">-$AF$47/AU13</f>
        <v>4.3501965144133965E-2</v>
      </c>
      <c r="AX13" s="127">
        <f t="shared" si="28"/>
        <v>1.0526315789473683E-4</v>
      </c>
      <c r="AY13" s="96">
        <f t="shared" ref="AY13" si="73">$Y$41/$Y$38/$Y$36/AR13</f>
        <v>72.377088962248393</v>
      </c>
    </row>
    <row r="14" spans="2:51" ht="13.95" customHeight="1" x14ac:dyDescent="0.3">
      <c r="C14" s="113">
        <f t="shared" ref="C14" si="74">D14/180+1</f>
        <v>1.6333333333333333</v>
      </c>
      <c r="D14" s="73">
        <v>114</v>
      </c>
      <c r="E14" s="73">
        <v>2.06</v>
      </c>
      <c r="F14" s="73">
        <v>12.85</v>
      </c>
      <c r="G14" s="73">
        <v>8.9700000000000006</v>
      </c>
      <c r="H14" s="73">
        <v>1650</v>
      </c>
      <c r="I14" s="73">
        <v>1950</v>
      </c>
      <c r="J14" s="78"/>
      <c r="K14" s="2">
        <f t="shared" ref="K14" si="75">F14*G14</f>
        <v>115.2645</v>
      </c>
      <c r="L14" s="1">
        <f t="shared" ref="L14" si="76">D14</f>
        <v>114</v>
      </c>
      <c r="M14" s="1">
        <f t="shared" ref="M14" si="77">LN(L14)</f>
        <v>4.7361984483944957</v>
      </c>
      <c r="N14" s="3">
        <f t="shared" ref="N14" si="78">1/H14/0.000001</f>
        <v>606.06060606060612</v>
      </c>
      <c r="O14" s="3">
        <f t="shared" ref="O14" si="79">1/I14/0.000001</f>
        <v>512.82051282051282</v>
      </c>
      <c r="P14" s="3">
        <f t="shared" ref="P14" si="80">N14*60/$Y$35</f>
        <v>36363.636363636368</v>
      </c>
      <c r="Q14" s="3">
        <f t="shared" ref="Q14" si="81">O14*60/$Y$35</f>
        <v>30769.23076923077</v>
      </c>
      <c r="R14" s="3">
        <f t="shared" ref="R14" si="82">P14/$Y$46*100</f>
        <v>78.914141414141426</v>
      </c>
      <c r="S14" s="3">
        <f t="shared" ref="S14" si="83">Q14/$Y$46*100</f>
        <v>66.773504273504273</v>
      </c>
      <c r="T14" s="3">
        <f t="shared" ref="T14" si="84">L14</f>
        <v>114</v>
      </c>
      <c r="U14" s="158">
        <f t="shared" ref="U14" si="85">K14</f>
        <v>115.2645</v>
      </c>
      <c r="V14" s="96">
        <f t="shared" si="22"/>
        <v>110.81446</v>
      </c>
      <c r="W14">
        <f t="shared" si="23"/>
        <v>0.14860462877812</v>
      </c>
      <c r="X14" s="150">
        <f t="shared" si="32"/>
        <v>2.146296653442387E-2</v>
      </c>
      <c r="Y14" s="150">
        <f t="shared" ref="Y14" si="86">X14-$X$4</f>
        <v>1.8487875634071796E-2</v>
      </c>
      <c r="Z14" s="95">
        <f t="shared" ref="Z14" si="87">$AF$50*(P14/$AF$32/100)^3</f>
        <v>2.174568786090711</v>
      </c>
      <c r="AA14" s="147">
        <f t="shared" ref="AA14" si="88">SQRT(Z14^3/4/$Y$48/$Y$49)</f>
        <v>31.452447925513269</v>
      </c>
      <c r="AB14" s="97">
        <f t="shared" ref="AB14" si="89">AA14/V14*100</f>
        <v>28.382981720538343</v>
      </c>
      <c r="AC14">
        <f t="shared" ref="AC14" si="90">SQRT(Z14/$AF$42/$AF$43)</f>
        <v>28.927526346091174</v>
      </c>
      <c r="AD14" s="175">
        <f t="shared" ref="AD14" si="91">AC14*1/1.6/1000*3600</f>
        <v>65.086934278705144</v>
      </c>
      <c r="AE14" s="175">
        <f t="shared" ref="AE14" si="92">Q14/60*PI()*$AB$49/1000</f>
        <v>88.609023562789034</v>
      </c>
      <c r="AF14" s="158">
        <f t="shared" ref="AF14" si="93">AE14/AC14</f>
        <v>3.0631386348996381</v>
      </c>
      <c r="AG14" s="151"/>
      <c r="AH14" s="95">
        <f t="shared" si="42"/>
        <v>3.1666666666666665</v>
      </c>
      <c r="AI14" s="95">
        <f t="shared" si="43"/>
        <v>114</v>
      </c>
      <c r="AJ14" s="96">
        <f t="shared" si="9"/>
        <v>37922.416074612651</v>
      </c>
      <c r="AK14" s="96">
        <f t="shared" ref="AK14" si="94">MAX(($AF$36+$AG$36*LN(AI14))/$AF$32,0)</f>
        <v>82.296909884142039</v>
      </c>
      <c r="AL14" s="96">
        <f t="shared" ref="AL14" si="95">($AF$37+$AG$37*AK14*$AF$32)/$AF$32</f>
        <v>67.012615099011768</v>
      </c>
      <c r="AM14" s="96">
        <f t="shared" ref="AM14" si="96">($AF$38+$AG$38*AL14*$AF$32)/$AF$32</f>
        <v>82.198460202404178</v>
      </c>
      <c r="AN14" s="97">
        <f t="shared" ref="AN14" si="97">AO14/$AF$32</f>
        <v>67.012615099011754</v>
      </c>
      <c r="AO14" s="174">
        <f t="shared" ref="AO14" si="98">MAX($AF$37+$AG$37*AJ14, 0)</f>
        <v>30879.413037624618</v>
      </c>
      <c r="AP14" s="127">
        <f t="shared" si="26"/>
        <v>1.8514147181855886E-2</v>
      </c>
      <c r="AQ14" s="127">
        <f t="shared" ref="AQ14" si="99">AJ14*AP14/5252</f>
        <v>0.13368263379606934</v>
      </c>
      <c r="AR14" s="146">
        <f t="shared" ref="AR14" si="100">MAX($AG$39+$AH$39*2*AJ14,1E-32)</f>
        <v>1.0521021688767649E-6</v>
      </c>
      <c r="AS14" s="95">
        <f t="shared" ref="AS14" si="101">$Y$42/AR14</f>
        <v>3.5573367883799327E-2</v>
      </c>
      <c r="AT14" s="127"/>
      <c r="AU14" s="153">
        <f t="shared" si="38"/>
        <v>-9.3486545997326785E-7</v>
      </c>
      <c r="AV14" s="151">
        <f t="shared" ref="AV14" si="102">-$AF$47/AU14</f>
        <v>4.0034442502417979E-2</v>
      </c>
      <c r="AX14" s="127">
        <f t="shared" si="28"/>
        <v>1.0526315789473683E-4</v>
      </c>
      <c r="AY14" s="96">
        <f t="shared" ref="AY14" si="103">$Y$41/$Y$38/$Y$36/AR14</f>
        <v>69.112425645957771</v>
      </c>
    </row>
    <row r="15" spans="2:51" ht="13.95" customHeight="1" x14ac:dyDescent="0.3">
      <c r="C15" s="113">
        <f t="shared" si="34"/>
        <v>1.6944444444444444</v>
      </c>
      <c r="D15" s="73">
        <v>125</v>
      </c>
      <c r="E15" s="73">
        <v>2.1800000000000002</v>
      </c>
      <c r="F15" s="73">
        <v>12.98</v>
      </c>
      <c r="G15" s="73">
        <v>9.9700000000000006</v>
      </c>
      <c r="H15" s="73">
        <v>1540</v>
      </c>
      <c r="I15" s="73">
        <v>1830</v>
      </c>
      <c r="J15" s="78">
        <v>14</v>
      </c>
      <c r="K15" s="2">
        <f t="shared" si="40"/>
        <v>129.41060000000002</v>
      </c>
      <c r="L15" s="1">
        <f t="shared" si="2"/>
        <v>125</v>
      </c>
      <c r="M15" s="1">
        <f t="shared" si="35"/>
        <v>4.8283137373023015</v>
      </c>
      <c r="N15" s="3">
        <f t="shared" si="36"/>
        <v>649.35064935064941</v>
      </c>
      <c r="O15" s="3">
        <f t="shared" si="36"/>
        <v>546.44808743169403</v>
      </c>
      <c r="P15" s="3">
        <f t="shared" si="15"/>
        <v>38961.038961038961</v>
      </c>
      <c r="Q15" s="3">
        <f t="shared" si="21"/>
        <v>32786.885245901642</v>
      </c>
      <c r="R15" s="3">
        <f t="shared" si="4"/>
        <v>84.550865800865807</v>
      </c>
      <c r="S15" s="3">
        <f t="shared" si="5"/>
        <v>71.15209471766849</v>
      </c>
      <c r="T15" s="3">
        <f t="shared" si="6"/>
        <v>125</v>
      </c>
      <c r="U15" s="158">
        <f t="shared" si="0"/>
        <v>129.41060000000002</v>
      </c>
      <c r="V15" s="96">
        <f t="shared" si="22"/>
        <v>124.96056000000002</v>
      </c>
      <c r="W15">
        <f t="shared" si="23"/>
        <v>0.16757486009232003</v>
      </c>
      <c r="X15" s="150">
        <f t="shared" si="32"/>
        <v>2.2589314573591531E-2</v>
      </c>
      <c r="Y15" s="150">
        <f t="shared" si="29"/>
        <v>1.9614223673239457E-2</v>
      </c>
      <c r="Z15" s="95">
        <f t="shared" si="16"/>
        <v>2.6746245091312479</v>
      </c>
      <c r="AA15" s="147">
        <f t="shared" si="24"/>
        <v>42.903128010696648</v>
      </c>
      <c r="AB15" s="97">
        <f t="shared" si="30"/>
        <v>34.33333526249934</v>
      </c>
      <c r="AC15">
        <f t="shared" si="17"/>
        <v>32.08160836350978</v>
      </c>
      <c r="AD15" s="175">
        <f t="shared" si="18"/>
        <v>72.183618817896999</v>
      </c>
      <c r="AE15" s="175">
        <f t="shared" si="19"/>
        <v>94.419451337398158</v>
      </c>
      <c r="AF15" s="163">
        <f t="shared" si="25"/>
        <v>2.9431021745403703</v>
      </c>
      <c r="AG15" s="159">
        <f>$AT$35/($AF$43*$AF$48*$AF$42*($AC15-$AF$49)^2/4/$AF15)/(PI()*$AF$48/60/($AC15-$AF$49))</f>
        <v>-1.653034084181211</v>
      </c>
      <c r="AH15" s="95">
        <f t="shared" si="42"/>
        <v>3.4722222222222223</v>
      </c>
      <c r="AI15" s="95">
        <f t="shared" si="43"/>
        <v>125</v>
      </c>
      <c r="AJ15" s="96">
        <f t="shared" si="9"/>
        <v>39154.782313271673</v>
      </c>
      <c r="AK15" s="96">
        <f t="shared" si="20"/>
        <v>84.971315784009704</v>
      </c>
      <c r="AL15" s="96">
        <f t="shared" si="10"/>
        <v>70.02947763428476</v>
      </c>
      <c r="AM15" s="96">
        <f t="shared" si="11"/>
        <v>84.823811521136804</v>
      </c>
      <c r="AN15" s="97">
        <f t="shared" si="37"/>
        <v>70.029477634284774</v>
      </c>
      <c r="AO15" s="174">
        <f t="shared" si="12"/>
        <v>32269.583293878422</v>
      </c>
      <c r="AP15" s="127">
        <f t="shared" si="26"/>
        <v>1.9832969388264083E-2</v>
      </c>
      <c r="AQ15" s="127">
        <f t="shared" si="31"/>
        <v>0.14785902494730788</v>
      </c>
      <c r="AR15" s="146">
        <f t="shared" si="27"/>
        <v>1.0882067182658259E-6</v>
      </c>
      <c r="AS15" s="95">
        <f t="shared" si="41"/>
        <v>3.4393113805104944E-2</v>
      </c>
      <c r="AT15" s="127"/>
      <c r="AU15" s="153">
        <f t="shared" si="38"/>
        <v>-1.0693376429941804E-6</v>
      </c>
      <c r="AV15" s="134">
        <f t="shared" si="39"/>
        <v>3.500000000000001E-2</v>
      </c>
      <c r="AX15" s="127">
        <f t="shared" si="28"/>
        <v>1.0526315789473683E-4</v>
      </c>
      <c r="AY15" s="96">
        <f t="shared" si="33"/>
        <v>66.819411880054204</v>
      </c>
    </row>
    <row r="16" spans="2:51" ht="13.95" customHeight="1" x14ac:dyDescent="0.3">
      <c r="C16" s="113">
        <f t="shared" si="34"/>
        <v>1.7222222222222223</v>
      </c>
      <c r="D16" s="73">
        <v>130</v>
      </c>
      <c r="E16" s="73">
        <v>2.2200000000000002</v>
      </c>
      <c r="F16" s="73">
        <v>12.93</v>
      </c>
      <c r="G16" s="73">
        <v>10.46</v>
      </c>
      <c r="H16" s="73">
        <v>1510</v>
      </c>
      <c r="I16" s="73">
        <v>1800</v>
      </c>
      <c r="J16" s="78"/>
      <c r="K16" s="2">
        <f t="shared" si="40"/>
        <v>135.24780000000001</v>
      </c>
      <c r="L16" s="1">
        <f t="shared" si="2"/>
        <v>130</v>
      </c>
      <c r="M16" s="1">
        <f t="shared" si="35"/>
        <v>4.8675344504555822</v>
      </c>
      <c r="N16" s="3">
        <f t="shared" si="36"/>
        <v>662.25165562913912</v>
      </c>
      <c r="O16" s="3">
        <f t="shared" si="36"/>
        <v>555.55555555555554</v>
      </c>
      <c r="P16" s="3">
        <f t="shared" si="15"/>
        <v>39735.099337748346</v>
      </c>
      <c r="Q16" s="3">
        <f t="shared" si="21"/>
        <v>33333.333333333336</v>
      </c>
      <c r="R16" s="3">
        <f t="shared" si="4"/>
        <v>86.230684326710815</v>
      </c>
      <c r="S16" s="3">
        <f t="shared" si="5"/>
        <v>72.337962962962962</v>
      </c>
      <c r="T16" s="3">
        <f t="shared" si="6"/>
        <v>130</v>
      </c>
      <c r="U16" s="158">
        <f t="shared" si="0"/>
        <v>135.24780000000001</v>
      </c>
      <c r="V16" s="96">
        <f t="shared" si="22"/>
        <v>130.79776000000001</v>
      </c>
      <c r="W16">
        <f t="shared" si="23"/>
        <v>0.17540267371072002</v>
      </c>
      <c r="X16" s="150">
        <f t="shared" si="32"/>
        <v>2.3183906865272323E-2</v>
      </c>
      <c r="Y16" s="150">
        <f t="shared" si="29"/>
        <v>2.0208815964920249E-2</v>
      </c>
      <c r="Z16" s="95">
        <f t="shared" si="16"/>
        <v>2.8372273692590251</v>
      </c>
      <c r="AA16" s="147">
        <f t="shared" ref="AA16:AA21" si="104">SQRT(Z16^3/4/$Y$48/$Y$49)</f>
        <v>46.874423355815232</v>
      </c>
      <c r="AB16" s="97">
        <f t="shared" si="30"/>
        <v>35.837328831789797</v>
      </c>
      <c r="AC16">
        <f t="shared" si="17"/>
        <v>33.042415890734219</v>
      </c>
      <c r="AD16" s="175">
        <f t="shared" si="18"/>
        <v>74.345435754151993</v>
      </c>
      <c r="AE16" s="175">
        <f t="shared" si="19"/>
        <v>95.993108859688135</v>
      </c>
      <c r="AF16" s="158">
        <f t="shared" si="25"/>
        <v>2.9051480126974192</v>
      </c>
      <c r="AG16" s="151"/>
      <c r="AH16" s="95">
        <f t="shared" si="42"/>
        <v>3.6111111111111112</v>
      </c>
      <c r="AI16" s="95">
        <f t="shared" si="43"/>
        <v>130</v>
      </c>
      <c r="AJ16" s="96">
        <f t="shared" si="9"/>
        <v>39679.49741018255</v>
      </c>
      <c r="AK16" s="96">
        <f t="shared" si="20"/>
        <v>86.110020421403107</v>
      </c>
      <c r="AL16" s="96">
        <f t="shared" si="10"/>
        <v>71.313992957655756</v>
      </c>
      <c r="AM16" s="96">
        <f t="shared" si="11"/>
        <v>85.941629770631266</v>
      </c>
      <c r="AN16" s="97">
        <f t="shared" si="37"/>
        <v>71.313992957655742</v>
      </c>
      <c r="AO16" s="174">
        <f t="shared" si="12"/>
        <v>32861.487954887765</v>
      </c>
      <c r="AP16" s="127">
        <f t="shared" si="26"/>
        <v>2.0408000984409088E-2</v>
      </c>
      <c r="AQ16" s="127">
        <f t="shared" si="31"/>
        <v>0.15418492425892294</v>
      </c>
      <c r="AR16" s="146">
        <f t="shared" si="27"/>
        <v>1.1035792605647927E-6</v>
      </c>
      <c r="AS16" s="95">
        <f t="shared" si="41"/>
        <v>3.3914027602912664E-2</v>
      </c>
      <c r="AT16" s="127"/>
      <c r="AU16" s="153">
        <f t="shared" si="38"/>
        <v>-1.1103010310529788E-6</v>
      </c>
      <c r="AV16" s="151">
        <f t="shared" si="39"/>
        <v>3.3708711834034566E-2</v>
      </c>
      <c r="AX16" s="127">
        <f t="shared" si="28"/>
        <v>1.0526315789473683E-4</v>
      </c>
      <c r="AY16" s="96">
        <f t="shared" si="33"/>
        <v>65.888636654183685</v>
      </c>
    </row>
    <row r="17" spans="3:51" ht="13.95" customHeight="1" x14ac:dyDescent="0.3">
      <c r="C17" s="113">
        <f t="shared" ref="C17:C18" si="105">D17/180+1</f>
        <v>1.7777777777777777</v>
      </c>
      <c r="D17" s="73">
        <v>140</v>
      </c>
      <c r="E17" s="73">
        <v>2.89</v>
      </c>
      <c r="F17" s="73">
        <v>12.69</v>
      </c>
      <c r="G17" s="73">
        <v>11.66</v>
      </c>
      <c r="H17" s="73">
        <v>1480</v>
      </c>
      <c r="I17" s="73">
        <v>1730</v>
      </c>
      <c r="J17" s="78">
        <v>15</v>
      </c>
      <c r="K17" s="2">
        <f t="shared" ref="K17:K18" si="106">F17*G17</f>
        <v>147.96539999999999</v>
      </c>
      <c r="L17" s="1">
        <f t="shared" ref="L17:L18" si="107">D17</f>
        <v>140</v>
      </c>
      <c r="M17" s="1">
        <f t="shared" ref="M17:M18" si="108">LN(L17)</f>
        <v>4.9416424226093039</v>
      </c>
      <c r="N17" s="3">
        <f t="shared" ref="N17:N18" si="109">1/H17/0.000001</f>
        <v>675.67567567567573</v>
      </c>
      <c r="O17" s="3">
        <f t="shared" ref="O17:O18" si="110">1/I17/0.000001</f>
        <v>578.03468208092488</v>
      </c>
      <c r="P17" s="3">
        <f t="shared" ref="P17:P18" si="111">N17*60/$Y$35</f>
        <v>40540.540540540547</v>
      </c>
      <c r="Q17" s="3">
        <f t="shared" ref="Q17:Q18" si="112">O17*60/$Y$35</f>
        <v>34682.080924855494</v>
      </c>
      <c r="R17" s="3">
        <f t="shared" ref="R17:R18" si="113">P17/$Y$46*100</f>
        <v>87.978603603603617</v>
      </c>
      <c r="S17" s="3">
        <f t="shared" ref="S17:S18" si="114">Q17/$Y$46*100</f>
        <v>75.26493256262043</v>
      </c>
      <c r="T17" s="3">
        <f t="shared" ref="T17:T18" si="115">L17</f>
        <v>140</v>
      </c>
      <c r="U17" s="158">
        <f t="shared" ref="U17:U18" si="116">K17</f>
        <v>147.96539999999999</v>
      </c>
      <c r="V17" s="96">
        <f t="shared" si="22"/>
        <v>143.51535999999999</v>
      </c>
      <c r="W17">
        <f t="shared" si="23"/>
        <v>0.19245725509792</v>
      </c>
      <c r="X17" s="150">
        <f t="shared" si="32"/>
        <v>2.49327090930988E-2</v>
      </c>
      <c r="Y17" s="150">
        <f t="shared" ref="Y17:Y18" si="117">X17-$X$4</f>
        <v>2.1957618192746726E-2</v>
      </c>
      <c r="Z17" s="95">
        <f t="shared" ref="Z17:Z18" si="118">$AF$50*(P17/$AF$32/100)^3</f>
        <v>3.0132824093025503</v>
      </c>
      <c r="AA17" s="147">
        <f t="shared" si="104"/>
        <v>51.304384491797855</v>
      </c>
      <c r="AB17" s="97">
        <f t="shared" ref="AB17:AB18" si="119">AA17/V17*100</f>
        <v>35.74835787040346</v>
      </c>
      <c r="AC17">
        <f t="shared" ref="AC17:AC18" si="120">SQRT(Z17/$AF$42/$AF$43)</f>
        <v>34.052158094051791</v>
      </c>
      <c r="AD17" s="175">
        <f t="shared" ref="AD17:AD18" si="121">AC17*1/1.6/1000*3600</f>
        <v>76.617355711616526</v>
      </c>
      <c r="AE17" s="175">
        <f t="shared" ref="AE17:AE18" si="122">Q17/60*PI()*$AB$49/1000</f>
        <v>99.877223091004979</v>
      </c>
      <c r="AF17" s="158">
        <f t="shared" ref="AF17:AF18" si="123">AE17/AC17</f>
        <v>2.9330658813207928</v>
      </c>
      <c r="AG17" s="151"/>
      <c r="AH17" s="95">
        <f t="shared" si="42"/>
        <v>3.8888888888888888</v>
      </c>
      <c r="AI17" s="95">
        <f t="shared" si="43"/>
        <v>140</v>
      </c>
      <c r="AJ17" s="96">
        <f t="shared" si="9"/>
        <v>40670.952400777387</v>
      </c>
      <c r="AK17" s="96">
        <f t="shared" ref="AK17:AK18" si="124">MAX(($AF$36+$AG$36*LN(AI17))/$AF$32,0)</f>
        <v>88.261615453075919</v>
      </c>
      <c r="AL17" s="96">
        <f t="shared" ref="AL17:AL18" si="125">($AF$37+$AG$37*AK17*$AF$32)/$AF$32</f>
        <v>73.741098896381956</v>
      </c>
      <c r="AM17" s="96">
        <f t="shared" ref="AM17:AM18" si="126">($AF$38+$AG$38*AL17*$AF$32)/$AF$32</f>
        <v>88.053759740902521</v>
      </c>
      <c r="AN17" s="97">
        <f t="shared" ref="AN17:AN18" si="127">AO17/$AF$32</f>
        <v>73.74109889638197</v>
      </c>
      <c r="AO17" s="174">
        <f t="shared" ref="AO17:AO18" si="128">MAX($AF$37+$AG$37*AJ17, 0)</f>
        <v>33979.898371452815</v>
      </c>
      <c r="AP17" s="127">
        <f t="shared" si="26"/>
        <v>2.1516549342642275E-2</v>
      </c>
      <c r="AQ17" s="127">
        <f t="shared" ref="AQ17:AQ18" si="129">AJ17*AP17/5252</f>
        <v>0.16662196385064393</v>
      </c>
      <c r="AR17" s="146">
        <f t="shared" ref="AR17:AR18" si="130">MAX($AG$39+$AH$39*2*AJ17,1E-32)</f>
        <v>1.1326258495998129E-6</v>
      </c>
      <c r="AS17" s="95">
        <f t="shared" ref="AS17:AS18" si="131">$Y$42/AR17</f>
        <v>3.3044290414191255E-2</v>
      </c>
      <c r="AT17" s="127"/>
      <c r="AU17" s="153">
        <f t="shared" si="38"/>
        <v>-1.1533507163872836E-6</v>
      </c>
      <c r="AV17" s="151">
        <f t="shared" ref="AV17:AV18" si="132">-$AF$47/AU17</f>
        <v>3.245050874206834E-2</v>
      </c>
      <c r="AX17" s="127">
        <f t="shared" si="28"/>
        <v>1.0526315789473683E-4</v>
      </c>
      <c r="AY17" s="96">
        <f t="shared" ref="AY17:AY18" si="133">$Y$41/$Y$38/$Y$36/AR17</f>
        <v>64.198899348922595</v>
      </c>
    </row>
    <row r="18" spans="3:51" ht="13.95" customHeight="1" x14ac:dyDescent="0.3">
      <c r="C18" s="113">
        <f t="shared" si="105"/>
        <v>1.8055555555555556</v>
      </c>
      <c r="D18" s="73">
        <v>145</v>
      </c>
      <c r="E18" s="73">
        <v>3.31</v>
      </c>
      <c r="F18" s="73">
        <v>12.66</v>
      </c>
      <c r="G18" s="73">
        <v>12.61</v>
      </c>
      <c r="H18" s="73">
        <v>1410</v>
      </c>
      <c r="I18" s="73">
        <v>1660</v>
      </c>
      <c r="J18" s="78"/>
      <c r="K18" s="2">
        <f t="shared" si="106"/>
        <v>159.64259999999999</v>
      </c>
      <c r="L18" s="1">
        <f t="shared" si="107"/>
        <v>145</v>
      </c>
      <c r="M18" s="1">
        <f t="shared" si="108"/>
        <v>4.9767337424205742</v>
      </c>
      <c r="N18" s="3">
        <f t="shared" si="109"/>
        <v>709.21985815602841</v>
      </c>
      <c r="O18" s="3">
        <f t="shared" si="110"/>
        <v>602.40963855421694</v>
      </c>
      <c r="P18" s="3">
        <f t="shared" si="111"/>
        <v>42553.191489361707</v>
      </c>
      <c r="Q18" s="3">
        <f t="shared" si="112"/>
        <v>36144.57831325302</v>
      </c>
      <c r="R18" s="3">
        <f t="shared" si="113"/>
        <v>92.346335697399539</v>
      </c>
      <c r="S18" s="3">
        <f t="shared" si="114"/>
        <v>78.438755020080336</v>
      </c>
      <c r="T18" s="3">
        <f t="shared" si="115"/>
        <v>145</v>
      </c>
      <c r="U18" s="158">
        <f t="shared" si="116"/>
        <v>159.64259999999999</v>
      </c>
      <c r="V18" s="96">
        <f t="shared" si="22"/>
        <v>155.19255999999999</v>
      </c>
      <c r="W18">
        <f t="shared" si="23"/>
        <v>0.20811663719632001</v>
      </c>
      <c r="X18" s="150">
        <f t="shared" si="32"/>
        <v>2.5686171596044204E-2</v>
      </c>
      <c r="Y18" s="150">
        <f t="shared" si="117"/>
        <v>2.271108069569213E-2</v>
      </c>
      <c r="Z18" s="95">
        <f t="shared" si="118"/>
        <v>3.4847180469244972</v>
      </c>
      <c r="AA18" s="147">
        <f t="shared" si="104"/>
        <v>63.80374842945902</v>
      </c>
      <c r="AB18" s="97">
        <f t="shared" si="119"/>
        <v>41.112633511206354</v>
      </c>
      <c r="AC18">
        <f t="shared" si="120"/>
        <v>36.619174102633757</v>
      </c>
      <c r="AD18" s="175">
        <f t="shared" si="121"/>
        <v>82.393141730925933</v>
      </c>
      <c r="AE18" s="175">
        <f t="shared" si="122"/>
        <v>104.08891322134859</v>
      </c>
      <c r="AF18" s="158">
        <f t="shared" si="123"/>
        <v>2.8424702569647033</v>
      </c>
      <c r="AG18" s="151"/>
      <c r="AH18" s="95">
        <f t="shared" si="42"/>
        <v>4.0277777777777777</v>
      </c>
      <c r="AI18" s="95">
        <f t="shared" si="43"/>
        <v>145</v>
      </c>
      <c r="AJ18" s="96">
        <f t="shared" si="9"/>
        <v>41140.422326108441</v>
      </c>
      <c r="AK18" s="96">
        <f t="shared" si="124"/>
        <v>89.280430395200611</v>
      </c>
      <c r="AL18" s="96">
        <f t="shared" si="125"/>
        <v>74.890372695630006</v>
      </c>
      <c r="AM18" s="96">
        <f t="shared" si="126"/>
        <v>89.053887340076557</v>
      </c>
      <c r="AN18" s="97">
        <f t="shared" si="127"/>
        <v>74.890372695630006</v>
      </c>
      <c r="AO18" s="174">
        <f t="shared" si="128"/>
        <v>34509.483738146308</v>
      </c>
      <c r="AP18" s="127">
        <f t="shared" si="26"/>
        <v>2.2051511666998244E-2</v>
      </c>
      <c r="AQ18" s="127">
        <f t="shared" si="129"/>
        <v>0.17273581548160993</v>
      </c>
      <c r="AR18" s="146">
        <f t="shared" si="130"/>
        <v>1.1463798778862723E-6</v>
      </c>
      <c r="AS18" s="95">
        <f t="shared" si="131"/>
        <v>3.2647831863382805E-2</v>
      </c>
      <c r="AT18" s="127"/>
      <c r="AU18" s="153">
        <f t="shared" si="38"/>
        <v>-1.2627937316980147E-6</v>
      </c>
      <c r="AV18" s="151">
        <f t="shared" si="132"/>
        <v>2.963810839832914E-2</v>
      </c>
      <c r="AX18" s="127">
        <f t="shared" si="28"/>
        <v>1.0526315789473683E-4</v>
      </c>
      <c r="AY18" s="96">
        <f t="shared" si="133"/>
        <v>63.428654254222636</v>
      </c>
    </row>
    <row r="19" spans="3:51" ht="13.95" customHeight="1" x14ac:dyDescent="0.3">
      <c r="C19" s="113">
        <f t="shared" si="34"/>
        <v>1.8611111111111112</v>
      </c>
      <c r="D19" s="73">
        <v>155</v>
      </c>
      <c r="E19" s="73">
        <v>2.5299999999999998</v>
      </c>
      <c r="F19" s="73">
        <v>12.85</v>
      </c>
      <c r="G19" s="73">
        <v>14.16</v>
      </c>
      <c r="H19" s="73">
        <v>1364</v>
      </c>
      <c r="I19" s="73">
        <v>1740</v>
      </c>
      <c r="J19" s="78">
        <v>15.8</v>
      </c>
      <c r="K19" s="2">
        <f t="shared" si="40"/>
        <v>181.95599999999999</v>
      </c>
      <c r="L19" s="1">
        <f t="shared" si="2"/>
        <v>155</v>
      </c>
      <c r="M19" s="1">
        <f t="shared" si="35"/>
        <v>5.0434251169192468</v>
      </c>
      <c r="N19" s="3">
        <f t="shared" si="36"/>
        <v>733.13782991202345</v>
      </c>
      <c r="O19" s="3">
        <f t="shared" si="36"/>
        <v>574.71264367816093</v>
      </c>
      <c r="P19" s="3">
        <f t="shared" si="15"/>
        <v>43988.269794721404</v>
      </c>
      <c r="Q19" s="3">
        <f t="shared" si="21"/>
        <v>34482.758620689652</v>
      </c>
      <c r="R19" s="3">
        <f t="shared" si="4"/>
        <v>95.460654936461381</v>
      </c>
      <c r="S19" s="3">
        <f t="shared" si="5"/>
        <v>74.83237547892719</v>
      </c>
      <c r="T19" s="3">
        <f t="shared" si="6"/>
        <v>155</v>
      </c>
      <c r="U19" s="158">
        <f t="shared" si="0"/>
        <v>181.95599999999999</v>
      </c>
      <c r="V19" s="96">
        <f t="shared" si="22"/>
        <v>177.50595999999999</v>
      </c>
      <c r="W19">
        <f t="shared" si="23"/>
        <v>0.23803939749111999</v>
      </c>
      <c r="X19" s="150">
        <f t="shared" si="32"/>
        <v>2.8420824948504435E-2</v>
      </c>
      <c r="Y19" s="150">
        <f t="shared" si="29"/>
        <v>2.5445734048152362E-2</v>
      </c>
      <c r="Z19" s="95">
        <f t="shared" si="16"/>
        <v>3.8493009912054741</v>
      </c>
      <c r="AA19" s="147">
        <f t="shared" si="104"/>
        <v>74.07429631585768</v>
      </c>
      <c r="AB19" s="97">
        <f t="shared" si="30"/>
        <v>41.730596716784994</v>
      </c>
      <c r="AC19">
        <f t="shared" si="17"/>
        <v>38.487141683695697</v>
      </c>
      <c r="AD19" s="175">
        <f t="shared" si="18"/>
        <v>86.596068788315307</v>
      </c>
      <c r="AE19" s="175">
        <f t="shared" si="19"/>
        <v>99.303216061746326</v>
      </c>
      <c r="AF19" s="158">
        <f t="shared" si="25"/>
        <v>2.5801660429310118</v>
      </c>
      <c r="AG19" s="151"/>
      <c r="AH19" s="95">
        <f t="shared" si="42"/>
        <v>4.3055555555555554</v>
      </c>
      <c r="AI19" s="95">
        <f t="shared" si="43"/>
        <v>155</v>
      </c>
      <c r="AJ19" s="96">
        <f t="shared" si="9"/>
        <v>42032.654216345327</v>
      </c>
      <c r="AK19" s="96">
        <f t="shared" si="20"/>
        <v>91.216697518110522</v>
      </c>
      <c r="AL19" s="96">
        <f t="shared" si="10"/>
        <v>77.074578070616937</v>
      </c>
      <c r="AM19" s="96">
        <f t="shared" si="11"/>
        <v>90.954638996660051</v>
      </c>
      <c r="AN19" s="97">
        <f t="shared" si="37"/>
        <v>77.074578070616937</v>
      </c>
      <c r="AO19" s="174">
        <f t="shared" si="12"/>
        <v>35515.965574940288</v>
      </c>
      <c r="AP19" s="127">
        <f t="shared" si="26"/>
        <v>2.3086009670006437E-2</v>
      </c>
      <c r="AQ19" s="127">
        <f t="shared" si="31"/>
        <v>0.18476128364329494</v>
      </c>
      <c r="AR19" s="146">
        <f t="shared" si="27"/>
        <v>1.1725195345378578E-6</v>
      </c>
      <c r="AS19" s="95">
        <f t="shared" si="41"/>
        <v>3.1919994850702342E-2</v>
      </c>
      <c r="AT19" s="127"/>
      <c r="AU19" s="153">
        <f t="shared" si="38"/>
        <v>-1.3424332835709472E-6</v>
      </c>
      <c r="AV19" s="151">
        <f t="shared" si="39"/>
        <v>2.7879834300024883E-2</v>
      </c>
      <c r="AX19" s="127">
        <f t="shared" si="28"/>
        <v>1.0526315789473683E-4</v>
      </c>
      <c r="AY19" s="96">
        <f t="shared" si="33"/>
        <v>62.014602551680213</v>
      </c>
    </row>
    <row r="20" spans="3:51" ht="13.95" customHeight="1" x14ac:dyDescent="0.3">
      <c r="C20" s="113">
        <f t="shared" ref="C20" si="134">D20/180+1</f>
        <v>1.9166666666666665</v>
      </c>
      <c r="D20" s="73">
        <v>165</v>
      </c>
      <c r="E20" s="73">
        <v>3.93</v>
      </c>
      <c r="F20" s="73">
        <v>12.47</v>
      </c>
      <c r="G20" s="73">
        <v>14.34</v>
      </c>
      <c r="H20" s="73">
        <v>1370</v>
      </c>
      <c r="I20" s="73">
        <v>1580</v>
      </c>
      <c r="J20" s="78">
        <v>17.2</v>
      </c>
      <c r="K20" s="2">
        <f t="shared" ref="K20" si="135">F20*G20</f>
        <v>178.81980000000001</v>
      </c>
      <c r="L20" s="1">
        <f t="shared" ref="L20" si="136">D20</f>
        <v>165</v>
      </c>
      <c r="M20" s="1">
        <f t="shared" ref="M20" si="137">LN(L20)</f>
        <v>5.1059454739005803</v>
      </c>
      <c r="N20" s="3">
        <f t="shared" ref="N20" si="138">1/H20/0.000001</f>
        <v>729.92700729927003</v>
      </c>
      <c r="O20" s="3">
        <f t="shared" ref="O20" si="139">1/I20/0.000001</f>
        <v>632.91139240506334</v>
      </c>
      <c r="P20" s="3">
        <f t="shared" ref="P20" si="140">N20*60/$Y$35</f>
        <v>43795.620437956204</v>
      </c>
      <c r="Q20" s="3">
        <f t="shared" ref="Q20" si="141">O20*60/$Y$35</f>
        <v>37974.6835443038</v>
      </c>
      <c r="R20" s="3">
        <f t="shared" ref="R20" si="142">P20/$Y$46*100</f>
        <v>95.042579075425792</v>
      </c>
      <c r="S20" s="3">
        <f t="shared" ref="S20" si="143">Q20/$Y$46*100</f>
        <v>82.410337552742618</v>
      </c>
      <c r="T20" s="3">
        <f t="shared" ref="T20" si="144">L20</f>
        <v>165</v>
      </c>
      <c r="U20" s="158">
        <f t="shared" ref="U20" si="145">K20</f>
        <v>178.81980000000001</v>
      </c>
      <c r="V20" s="96">
        <f t="shared" si="22"/>
        <v>174.36976000000001</v>
      </c>
      <c r="W20">
        <f t="shared" si="23"/>
        <v>0.23383368429472004</v>
      </c>
      <c r="X20" s="150">
        <f t="shared" si="32"/>
        <v>2.8041491309745689E-2</v>
      </c>
      <c r="Y20" s="150">
        <f t="shared" ref="Y20" si="146">X20-$X$4</f>
        <v>2.5066400409393615E-2</v>
      </c>
      <c r="Z20" s="134">
        <f>$AA$47</f>
        <v>4.4249528005034611</v>
      </c>
      <c r="AA20" s="147">
        <f t="shared" si="104"/>
        <v>91.297248929319878</v>
      </c>
      <c r="AB20" s="97">
        <f t="shared" ref="AB20" si="147">AA20/V20*100</f>
        <v>52.358418643989566</v>
      </c>
      <c r="AC20">
        <f t="shared" ref="AC20" si="148">SQRT(Z20/$AF$42/$AF$43)</f>
        <v>41.264733453849395</v>
      </c>
      <c r="AD20" s="175">
        <f>AC20*1/1.6/1000*3600</f>
        <v>92.845650271161119</v>
      </c>
      <c r="AE20" s="175">
        <f t="shared" ref="AE20" si="149">Q20/60*PI()*$AB$49/1000</f>
        <v>109.35923794141685</v>
      </c>
      <c r="AF20" s="165">
        <f t="shared" ref="AF20" si="150">AE20/AC20</f>
        <v>2.6501864616119368</v>
      </c>
      <c r="AG20" s="151"/>
      <c r="AH20" s="95">
        <f t="shared" si="42"/>
        <v>4.583333333333333</v>
      </c>
      <c r="AI20" s="95">
        <f t="shared" si="43"/>
        <v>165</v>
      </c>
      <c r="AJ20" s="96">
        <f t="shared" si="9"/>
        <v>42869.084065138595</v>
      </c>
      <c r="AK20" s="96">
        <f t="shared" ref="AK20" si="151">MAX(($AF$36+$AG$36*LN(AI20))/$AF$32,0)</f>
        <v>93.031866460804238</v>
      </c>
      <c r="AL20" s="96">
        <f t="shared" ref="AL20" si="152">($AF$37+$AG$37*AK20*$AF$32)/$AF$32</f>
        <v>79.122178690505933</v>
      </c>
      <c r="AM20" s="96">
        <f t="shared" ref="AM20" si="153">($AF$38+$AG$38*AL20*$AF$32)/$AF$32</f>
        <v>92.736513684290415</v>
      </c>
      <c r="AN20" s="97">
        <f t="shared" ref="AN20" si="154">AO20/$AF$32</f>
        <v>79.122178690505933</v>
      </c>
      <c r="AO20" s="174">
        <f t="shared" ref="AO20" si="155">MAX($AF$37+$AG$37*AJ20, 0)</f>
        <v>36459.499940585134</v>
      </c>
      <c r="AP20" s="127">
        <f t="shared" si="26"/>
        <v>2.4076988291801882E-2</v>
      </c>
      <c r="AQ20" s="127">
        <f t="shared" ref="AQ20" si="156">AJ20*AP20/5252</f>
        <v>0.19652673935959872</v>
      </c>
      <c r="AR20" s="146">
        <f t="shared" ref="AR20" si="157">MAX($AG$39+$AH$39*2*AJ20,1E-32)</f>
        <v>1.1970243625986312E-6</v>
      </c>
      <c r="AS20" s="95">
        <f t="shared" ref="AS20" si="158">$Y$42/AR20</f>
        <v>3.1266546174169838E-2</v>
      </c>
      <c r="AT20" s="127"/>
      <c r="AU20" s="153">
        <f t="shared" si="38"/>
        <v>-1.4608540560209864E-6</v>
      </c>
      <c r="AV20" s="151">
        <f t="shared" ref="AV20" si="159">-$AF$47/AU20</f>
        <v>2.5619819687353256E-2</v>
      </c>
      <c r="AX20" s="127">
        <f t="shared" si="28"/>
        <v>1.0526315789473683E-4</v>
      </c>
      <c r="AY20" s="96">
        <f t="shared" ref="AY20" si="160">$Y$41/$Y$38/$Y$36/AR20</f>
        <v>60.745073525982619</v>
      </c>
    </row>
    <row r="21" spans="3:51" ht="13.95" customHeight="1" x14ac:dyDescent="0.3">
      <c r="C21" s="113">
        <f t="shared" si="34"/>
        <v>2</v>
      </c>
      <c r="D21" s="73">
        <v>180</v>
      </c>
      <c r="E21" s="73">
        <v>3.9</v>
      </c>
      <c r="F21" s="73">
        <v>12.55</v>
      </c>
      <c r="G21" s="73">
        <v>13.7</v>
      </c>
      <c r="H21" s="73">
        <v>1390</v>
      </c>
      <c r="I21" s="73">
        <v>1620</v>
      </c>
      <c r="J21" s="78"/>
      <c r="K21" s="2">
        <f t="shared" si="40"/>
        <v>171.935</v>
      </c>
      <c r="L21" s="1">
        <f t="shared" si="2"/>
        <v>180</v>
      </c>
      <c r="M21" s="1">
        <f t="shared" si="35"/>
        <v>5.1929568508902104</v>
      </c>
      <c r="N21" s="3">
        <f t="shared" si="36"/>
        <v>719.42446043165478</v>
      </c>
      <c r="O21" s="3">
        <f t="shared" si="36"/>
        <v>617.28395061728395</v>
      </c>
      <c r="P21" s="3">
        <f t="shared" si="15"/>
        <v>43165.467625899284</v>
      </c>
      <c r="Q21" s="3">
        <f t="shared" si="21"/>
        <v>37037.037037037036</v>
      </c>
      <c r="R21" s="3">
        <f t="shared" si="4"/>
        <v>93.675059952038382</v>
      </c>
      <c r="S21" s="3">
        <f t="shared" si="5"/>
        <v>80.375514403292186</v>
      </c>
      <c r="T21" s="3">
        <f t="shared" si="6"/>
        <v>180</v>
      </c>
      <c r="U21" s="158">
        <f t="shared" si="0"/>
        <v>171.935</v>
      </c>
      <c r="V21" s="96">
        <f t="shared" si="22"/>
        <v>167.48496</v>
      </c>
      <c r="W21">
        <f t="shared" si="23"/>
        <v>0.22460101602912003</v>
      </c>
      <c r="X21" s="150">
        <f t="shared" si="32"/>
        <v>2.7327505088284403E-2</v>
      </c>
      <c r="Y21" s="150">
        <f t="shared" si="29"/>
        <v>2.4352414187932329E-2</v>
      </c>
      <c r="Z21" s="134">
        <f>$AA$47</f>
        <v>4.4249528005034611</v>
      </c>
      <c r="AA21" s="147">
        <f t="shared" si="104"/>
        <v>91.297248929319878</v>
      </c>
      <c r="AB21" s="97">
        <f t="shared" si="30"/>
        <v>54.510714830346487</v>
      </c>
      <c r="AC21">
        <f t="shared" si="17"/>
        <v>41.264733453849395</v>
      </c>
      <c r="AD21" s="175">
        <f>AC21*1/1.6/1000*3600</f>
        <v>92.845650271161119</v>
      </c>
      <c r="AE21" s="175">
        <f t="shared" si="19"/>
        <v>106.65900984409792</v>
      </c>
      <c r="AF21" s="165">
        <f t="shared" si="25"/>
        <v>2.5847497588560868</v>
      </c>
      <c r="AG21" s="151"/>
      <c r="AH21" s="95">
        <f t="shared" si="42"/>
        <v>5</v>
      </c>
      <c r="AI21" s="95">
        <f t="shared" si="43"/>
        <v>180</v>
      </c>
      <c r="AJ21" s="96">
        <f t="shared" si="9"/>
        <v>44033.167515917041</v>
      </c>
      <c r="AK21" s="96">
        <f t="shared" si="20"/>
        <v>95.55808922725052</v>
      </c>
      <c r="AL21" s="96">
        <f t="shared" si="10"/>
        <v>81.971883299751156</v>
      </c>
      <c r="AM21" s="96">
        <f t="shared" si="11"/>
        <v>95.216399879437617</v>
      </c>
      <c r="AN21" s="97">
        <f t="shared" si="37"/>
        <v>81.97188329975117</v>
      </c>
      <c r="AO21" s="174">
        <f t="shared" si="12"/>
        <v>37772.643824525338</v>
      </c>
      <c r="AP21" s="127">
        <f t="shared" si="26"/>
        <v>2.5490274536103474E-2</v>
      </c>
      <c r="AQ21" s="127">
        <f t="shared" si="31"/>
        <v>0.21371240073780634</v>
      </c>
      <c r="AR21" s="146">
        <f t="shared" si="27"/>
        <v>1.2311284358223115E-6</v>
      </c>
      <c r="AS21" s="95">
        <f t="shared" si="41"/>
        <v>3.0400416736209745E-2</v>
      </c>
      <c r="AT21" s="127"/>
      <c r="AU21" s="153">
        <f t="shared" si="38"/>
        <v>-1.4608540560209864E-6</v>
      </c>
      <c r="AV21" s="151">
        <f t="shared" si="39"/>
        <v>2.5619819687353256E-2</v>
      </c>
      <c r="AX21" s="127">
        <f t="shared" si="28"/>
        <v>1.0526315789473683E-4</v>
      </c>
      <c r="AY21" s="96">
        <f t="shared" si="33"/>
        <v>59.062345408242223</v>
      </c>
    </row>
    <row r="22" spans="3:51" ht="13.95" customHeight="1" thickBot="1" x14ac:dyDescent="0.35">
      <c r="C22" s="116">
        <f t="shared" si="34"/>
        <v>2</v>
      </c>
      <c r="D22" s="117">
        <v>180</v>
      </c>
      <c r="E22" s="117"/>
      <c r="F22" s="117"/>
      <c r="G22" s="117"/>
      <c r="H22" s="117"/>
      <c r="I22" s="117"/>
      <c r="J22" s="118"/>
      <c r="P22" s="3"/>
      <c r="Q22" s="3"/>
      <c r="R22" s="3"/>
      <c r="S22" s="3"/>
      <c r="U22" s="4"/>
      <c r="AD22" s="4"/>
      <c r="AE22" s="97"/>
      <c r="AH22" s="95"/>
      <c r="AI22" s="95"/>
      <c r="AJ22" s="96"/>
      <c r="AK22" s="96"/>
      <c r="AL22" s="96"/>
      <c r="AM22" s="96"/>
      <c r="AP22" s="127"/>
      <c r="AQ22" s="127"/>
      <c r="AR22" s="146"/>
      <c r="AS22" s="95"/>
      <c r="AT22" s="127"/>
      <c r="AV22" s="146"/>
      <c r="AW22" s="95"/>
      <c r="AX22" s="128"/>
      <c r="AY22" s="96"/>
    </row>
    <row r="23" spans="3:51" ht="13.95" customHeight="1" x14ac:dyDescent="0.3"/>
    <row r="24" spans="3:51" ht="13.95" customHeight="1" x14ac:dyDescent="0.3">
      <c r="C24" s="120">
        <f t="shared" si="34"/>
        <v>1.05</v>
      </c>
      <c r="D24" s="73">
        <v>9</v>
      </c>
      <c r="E24" s="119"/>
      <c r="F24" s="73">
        <v>13.8</v>
      </c>
      <c r="G24" s="73">
        <v>0.42399999999999999</v>
      </c>
      <c r="H24" s="73">
        <v>6160</v>
      </c>
      <c r="I24" s="119"/>
      <c r="J24" s="119"/>
      <c r="K24" s="2">
        <f t="shared" ref="K24:K32" si="161">F24*G24</f>
        <v>5.8512000000000004</v>
      </c>
      <c r="L24" s="1">
        <f t="shared" ref="L24:L32" si="162">D24</f>
        <v>9</v>
      </c>
      <c r="M24" s="1">
        <f t="shared" ref="M24:M32" si="163">LN(L24)</f>
        <v>2.1972245773362196</v>
      </c>
      <c r="N24" s="3">
        <f t="shared" ref="N24:N32" si="164">1/H24/0.000001</f>
        <v>162.33766233766235</v>
      </c>
      <c r="O24" s="3"/>
      <c r="P24" s="3">
        <f t="shared" ref="P24:P32" si="165">N24*60/$Y$35</f>
        <v>9740.2597402597403</v>
      </c>
      <c r="Q24" s="3"/>
      <c r="R24" s="3">
        <f t="shared" ref="R24:R32" si="166">P24/$Y$46*100</f>
        <v>21.137716450216452</v>
      </c>
      <c r="S24">
        <v>16</v>
      </c>
      <c r="T24" s="3">
        <f t="shared" ref="T24:T32" si="167">L24</f>
        <v>9</v>
      </c>
      <c r="U24" s="4">
        <f t="shared" ref="U24:U32" si="168">K24</f>
        <v>5.8512000000000004</v>
      </c>
      <c r="V24" s="4"/>
      <c r="W24">
        <f t="shared" ref="W24:W32" si="169">U24*0.001341022</f>
        <v>7.8465879264000005E-3</v>
      </c>
      <c r="X24" s="150">
        <f t="shared" ref="X24:X32" si="170">$W24/$P24*5252</f>
        <v>4.230922058383821E-3</v>
      </c>
      <c r="Y24" s="150">
        <f t="shared" ref="Y24:Y32" si="171">X24-$X$4</f>
        <v>1.2558311580317485E-3</v>
      </c>
      <c r="AO24" s="157" t="s">
        <v>219</v>
      </c>
      <c r="AP24" s="157"/>
      <c r="AQ24" s="157"/>
      <c r="AR24" s="157"/>
      <c r="AS24" s="157"/>
    </row>
    <row r="25" spans="3:51" ht="13.95" customHeight="1" x14ac:dyDescent="0.3">
      <c r="C25" s="120">
        <f t="shared" si="34"/>
        <v>1.0722222222222222</v>
      </c>
      <c r="D25" s="73">
        <v>13</v>
      </c>
      <c r="E25" s="119"/>
      <c r="F25" s="73">
        <v>13.8</v>
      </c>
      <c r="G25" s="73">
        <v>0.56499999999999995</v>
      </c>
      <c r="H25" s="73">
        <v>5080</v>
      </c>
      <c r="I25" s="119"/>
      <c r="J25" s="119"/>
      <c r="K25" s="2">
        <f t="shared" si="161"/>
        <v>7.7969999999999997</v>
      </c>
      <c r="L25" s="1">
        <f t="shared" si="162"/>
        <v>13</v>
      </c>
      <c r="M25" s="1">
        <f t="shared" si="163"/>
        <v>2.5649493574615367</v>
      </c>
      <c r="N25" s="3">
        <f t="shared" si="164"/>
        <v>196.85039370078741</v>
      </c>
      <c r="O25" s="3"/>
      <c r="P25" s="3">
        <f t="shared" si="165"/>
        <v>11811.023622047245</v>
      </c>
      <c r="Q25" s="3"/>
      <c r="R25" s="3">
        <f t="shared" si="166"/>
        <v>25.631561679790028</v>
      </c>
      <c r="S25">
        <v>20</v>
      </c>
      <c r="T25" s="3">
        <f t="shared" si="167"/>
        <v>13</v>
      </c>
      <c r="U25" s="4">
        <f t="shared" si="168"/>
        <v>7.7969999999999997</v>
      </c>
      <c r="V25" s="4"/>
      <c r="W25">
        <f t="shared" si="169"/>
        <v>1.0455948534E-2</v>
      </c>
      <c r="X25" s="150">
        <f t="shared" si="170"/>
        <v>4.6494396639814237E-3</v>
      </c>
      <c r="Y25" s="150">
        <f t="shared" si="171"/>
        <v>1.6743487636293511E-3</v>
      </c>
      <c r="AN25" s="5" t="s">
        <v>132</v>
      </c>
      <c r="AO25" s="157" t="s">
        <v>100</v>
      </c>
      <c r="AP25" s="157" t="s">
        <v>139</v>
      </c>
      <c r="AQ25" s="157" t="s">
        <v>140</v>
      </c>
      <c r="AR25" s="157" t="s">
        <v>131</v>
      </c>
      <c r="AS25" s="157" t="s">
        <v>164</v>
      </c>
      <c r="AT25" s="157" t="s">
        <v>173</v>
      </c>
    </row>
    <row r="26" spans="3:51" ht="13.95" customHeight="1" x14ac:dyDescent="0.3">
      <c r="C26" s="120">
        <f t="shared" si="34"/>
        <v>1.1444444444444444</v>
      </c>
      <c r="D26" s="73">
        <v>26</v>
      </c>
      <c r="E26" s="119"/>
      <c r="F26" s="73">
        <v>13.75</v>
      </c>
      <c r="G26" s="73">
        <v>1.32</v>
      </c>
      <c r="H26" s="73">
        <v>3180</v>
      </c>
      <c r="I26" s="119"/>
      <c r="J26" s="119"/>
      <c r="K26" s="2">
        <f t="shared" si="161"/>
        <v>18.150000000000002</v>
      </c>
      <c r="L26" s="1">
        <f t="shared" si="162"/>
        <v>26</v>
      </c>
      <c r="M26" s="1">
        <f t="shared" si="163"/>
        <v>3.2580965380214821</v>
      </c>
      <c r="N26" s="3">
        <f t="shared" si="164"/>
        <v>314.46540880503147</v>
      </c>
      <c r="O26" s="3"/>
      <c r="P26" s="3">
        <f t="shared" si="165"/>
        <v>18867.92452830189</v>
      </c>
      <c r="Q26" s="3"/>
      <c r="R26" s="3">
        <f t="shared" si="166"/>
        <v>40.946016771488473</v>
      </c>
      <c r="S26">
        <v>25</v>
      </c>
      <c r="T26" s="3">
        <f t="shared" si="167"/>
        <v>26</v>
      </c>
      <c r="U26" s="4">
        <f t="shared" si="168"/>
        <v>18.150000000000002</v>
      </c>
      <c r="V26" s="4"/>
      <c r="W26">
        <f t="shared" si="169"/>
        <v>2.4339549300000006E-2</v>
      </c>
      <c r="X26" s="150">
        <f t="shared" si="170"/>
        <v>6.7750595849508004E-3</v>
      </c>
      <c r="Y26" s="150">
        <f t="shared" si="171"/>
        <v>3.7999686845987279E-3</v>
      </c>
      <c r="AN26" s="5"/>
      <c r="AO26" s="157"/>
      <c r="AP26" s="157" t="s">
        <v>152</v>
      </c>
      <c r="AQ26" s="157" t="s">
        <v>153</v>
      </c>
      <c r="AR26" s="157"/>
      <c r="AS26" s="157"/>
      <c r="AT26" s="157"/>
    </row>
    <row r="27" spans="3:51" ht="13.95" customHeight="1" thickBot="1" x14ac:dyDescent="0.35">
      <c r="C27" s="120">
        <f t="shared" si="34"/>
        <v>1.2</v>
      </c>
      <c r="D27" s="73">
        <v>36</v>
      </c>
      <c r="E27" s="119"/>
      <c r="F27" s="73">
        <v>13.71</v>
      </c>
      <c r="G27" s="73">
        <v>2.08</v>
      </c>
      <c r="H27" s="73">
        <v>2650</v>
      </c>
      <c r="I27" s="119"/>
      <c r="J27" s="119"/>
      <c r="K27" s="2">
        <f t="shared" si="161"/>
        <v>28.516800000000003</v>
      </c>
      <c r="L27" s="1">
        <f t="shared" si="162"/>
        <v>36</v>
      </c>
      <c r="M27" s="1">
        <f t="shared" si="163"/>
        <v>3.5835189384561099</v>
      </c>
      <c r="N27" s="3">
        <f t="shared" si="164"/>
        <v>377.35849056603774</v>
      </c>
      <c r="O27" s="3"/>
      <c r="P27" s="3">
        <f t="shared" si="165"/>
        <v>22641.509433962266</v>
      </c>
      <c r="Q27" s="3"/>
      <c r="R27" s="3">
        <f t="shared" si="166"/>
        <v>49.135220125786169</v>
      </c>
      <c r="S27">
        <v>36</v>
      </c>
      <c r="T27" s="3">
        <f t="shared" si="167"/>
        <v>36</v>
      </c>
      <c r="U27" s="4">
        <f t="shared" si="168"/>
        <v>28.516800000000003</v>
      </c>
      <c r="V27" s="4"/>
      <c r="W27">
        <f t="shared" si="169"/>
        <v>3.8241656169600007E-2</v>
      </c>
      <c r="X27" s="150">
        <f t="shared" si="170"/>
        <v>8.8706620372876483E-3</v>
      </c>
      <c r="Y27" s="150">
        <f t="shared" si="171"/>
        <v>5.8955711369355762E-3</v>
      </c>
      <c r="AE27" s="5" t="s">
        <v>56</v>
      </c>
      <c r="AF27" s="5"/>
      <c r="AG27" s="5"/>
      <c r="AH27" s="5"/>
      <c r="AN27" s="5">
        <f t="shared" ref="AN27:AN35" si="172">AO27*$AF$32</f>
        <v>7372.8</v>
      </c>
      <c r="AO27" s="157">
        <v>16</v>
      </c>
      <c r="AP27" s="157">
        <v>3.3218574470251366E-4</v>
      </c>
      <c r="AQ27" s="157">
        <v>7.3801227827272476E-4</v>
      </c>
      <c r="AR27" s="172">
        <v>0.34399999999999997</v>
      </c>
      <c r="AS27" s="185">
        <f t="shared" ref="AS27:AS35" si="173">$AF$47/AR27</f>
        <v>1.0879888809533816E-7</v>
      </c>
      <c r="AT27" s="157" t="s">
        <v>201</v>
      </c>
    </row>
    <row r="28" spans="3:51" ht="13.95" customHeight="1" x14ac:dyDescent="0.3">
      <c r="C28" s="120">
        <f t="shared" si="34"/>
        <v>1.3111111111111111</v>
      </c>
      <c r="D28" s="73">
        <v>56</v>
      </c>
      <c r="E28" s="119"/>
      <c r="F28" s="73">
        <v>13.6</v>
      </c>
      <c r="G28" s="73">
        <v>3.8</v>
      </c>
      <c r="H28" s="73">
        <v>2070</v>
      </c>
      <c r="I28" s="119"/>
      <c r="J28" s="119"/>
      <c r="K28" s="2">
        <f t="shared" si="161"/>
        <v>51.68</v>
      </c>
      <c r="L28" s="1">
        <f t="shared" si="162"/>
        <v>56</v>
      </c>
      <c r="M28" s="1">
        <f t="shared" si="163"/>
        <v>4.0253516907351496</v>
      </c>
      <c r="N28" s="3">
        <f t="shared" si="164"/>
        <v>483.09178743961354</v>
      </c>
      <c r="O28" s="3"/>
      <c r="P28" s="3">
        <f t="shared" si="165"/>
        <v>28985.507246376812</v>
      </c>
      <c r="Q28" s="3"/>
      <c r="R28" s="3">
        <f t="shared" si="166"/>
        <v>62.902576489533011</v>
      </c>
      <c r="S28">
        <v>45</v>
      </c>
      <c r="T28" s="3">
        <f t="shared" si="167"/>
        <v>56</v>
      </c>
      <c r="U28" s="4">
        <f t="shared" si="168"/>
        <v>51.68</v>
      </c>
      <c r="V28" s="4"/>
      <c r="W28">
        <f t="shared" si="169"/>
        <v>6.9304016960000006E-2</v>
      </c>
      <c r="X28" s="150">
        <f t="shared" si="170"/>
        <v>1.255747204905024E-2</v>
      </c>
      <c r="Y28" s="150">
        <f t="shared" si="171"/>
        <v>9.5823811486981676E-3</v>
      </c>
      <c r="AE28" s="62" t="s">
        <v>15</v>
      </c>
      <c r="AF28" s="63">
        <f>Y53</f>
        <v>5</v>
      </c>
      <c r="AG28" s="64"/>
      <c r="AH28" s="29"/>
      <c r="AJ28" s="17" t="s">
        <v>134</v>
      </c>
      <c r="AK28" s="28"/>
      <c r="AL28" s="28"/>
      <c r="AM28" s="29"/>
      <c r="AN28" s="5">
        <f t="shared" si="172"/>
        <v>9216</v>
      </c>
      <c r="AO28" s="157">
        <v>20</v>
      </c>
      <c r="AP28" s="157">
        <v>7.4483427705766901E-4</v>
      </c>
      <c r="AQ28" s="157">
        <v>6.978697406499287E-4</v>
      </c>
      <c r="AR28" s="172">
        <v>0.27100000000000002</v>
      </c>
      <c r="AS28" s="185">
        <f t="shared" si="173"/>
        <v>1.3810633765607499E-7</v>
      </c>
      <c r="AT28" s="157" t="s">
        <v>201</v>
      </c>
    </row>
    <row r="29" spans="3:51" ht="13.95" customHeight="1" x14ac:dyDescent="0.3">
      <c r="C29" s="120">
        <f t="shared" si="34"/>
        <v>1.3555555555555556</v>
      </c>
      <c r="D29" s="73">
        <v>64</v>
      </c>
      <c r="E29" s="119"/>
      <c r="F29" s="73">
        <v>13.55</v>
      </c>
      <c r="G29" s="73">
        <v>4.38</v>
      </c>
      <c r="H29" s="73">
        <v>2000</v>
      </c>
      <c r="I29" s="119"/>
      <c r="J29" s="119"/>
      <c r="K29" s="2">
        <f t="shared" si="161"/>
        <v>59.349000000000004</v>
      </c>
      <c r="L29" s="1">
        <f t="shared" si="162"/>
        <v>64</v>
      </c>
      <c r="M29" s="1">
        <f t="shared" si="163"/>
        <v>4.1588830833596715</v>
      </c>
      <c r="N29" s="3">
        <f t="shared" si="164"/>
        <v>500.00000000000006</v>
      </c>
      <c r="O29" s="3"/>
      <c r="P29" s="3">
        <f t="shared" si="165"/>
        <v>30000.000000000004</v>
      </c>
      <c r="Q29" s="3"/>
      <c r="R29" s="3">
        <f t="shared" si="166"/>
        <v>65.104166666666671</v>
      </c>
      <c r="S29">
        <v>50</v>
      </c>
      <c r="T29" s="3">
        <f t="shared" si="167"/>
        <v>64</v>
      </c>
      <c r="U29" s="4">
        <f t="shared" si="168"/>
        <v>59.349000000000004</v>
      </c>
      <c r="V29" s="4"/>
      <c r="W29">
        <f t="shared" si="169"/>
        <v>7.9588314678000011E-2</v>
      </c>
      <c r="X29" s="150">
        <f t="shared" si="170"/>
        <v>1.39332609562952E-2</v>
      </c>
      <c r="Y29" s="150">
        <f t="shared" si="171"/>
        <v>1.0958170055943128E-2</v>
      </c>
      <c r="AE29" s="65" t="s">
        <v>14</v>
      </c>
      <c r="AF29" s="66">
        <f>Y52</f>
        <v>0</v>
      </c>
      <c r="AG29" s="45"/>
      <c r="AH29" s="31"/>
      <c r="AJ29" s="19" t="s">
        <v>128</v>
      </c>
      <c r="AK29" s="30">
        <v>25</v>
      </c>
      <c r="AL29" s="30" t="s">
        <v>93</v>
      </c>
      <c r="AM29" s="31"/>
      <c r="AN29" s="5">
        <f t="shared" si="172"/>
        <v>11520</v>
      </c>
      <c r="AO29" s="157">
        <v>25</v>
      </c>
      <c r="AP29" s="157">
        <v>1.8196732395486779E-3</v>
      </c>
      <c r="AQ29" s="157">
        <v>8.2156541787077825E-4</v>
      </c>
      <c r="AR29" s="172">
        <v>0.185</v>
      </c>
      <c r="AS29" s="185">
        <f t="shared" si="173"/>
        <v>2.0230712164754772E-7</v>
      </c>
      <c r="AT29" s="157" t="s">
        <v>201</v>
      </c>
    </row>
    <row r="30" spans="3:51" ht="13.95" customHeight="1" x14ac:dyDescent="0.3">
      <c r="C30" s="120">
        <f t="shared" si="34"/>
        <v>1.4944444444444445</v>
      </c>
      <c r="D30" s="73">
        <v>89</v>
      </c>
      <c r="E30" s="119"/>
      <c r="F30" s="73">
        <v>13.42</v>
      </c>
      <c r="G30" s="73">
        <v>6.3</v>
      </c>
      <c r="H30" s="73">
        <v>1760</v>
      </c>
      <c r="I30" s="119"/>
      <c r="J30" s="119"/>
      <c r="K30" s="2">
        <f t="shared" si="161"/>
        <v>84.545999999999992</v>
      </c>
      <c r="L30" s="1">
        <f t="shared" si="162"/>
        <v>89</v>
      </c>
      <c r="M30" s="1">
        <f t="shared" si="163"/>
        <v>4.4886363697321396</v>
      </c>
      <c r="N30" s="3">
        <f t="shared" si="164"/>
        <v>568.18181818181813</v>
      </c>
      <c r="O30" s="3"/>
      <c r="P30" s="3">
        <f t="shared" si="165"/>
        <v>34090.909090909088</v>
      </c>
      <c r="Q30" s="3"/>
      <c r="R30" s="3">
        <f t="shared" si="166"/>
        <v>73.982007575757564</v>
      </c>
      <c r="S30">
        <v>52</v>
      </c>
      <c r="T30" s="3">
        <f t="shared" si="167"/>
        <v>89</v>
      </c>
      <c r="U30" s="4">
        <f t="shared" si="168"/>
        <v>84.545999999999992</v>
      </c>
      <c r="V30" s="4"/>
      <c r="W30">
        <f t="shared" si="169"/>
        <v>0.11337804601199999</v>
      </c>
      <c r="X30" s="150">
        <f t="shared" si="170"/>
        <v>1.7466870597880702E-2</v>
      </c>
      <c r="Y30" s="150">
        <f t="shared" si="171"/>
        <v>1.449177969752863E-2</v>
      </c>
      <c r="AC30" s="147"/>
      <c r="AE30" s="65" t="s">
        <v>17</v>
      </c>
      <c r="AF30" s="66">
        <f>AB37</f>
        <v>5</v>
      </c>
      <c r="AG30" s="30"/>
      <c r="AH30" s="31"/>
      <c r="AJ30" s="19" t="s">
        <v>144</v>
      </c>
      <c r="AK30" s="30">
        <v>2.1797</v>
      </c>
      <c r="AL30" s="30" t="s">
        <v>94</v>
      </c>
      <c r="AM30" s="31"/>
      <c r="AN30" s="5">
        <f t="shared" si="172"/>
        <v>16588.8</v>
      </c>
      <c r="AO30" s="157">
        <v>36</v>
      </c>
      <c r="AP30" s="157">
        <v>7.5397784789642732E-3</v>
      </c>
      <c r="AQ30" s="157">
        <v>2.7131440751281396E-3</v>
      </c>
      <c r="AR30" s="172">
        <v>0.121</v>
      </c>
      <c r="AS30" s="185">
        <f t="shared" si="173"/>
        <v>3.0931254136195313E-7</v>
      </c>
      <c r="AT30" s="157" t="s">
        <v>201</v>
      </c>
    </row>
    <row r="31" spans="3:51" ht="13.95" customHeight="1" x14ac:dyDescent="0.3">
      <c r="C31" s="120">
        <f t="shared" si="34"/>
        <v>1.7944444444444443</v>
      </c>
      <c r="D31" s="73">
        <v>143</v>
      </c>
      <c r="E31" s="119"/>
      <c r="F31" s="73">
        <v>13.1</v>
      </c>
      <c r="G31" s="73">
        <v>11.7</v>
      </c>
      <c r="H31" s="73">
        <v>1430</v>
      </c>
      <c r="I31" s="119"/>
      <c r="J31" s="119"/>
      <c r="K31" s="2">
        <f t="shared" si="161"/>
        <v>153.26999999999998</v>
      </c>
      <c r="L31" s="1">
        <f t="shared" si="162"/>
        <v>143</v>
      </c>
      <c r="M31" s="1">
        <f t="shared" si="163"/>
        <v>4.962844630259907</v>
      </c>
      <c r="N31" s="3">
        <f t="shared" si="164"/>
        <v>699.30069930069931</v>
      </c>
      <c r="O31" s="3"/>
      <c r="P31" s="3">
        <f t="shared" si="165"/>
        <v>41958.041958041955</v>
      </c>
      <c r="Q31" s="3"/>
      <c r="R31" s="3">
        <f t="shared" si="166"/>
        <v>91.054778554778551</v>
      </c>
      <c r="S31">
        <v>55</v>
      </c>
      <c r="T31" s="3">
        <f t="shared" si="167"/>
        <v>143</v>
      </c>
      <c r="U31" s="4">
        <f t="shared" si="168"/>
        <v>153.26999999999998</v>
      </c>
      <c r="V31" s="4"/>
      <c r="W31">
        <f t="shared" si="169"/>
        <v>0.20553844193999998</v>
      </c>
      <c r="X31" s="150">
        <f t="shared" si="170"/>
        <v>2.5727794880141638E-2</v>
      </c>
      <c r="Y31" s="150">
        <f t="shared" si="171"/>
        <v>2.2752703979789565E-2</v>
      </c>
      <c r="AD31" s="97"/>
      <c r="AE31" s="65" t="s">
        <v>16</v>
      </c>
      <c r="AF31" s="66">
        <f>AB36</f>
        <v>0</v>
      </c>
      <c r="AG31" s="30"/>
      <c r="AH31" s="31"/>
      <c r="AJ31" s="19" t="s">
        <v>129</v>
      </c>
      <c r="AK31" s="30">
        <f>($AK$29/25.4)^2*$AK$30/1000*2.2/3</f>
        <v>1.5484983053299442E-3</v>
      </c>
      <c r="AL31" s="30" t="s">
        <v>96</v>
      </c>
      <c r="AM31" s="177" t="s">
        <v>146</v>
      </c>
      <c r="AN31" s="5">
        <f t="shared" si="172"/>
        <v>20736</v>
      </c>
      <c r="AO31" s="157">
        <v>45</v>
      </c>
      <c r="AP31" s="157">
        <v>1.7146093021340732E-2</v>
      </c>
      <c r="AQ31" s="157">
        <v>7.1180011608729891E-3</v>
      </c>
      <c r="AR31" s="172">
        <v>9.6000000000000002E-2</v>
      </c>
      <c r="AS31" s="185">
        <f t="shared" si="173"/>
        <v>3.8986268234162836E-7</v>
      </c>
      <c r="AT31" s="157" t="s">
        <v>201</v>
      </c>
    </row>
    <row r="32" spans="3:51" ht="13.95" customHeight="1" x14ac:dyDescent="0.3">
      <c r="C32" s="120">
        <f t="shared" si="34"/>
        <v>1.9166666666666665</v>
      </c>
      <c r="D32" s="73">
        <v>165</v>
      </c>
      <c r="E32" s="119"/>
      <c r="F32" s="73">
        <v>12.72</v>
      </c>
      <c r="G32" s="73">
        <v>16.86</v>
      </c>
      <c r="H32" s="73">
        <v>1280</v>
      </c>
      <c r="I32" s="119"/>
      <c r="J32" s="119"/>
      <c r="K32" s="2">
        <f t="shared" si="161"/>
        <v>214.45920000000001</v>
      </c>
      <c r="L32" s="1">
        <f t="shared" si="162"/>
        <v>165</v>
      </c>
      <c r="M32" s="1">
        <f t="shared" si="163"/>
        <v>5.1059454739005803</v>
      </c>
      <c r="N32" s="3">
        <f t="shared" si="164"/>
        <v>781.25000000000011</v>
      </c>
      <c r="O32" s="3"/>
      <c r="P32" s="3">
        <f t="shared" si="165"/>
        <v>46875.000000000007</v>
      </c>
      <c r="Q32" s="3"/>
      <c r="R32" s="3">
        <f t="shared" si="166"/>
        <v>101.72526041666667</v>
      </c>
      <c r="S32">
        <v>62</v>
      </c>
      <c r="T32" s="3">
        <f t="shared" si="167"/>
        <v>165</v>
      </c>
      <c r="U32" s="4">
        <f t="shared" si="168"/>
        <v>214.45920000000001</v>
      </c>
      <c r="V32" s="4"/>
      <c r="W32">
        <f t="shared" si="169"/>
        <v>0.28759450530240005</v>
      </c>
      <c r="X32" s="150">
        <f t="shared" si="170"/>
        <v>3.2222855292761705E-2</v>
      </c>
      <c r="Y32" s="150">
        <f t="shared" si="171"/>
        <v>2.9247764392409632E-2</v>
      </c>
      <c r="AE32" s="65" t="s">
        <v>27</v>
      </c>
      <c r="AF32" s="66">
        <f>Y46/100</f>
        <v>460.8</v>
      </c>
      <c r="AG32" s="30"/>
      <c r="AH32" s="31"/>
      <c r="AJ32" s="19" t="s">
        <v>141</v>
      </c>
      <c r="AK32" s="178">
        <f>3/8/2*25.4</f>
        <v>4.7624999999999993</v>
      </c>
      <c r="AL32" s="30" t="s">
        <v>93</v>
      </c>
      <c r="AM32" s="31" t="s">
        <v>142</v>
      </c>
      <c r="AN32" s="5">
        <f t="shared" si="172"/>
        <v>23040</v>
      </c>
      <c r="AO32" s="157">
        <v>50</v>
      </c>
      <c r="AP32" s="157">
        <v>2.4979887676232684E-2</v>
      </c>
      <c r="AQ32" s="157">
        <v>1.1143313366134135E-2</v>
      </c>
      <c r="AR32" s="172">
        <v>7.0999999999999994E-2</v>
      </c>
      <c r="AS32" s="185">
        <f t="shared" si="173"/>
        <v>5.2713827471544122E-7</v>
      </c>
      <c r="AT32" s="157" t="s">
        <v>201</v>
      </c>
    </row>
    <row r="33" spans="2:51" ht="13.95" customHeight="1" x14ac:dyDescent="0.3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4"/>
      <c r="V33" s="4"/>
      <c r="AE33" s="65" t="s">
        <v>18</v>
      </c>
      <c r="AF33" s="66">
        <f>AA53</f>
        <v>180</v>
      </c>
      <c r="AG33" s="30"/>
      <c r="AH33" s="31"/>
      <c r="AJ33" s="19" t="s">
        <v>143</v>
      </c>
      <c r="AK33" s="178">
        <f>3/4*25.4</f>
        <v>19.049999999999997</v>
      </c>
      <c r="AL33" s="30" t="s">
        <v>93</v>
      </c>
      <c r="AM33" s="31" t="s">
        <v>142</v>
      </c>
      <c r="AN33" s="5">
        <f t="shared" si="172"/>
        <v>23961.600000000002</v>
      </c>
      <c r="AO33" s="157">
        <v>52</v>
      </c>
      <c r="AP33" s="157">
        <v>2.8687189497277076E-2</v>
      </c>
      <c r="AQ33" s="157">
        <v>1.3128852647530663E-2</v>
      </c>
      <c r="AR33" s="172">
        <v>6.4000000000000001E-2</v>
      </c>
      <c r="AS33" s="185">
        <f t="shared" si="173"/>
        <v>5.8479402351244256E-7</v>
      </c>
      <c r="AT33" s="157" t="s">
        <v>201</v>
      </c>
    </row>
    <row r="34" spans="2:51" ht="13.95" customHeight="1" thickBot="1" x14ac:dyDescent="0.35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t="s">
        <v>32</v>
      </c>
      <c r="AA34" t="s">
        <v>33</v>
      </c>
      <c r="AD34" s="30"/>
      <c r="AE34" s="65" t="s">
        <v>13</v>
      </c>
      <c r="AF34" s="66">
        <f>AA52</f>
        <v>0</v>
      </c>
      <c r="AG34" s="30"/>
      <c r="AH34" s="31"/>
      <c r="AJ34" s="19" t="s">
        <v>145</v>
      </c>
      <c r="AK34" s="30">
        <f>PI()*(AK32/25.4)^2/4*3/4*0.3</f>
        <v>6.2126221909368446E-3</v>
      </c>
      <c r="AL34" s="30" t="s">
        <v>148</v>
      </c>
      <c r="AM34" s="31" t="s">
        <v>142</v>
      </c>
      <c r="AN34" s="5">
        <f t="shared" si="172"/>
        <v>25344</v>
      </c>
      <c r="AO34" s="157">
        <v>55</v>
      </c>
      <c r="AP34" s="157">
        <v>3.4912727705496999E-2</v>
      </c>
      <c r="AQ34" s="157">
        <v>1.6549422883591874E-2</v>
      </c>
      <c r="AR34" s="172">
        <v>5.6000000000000001E-2</v>
      </c>
      <c r="AS34" s="185">
        <f t="shared" si="173"/>
        <v>6.6833602687136296E-7</v>
      </c>
      <c r="AT34" s="157" t="s">
        <v>201</v>
      </c>
    </row>
    <row r="35" spans="2:51" ht="13.95" customHeight="1" x14ac:dyDescent="0.3">
      <c r="B35" s="3" t="s">
        <v>28</v>
      </c>
      <c r="C35" s="11" t="s">
        <v>29</v>
      </c>
      <c r="D35" s="12"/>
      <c r="E35" s="12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17" t="s">
        <v>3</v>
      </c>
      <c r="Y35" s="18">
        <v>1</v>
      </c>
      <c r="AA35" s="17"/>
      <c r="AB35" s="23" t="s">
        <v>22</v>
      </c>
      <c r="AC35" s="7"/>
      <c r="AD35" s="30"/>
      <c r="AE35" s="65" t="s">
        <v>121</v>
      </c>
      <c r="AF35" s="66">
        <f>Y61</f>
        <v>0</v>
      </c>
      <c r="AG35" s="67">
        <f>Y60</f>
        <v>19031.297337054108</v>
      </c>
      <c r="AH35" s="68">
        <f>Y59</f>
        <v>-2376.4963781019646</v>
      </c>
      <c r="AJ35" s="19" t="s">
        <v>135</v>
      </c>
      <c r="AK35" s="30">
        <f>($AK$32/25.4)^2*$AK$34/2</f>
        <v>1.0920624945006168E-4</v>
      </c>
      <c r="AL35" s="30" t="s">
        <v>96</v>
      </c>
      <c r="AM35" s="31" t="s">
        <v>147</v>
      </c>
      <c r="AN35" s="5">
        <f t="shared" si="172"/>
        <v>28569.600000000002</v>
      </c>
      <c r="AO35" s="157">
        <v>62</v>
      </c>
      <c r="AP35" s="157">
        <v>5.2819357330458824E-2</v>
      </c>
      <c r="AQ35" s="157">
        <v>2.6818816528704516E-2</v>
      </c>
      <c r="AR35" s="134">
        <v>3.5000000000000003E-2</v>
      </c>
      <c r="AS35" s="185">
        <f t="shared" si="173"/>
        <v>1.0693376429941806E-6</v>
      </c>
      <c r="AT35" s="136">
        <f>-AS35/$AF$46</f>
        <v>-1.4495941088429112E-6</v>
      </c>
      <c r="AU35" s="146"/>
    </row>
    <row r="36" spans="2:51" x14ac:dyDescent="0.3">
      <c r="B36" s="3"/>
      <c r="C36" s="13" t="s">
        <v>30</v>
      </c>
      <c r="D36" s="14"/>
      <c r="E36" s="14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9" t="s">
        <v>4</v>
      </c>
      <c r="Y36" s="20">
        <v>4800</v>
      </c>
      <c r="Z36" t="s">
        <v>77</v>
      </c>
      <c r="AA36" s="24" t="s">
        <v>16</v>
      </c>
      <c r="AB36" s="25">
        <v>0</v>
      </c>
      <c r="AD36" s="30"/>
      <c r="AE36" s="65" t="s">
        <v>21</v>
      </c>
      <c r="AF36" s="66">
        <f>Y63</f>
        <v>-25440.909781449343</v>
      </c>
      <c r="AG36" s="67">
        <f>Y62</f>
        <v>13378.520040168771</v>
      </c>
      <c r="AH36" s="31"/>
      <c r="AJ36" s="19" t="s">
        <v>95</v>
      </c>
      <c r="AK36" s="30">
        <f>AK31+AK35</f>
        <v>1.6577045547800059E-3</v>
      </c>
      <c r="AL36" s="30" t="s">
        <v>96</v>
      </c>
      <c r="AM36" s="31"/>
    </row>
    <row r="37" spans="2:51" ht="13.95" customHeight="1" thickBot="1" x14ac:dyDescent="0.35">
      <c r="B37" s="3"/>
      <c r="C37" s="15" t="s">
        <v>31</v>
      </c>
      <c r="D37" s="16"/>
      <c r="E37" s="16"/>
      <c r="F37" s="6"/>
      <c r="G37" s="6"/>
      <c r="H37" s="6"/>
      <c r="I37" s="6"/>
      <c r="J37" s="6"/>
      <c r="K37" s="2"/>
      <c r="N37" s="3"/>
      <c r="O37" s="3"/>
      <c r="P37" s="3"/>
      <c r="Q37" s="2"/>
      <c r="R37" s="3"/>
      <c r="S37" s="3"/>
      <c r="T37" s="3"/>
      <c r="U37" s="3"/>
      <c r="V37" s="3"/>
      <c r="X37" s="19" t="s">
        <v>5</v>
      </c>
      <c r="Y37" s="20">
        <v>12</v>
      </c>
      <c r="AA37" s="26" t="s">
        <v>17</v>
      </c>
      <c r="AB37" s="27">
        <v>5</v>
      </c>
      <c r="AD37" s="30"/>
      <c r="AE37" s="65" t="s">
        <v>122</v>
      </c>
      <c r="AF37" s="66">
        <f>AB62</f>
        <v>-11898.953667367517</v>
      </c>
      <c r="AG37" s="69">
        <f>AB61</f>
        <v>1.1280496111013962</v>
      </c>
      <c r="AH37" s="31"/>
      <c r="AJ37" s="19" t="s">
        <v>95</v>
      </c>
      <c r="AK37" s="30">
        <f>AK36/144</f>
        <v>1.1511837185972264E-5</v>
      </c>
      <c r="AL37" s="30" t="s">
        <v>97</v>
      </c>
      <c r="AM37" s="31"/>
    </row>
    <row r="38" spans="2:51" ht="13.95" customHeight="1" thickBot="1" x14ac:dyDescent="0.35">
      <c r="C38" s="5"/>
      <c r="D38" s="6"/>
      <c r="E38" s="6"/>
      <c r="F38" s="6"/>
      <c r="G38" s="6"/>
      <c r="H38" s="6"/>
      <c r="I38" s="6"/>
      <c r="J38" s="6"/>
      <c r="K38" s="2"/>
      <c r="N38" s="3"/>
      <c r="O38" s="3"/>
      <c r="P38" s="3"/>
      <c r="Q38" s="3"/>
      <c r="R38" s="3"/>
      <c r="S38" s="3"/>
      <c r="T38" s="3"/>
      <c r="U38" s="3"/>
      <c r="V38" s="3"/>
      <c r="X38" s="57" t="s">
        <v>69</v>
      </c>
      <c r="Y38" s="20">
        <v>3.9899999999999998E-2</v>
      </c>
      <c r="Z38" t="s">
        <v>76</v>
      </c>
      <c r="AD38" s="30"/>
      <c r="AE38" s="65" t="s">
        <v>123</v>
      </c>
      <c r="AF38" s="66">
        <f>AB60</f>
        <v>11004.991561613351</v>
      </c>
      <c r="AG38" s="69">
        <f>AB59</f>
        <v>0.87022570237693908</v>
      </c>
      <c r="AH38" s="31"/>
      <c r="AJ38" s="21" t="s">
        <v>95</v>
      </c>
      <c r="AK38" s="32">
        <f>AK37/2048.5*6.66</f>
        <v>3.7426817504796325E-8</v>
      </c>
      <c r="AL38" s="32" t="s">
        <v>98</v>
      </c>
      <c r="AM38" s="33"/>
    </row>
    <row r="39" spans="2:51" ht="15" customHeight="1" x14ac:dyDescent="0.45">
      <c r="C39" s="5"/>
      <c r="D39" s="6"/>
      <c r="E39" s="6"/>
      <c r="F39" s="6"/>
      <c r="G39" s="6"/>
      <c r="H39" s="6"/>
      <c r="I39" s="6"/>
      <c r="J39" s="6"/>
      <c r="K39" s="2"/>
      <c r="N39" s="3"/>
      <c r="O39" s="3"/>
      <c r="P39" s="3"/>
      <c r="Q39" s="3"/>
      <c r="R39" s="3"/>
      <c r="S39" s="3"/>
      <c r="T39" s="3"/>
      <c r="U39" s="3"/>
      <c r="V39" s="3"/>
      <c r="X39" s="57" t="s">
        <v>70</v>
      </c>
      <c r="Y39" s="129">
        <v>4.1999999999999996E-6</v>
      </c>
      <c r="Z39" t="s">
        <v>75</v>
      </c>
      <c r="AD39" s="94" t="s">
        <v>54</v>
      </c>
      <c r="AE39" s="65" t="s">
        <v>92</v>
      </c>
      <c r="AF39" s="124">
        <f>Y69</f>
        <v>-3.1800913385525431E-4</v>
      </c>
      <c r="AG39" s="124">
        <f>Y68</f>
        <v>-5.890826062689376E-8</v>
      </c>
      <c r="AH39" s="139">
        <f>Y67</f>
        <v>1.4648465795503865E-11</v>
      </c>
    </row>
    <row r="40" spans="2:51" x14ac:dyDescent="0.3">
      <c r="C40" s="5"/>
      <c r="D40" s="6"/>
      <c r="E40" s="6"/>
      <c r="F40" s="6"/>
      <c r="G40" s="6"/>
      <c r="H40" s="6"/>
      <c r="I40" s="6"/>
      <c r="J40" s="6"/>
      <c r="K40" s="2"/>
      <c r="N40" s="3"/>
      <c r="O40" s="3"/>
      <c r="P40" s="3"/>
      <c r="Q40" s="3"/>
      <c r="R40" s="3"/>
      <c r="S40" s="3"/>
      <c r="T40" s="3"/>
      <c r="U40" s="3"/>
      <c r="V40" s="3"/>
      <c r="X40" s="57" t="s">
        <v>71</v>
      </c>
      <c r="Y40" s="130">
        <f>Y36*2*PI()/60</f>
        <v>502.6548245743669</v>
      </c>
      <c r="Z40" t="s">
        <v>73</v>
      </c>
      <c r="AE40" s="65" t="s">
        <v>130</v>
      </c>
      <c r="AF40" s="124">
        <f>AB69</f>
        <v>2.0111653701195102E-3</v>
      </c>
      <c r="AG40" s="124">
        <f>AB68</f>
        <v>-3.0709262345742761E-7</v>
      </c>
      <c r="AH40" s="139">
        <f>AB67</f>
        <v>1.4325144135226059E-11</v>
      </c>
      <c r="AI40" s="5"/>
      <c r="AJ40" s="5"/>
      <c r="AK40" s="5"/>
    </row>
    <row r="41" spans="2:51" x14ac:dyDescent="0.3">
      <c r="C41" s="5"/>
      <c r="D41" s="6"/>
      <c r="E41" s="6"/>
      <c r="F41" s="6"/>
      <c r="G41" s="6"/>
      <c r="H41" s="6"/>
      <c r="I41" s="6"/>
      <c r="J41" s="6"/>
      <c r="K41" s="2"/>
      <c r="N41" s="3"/>
      <c r="O41" s="3"/>
      <c r="P41" s="3"/>
      <c r="Q41" s="3"/>
      <c r="R41" s="3"/>
      <c r="S41" s="3"/>
      <c r="T41" s="3"/>
      <c r="U41" s="3"/>
      <c r="V41" s="3"/>
      <c r="X41" s="57" t="s">
        <v>72</v>
      </c>
      <c r="Y41" s="132">
        <f>7/Y40</f>
        <v>1.3926057520540842E-2</v>
      </c>
      <c r="Z41" t="s">
        <v>74</v>
      </c>
      <c r="AE41" s="65" t="s">
        <v>179</v>
      </c>
      <c r="AF41" s="69">
        <f>Z21</f>
        <v>4.4249528005034611</v>
      </c>
      <c r="AG41" s="30"/>
      <c r="AH41" s="31"/>
      <c r="AI41" s="5"/>
      <c r="AJ41" s="5"/>
      <c r="AK41" s="151"/>
    </row>
    <row r="42" spans="2:51" ht="15" thickBot="1" x14ac:dyDescent="0.35">
      <c r="D42" s="6"/>
      <c r="E42" s="6"/>
      <c r="F42" s="6"/>
      <c r="G42" s="6"/>
      <c r="H42" s="6"/>
      <c r="I42" s="6"/>
      <c r="J42" s="6"/>
      <c r="K42" s="2"/>
      <c r="N42" s="3"/>
      <c r="O42" s="3"/>
      <c r="P42" s="3"/>
      <c r="Q42" s="3"/>
      <c r="R42" s="3"/>
      <c r="S42" s="3"/>
      <c r="T42" s="3"/>
      <c r="U42" s="3"/>
      <c r="V42" s="3"/>
      <c r="X42" s="131" t="s">
        <v>79</v>
      </c>
      <c r="Y42" s="145">
        <f>AK38</f>
        <v>3.7426817504796325E-8</v>
      </c>
      <c r="Z42" t="s">
        <v>80</v>
      </c>
      <c r="AB42" t="s">
        <v>112</v>
      </c>
      <c r="AE42" s="65" t="s">
        <v>178</v>
      </c>
      <c r="AF42" s="160">
        <f>$Y$49</f>
        <v>2.1213604393365078E-3</v>
      </c>
      <c r="AG42" s="30"/>
      <c r="AH42" s="31"/>
      <c r="AI42" s="5"/>
      <c r="AJ42" s="5"/>
      <c r="AK42" s="151"/>
    </row>
    <row r="43" spans="2:51" ht="15" thickBot="1" x14ac:dyDescent="0.35">
      <c r="X43" t="s">
        <v>35</v>
      </c>
      <c r="AE43" s="65" t="s">
        <v>177</v>
      </c>
      <c r="AF43" s="160">
        <f>$Y$48</f>
        <v>1.2250000000000001</v>
      </c>
      <c r="AG43" s="30"/>
      <c r="AH43" s="31"/>
      <c r="AI43" s="5"/>
      <c r="AJ43" s="5"/>
      <c r="AK43" s="151"/>
      <c r="AV43" t="s">
        <v>188</v>
      </c>
      <c r="AY43" t="s">
        <v>193</v>
      </c>
    </row>
    <row r="44" spans="2:51" ht="15" thickBot="1" x14ac:dyDescent="0.35">
      <c r="X44" s="34">
        <v>240</v>
      </c>
      <c r="Y44" s="35" t="s">
        <v>34</v>
      </c>
      <c r="Z44" s="36"/>
      <c r="AA44" s="35"/>
      <c r="AB44" s="37"/>
      <c r="AC44" s="30"/>
      <c r="AE44" s="65" t="s">
        <v>180</v>
      </c>
      <c r="AF44" s="162">
        <f>$AG$15</f>
        <v>-1.653034084181211</v>
      </c>
      <c r="AG44" s="30"/>
      <c r="AH44" s="31"/>
      <c r="AI44" s="5"/>
      <c r="AJ44" s="5"/>
      <c r="AK44" s="151"/>
      <c r="AV44" t="s">
        <v>186</v>
      </c>
      <c r="AW44" s="151"/>
      <c r="AX44" s="164" t="s">
        <v>189</v>
      </c>
      <c r="AY44" t="s">
        <v>190</v>
      </c>
    </row>
    <row r="45" spans="2:51" ht="15" thickBot="1" x14ac:dyDescent="0.35">
      <c r="D45" s="6"/>
      <c r="E45" s="6"/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t="s">
        <v>36</v>
      </c>
      <c r="AE45" s="65" t="s">
        <v>182</v>
      </c>
      <c r="AF45" s="92">
        <f>AF15</f>
        <v>2.9431021745403703</v>
      </c>
      <c r="AG45" s="30"/>
      <c r="AH45" s="31"/>
      <c r="AI45" s="5"/>
      <c r="AJ45" s="5"/>
      <c r="AK45" s="151"/>
      <c r="AV45" t="s">
        <v>187</v>
      </c>
      <c r="AY45" t="s">
        <v>191</v>
      </c>
    </row>
    <row r="46" spans="2:51" x14ac:dyDescent="0.3">
      <c r="D46" s="6"/>
      <c r="E46" s="6"/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17" t="s">
        <v>6</v>
      </c>
      <c r="Y46" s="50">
        <f>Y36*Y37/Z46</f>
        <v>46080</v>
      </c>
      <c r="Z46" s="154">
        <v>1.25</v>
      </c>
      <c r="AA46" s="28" t="s">
        <v>9</v>
      </c>
      <c r="AB46" s="155"/>
      <c r="AC46">
        <f>X44</f>
        <v>240</v>
      </c>
      <c r="AD46" t="s">
        <v>156</v>
      </c>
      <c r="AE46" s="65" t="s">
        <v>183</v>
      </c>
      <c r="AF46" s="162">
        <f>1/1.3556</f>
        <v>0.73768073177928595</v>
      </c>
      <c r="AG46" s="30"/>
      <c r="AH46" s="31"/>
      <c r="AI46" s="5"/>
      <c r="AJ46" s="5"/>
      <c r="AK46" s="151"/>
      <c r="AV46" t="s">
        <v>181</v>
      </c>
      <c r="AY46" t="s">
        <v>192</v>
      </c>
    </row>
    <row r="47" spans="2:51" ht="15" thickBot="1" x14ac:dyDescent="0.35">
      <c r="D47" s="6"/>
      <c r="E47" s="6"/>
      <c r="F47" s="6"/>
      <c r="G47" s="6"/>
      <c r="H47" s="6"/>
      <c r="I47" s="6"/>
      <c r="J47" s="6"/>
      <c r="K47" s="9"/>
      <c r="L47" s="6"/>
      <c r="M47" s="6"/>
      <c r="N47" s="10"/>
      <c r="O47" s="10"/>
      <c r="P47" s="10"/>
      <c r="Q47" s="10"/>
      <c r="R47" s="10"/>
      <c r="S47" s="10"/>
      <c r="T47" s="10"/>
      <c r="U47" s="10"/>
      <c r="V47" s="10"/>
      <c r="X47" s="21" t="s">
        <v>154</v>
      </c>
      <c r="Y47" s="156">
        <f>450/454</f>
        <v>0.99118942731277537</v>
      </c>
      <c r="Z47" s="32" t="s">
        <v>155</v>
      </c>
      <c r="AA47" s="166">
        <f>Y47/0.224</f>
        <v>4.4249528005034611</v>
      </c>
      <c r="AB47" s="33" t="s">
        <v>158</v>
      </c>
      <c r="AE47" s="65" t="s">
        <v>184</v>
      </c>
      <c r="AF47" s="179">
        <f>$Y$42</f>
        <v>3.7426817504796325E-8</v>
      </c>
      <c r="AG47" s="30"/>
      <c r="AH47" s="31"/>
      <c r="AI47" s="5"/>
      <c r="AJ47" s="5"/>
      <c r="AK47" s="151"/>
      <c r="AV47" t="s">
        <v>194</v>
      </c>
      <c r="AW47" t="s">
        <v>197</v>
      </c>
    </row>
    <row r="48" spans="2:51" x14ac:dyDescent="0.3">
      <c r="C48" t="s">
        <v>55</v>
      </c>
      <c r="D48" s="6"/>
      <c r="E48" s="6"/>
      <c r="F48" s="6"/>
      <c r="G48" s="6"/>
      <c r="H48" s="6"/>
      <c r="I48" s="6"/>
      <c r="J48" s="6"/>
      <c r="K48" s="9"/>
      <c r="L48" s="6"/>
      <c r="M48" s="6"/>
      <c r="N48" s="10"/>
      <c r="O48" s="10"/>
      <c r="P48" s="10"/>
      <c r="Q48" s="10"/>
      <c r="R48" s="10"/>
      <c r="S48" s="10"/>
      <c r="T48" s="10"/>
      <c r="U48" s="10"/>
      <c r="V48" s="10"/>
      <c r="X48" s="45" t="s">
        <v>160</v>
      </c>
      <c r="Y48" s="5">
        <v>1.2250000000000001</v>
      </c>
      <c r="Z48" t="s">
        <v>161</v>
      </c>
      <c r="AA48" t="s">
        <v>169</v>
      </c>
      <c r="AE48" s="65" t="s">
        <v>199</v>
      </c>
      <c r="AF48" s="160">
        <f>AB49/1000</f>
        <v>5.5E-2</v>
      </c>
      <c r="AG48" s="30"/>
      <c r="AH48" s="31"/>
      <c r="AI48" s="5"/>
      <c r="AJ48" s="5"/>
      <c r="AK48" s="151"/>
      <c r="AV48" t="s">
        <v>195</v>
      </c>
      <c r="AX48" s="164" t="s">
        <v>196</v>
      </c>
      <c r="AY48" t="s">
        <v>214</v>
      </c>
    </row>
    <row r="49" spans="3:51" x14ac:dyDescent="0.3">
      <c r="C49" t="s">
        <v>51</v>
      </c>
      <c r="D49" s="6" t="s">
        <v>52</v>
      </c>
      <c r="E49" s="6" t="s">
        <v>53</v>
      </c>
      <c r="F49" s="6"/>
      <c r="G49" s="6"/>
      <c r="H49" s="6"/>
      <c r="I49" s="6"/>
      <c r="J49" s="6"/>
      <c r="K49" s="9"/>
      <c r="L49" s="6"/>
      <c r="M49" s="6"/>
      <c r="N49" s="10"/>
      <c r="O49" s="10"/>
      <c r="P49" s="10"/>
      <c r="Q49" s="10"/>
      <c r="R49" s="10"/>
      <c r="S49" s="10"/>
      <c r="T49" s="10"/>
      <c r="U49" s="10"/>
      <c r="V49" s="10"/>
      <c r="X49" s="45" t="s">
        <v>162</v>
      </c>
      <c r="Y49" s="157">
        <f>(55^2-18^2)*PI()/4/1000^2</f>
        <v>2.1213604393365078E-3</v>
      </c>
      <c r="Z49" t="s">
        <v>163</v>
      </c>
      <c r="AA49" t="s">
        <v>168</v>
      </c>
      <c r="AB49" s="157">
        <v>55</v>
      </c>
      <c r="AC49" t="s">
        <v>93</v>
      </c>
      <c r="AE49" s="161" t="s">
        <v>211</v>
      </c>
      <c r="AF49" s="160">
        <v>7</v>
      </c>
      <c r="AG49" s="30"/>
      <c r="AH49" s="31"/>
      <c r="AI49" s="5"/>
      <c r="AJ49" s="5"/>
      <c r="AK49" s="151"/>
      <c r="AV49" t="s">
        <v>198</v>
      </c>
    </row>
    <row r="50" spans="3:51" ht="15" thickBot="1" x14ac:dyDescent="0.35">
      <c r="C50" s="73">
        <v>87</v>
      </c>
      <c r="D50" s="6">
        <f>C50/180*(2.4-0.53)+0.53</f>
        <v>1.4338333333333333</v>
      </c>
      <c r="E50" s="88">
        <f>(D50-1)*180</f>
        <v>78.089999999999989</v>
      </c>
      <c r="F50" s="6"/>
      <c r="G50" s="6"/>
      <c r="H50" s="6"/>
      <c r="I50" s="6"/>
      <c r="J50" s="6"/>
      <c r="K50" s="9"/>
      <c r="L50" s="6"/>
      <c r="M50" s="6"/>
      <c r="N50" s="10"/>
      <c r="O50" s="10"/>
      <c r="P50" s="10"/>
      <c r="Q50" s="10"/>
      <c r="R50" s="10"/>
      <c r="S50" s="10"/>
      <c r="T50" s="10"/>
      <c r="U50" s="10">
        <f>(60*2.5/PI()/AB49*1000/41)^2</f>
        <v>448.32161728852856</v>
      </c>
      <c r="V50" s="10"/>
      <c r="AA50" t="s">
        <v>174</v>
      </c>
      <c r="AB50" s="157">
        <v>45</v>
      </c>
      <c r="AC50" t="s">
        <v>175</v>
      </c>
      <c r="AD50" t="s">
        <v>176</v>
      </c>
      <c r="AE50" s="70" t="s">
        <v>218</v>
      </c>
      <c r="AF50" s="183">
        <f>$Z$21</f>
        <v>4.4249528005034611</v>
      </c>
      <c r="AG50" s="32"/>
      <c r="AH50" s="33"/>
      <c r="AX50" s="164" t="s">
        <v>189</v>
      </c>
      <c r="AY50" t="s">
        <v>200</v>
      </c>
    </row>
    <row r="51" spans="3:51" ht="28.8" x14ac:dyDescent="0.3">
      <c r="C51" s="73">
        <v>90</v>
      </c>
      <c r="D51" s="6">
        <f t="shared" ref="D51:D56" si="174">C51/180*(2.4-0.53)+0.53</f>
        <v>1.4649999999999999</v>
      </c>
      <c r="E51" s="88">
        <f t="shared" ref="E51:E56" si="175">(D51-1)*180</f>
        <v>83.699999999999974</v>
      </c>
      <c r="F51" s="6"/>
      <c r="G51" s="6"/>
      <c r="H51" s="6"/>
      <c r="I51" s="6"/>
      <c r="J51" s="6"/>
      <c r="K51" s="9"/>
      <c r="L51" s="6"/>
      <c r="M51" s="6"/>
      <c r="N51" s="10"/>
      <c r="O51" s="10"/>
      <c r="P51" s="10"/>
      <c r="Q51" s="10"/>
      <c r="R51" s="10"/>
      <c r="S51" s="10"/>
      <c r="T51" s="10"/>
      <c r="U51" s="10"/>
      <c r="V51" s="10"/>
      <c r="X51" s="17"/>
      <c r="Y51" s="42" t="s">
        <v>19</v>
      </c>
      <c r="Z51" s="28"/>
      <c r="AA51" s="42" t="s">
        <v>20</v>
      </c>
      <c r="AB51" s="29" t="s">
        <v>109</v>
      </c>
      <c r="AV51" t="s">
        <v>217</v>
      </c>
    </row>
    <row r="52" spans="3:51" x14ac:dyDescent="0.3">
      <c r="C52" s="73">
        <v>100</v>
      </c>
      <c r="D52" s="6">
        <f t="shared" si="174"/>
        <v>1.568888888888889</v>
      </c>
      <c r="E52" s="88">
        <f t="shared" si="175"/>
        <v>102.40000000000002</v>
      </c>
      <c r="F52" s="6"/>
      <c r="G52" s="6"/>
      <c r="H52" s="6"/>
      <c r="I52" s="6"/>
      <c r="J52" s="6"/>
      <c r="K52" s="9"/>
      <c r="L52" s="6"/>
      <c r="M52" s="6"/>
      <c r="N52" s="10"/>
      <c r="O52" s="10"/>
      <c r="P52" s="10"/>
      <c r="Q52" s="10"/>
      <c r="R52" s="10"/>
      <c r="S52" s="10"/>
      <c r="T52" s="10"/>
      <c r="U52" s="10"/>
      <c r="V52" s="10"/>
      <c r="X52" s="57" t="s">
        <v>14</v>
      </c>
      <c r="Y52" s="58">
        <v>0</v>
      </c>
      <c r="Z52" s="45" t="s">
        <v>13</v>
      </c>
      <c r="AA52" s="59">
        <v>0</v>
      </c>
      <c r="AB52" s="89">
        <f>AB62/Y46*100</f>
        <v>-25.822382090641316</v>
      </c>
      <c r="AC52" t="s">
        <v>106</v>
      </c>
      <c r="AV52" t="s">
        <v>215</v>
      </c>
    </row>
    <row r="53" spans="3:51" x14ac:dyDescent="0.3">
      <c r="C53" s="73">
        <v>110</v>
      </c>
      <c r="D53" s="6">
        <f t="shared" si="174"/>
        <v>1.6727777777777779</v>
      </c>
      <c r="E53" s="88">
        <f t="shared" si="175"/>
        <v>121.10000000000002</v>
      </c>
      <c r="F53" s="6"/>
      <c r="G53" s="6"/>
      <c r="H53" s="6"/>
      <c r="I53" s="6"/>
      <c r="J53" s="6"/>
      <c r="K53" s="2"/>
      <c r="N53" s="3"/>
      <c r="O53" s="3"/>
      <c r="P53" s="3"/>
      <c r="Q53" s="3"/>
      <c r="R53" s="3"/>
      <c r="S53" s="3"/>
      <c r="T53" s="3"/>
      <c r="U53" s="3"/>
      <c r="V53" s="3"/>
      <c r="X53" s="57" t="s">
        <v>15</v>
      </c>
      <c r="Y53" s="58">
        <v>5</v>
      </c>
      <c r="Z53" s="45" t="s">
        <v>18</v>
      </c>
      <c r="AA53" s="59">
        <v>180</v>
      </c>
      <c r="AB53" s="60">
        <v>77</v>
      </c>
      <c r="AV53" t="s">
        <v>216</v>
      </c>
    </row>
    <row r="54" spans="3:51" x14ac:dyDescent="0.3">
      <c r="C54" s="73">
        <v>114</v>
      </c>
      <c r="D54" s="6">
        <f t="shared" si="174"/>
        <v>1.7143333333333333</v>
      </c>
      <c r="E54" s="88">
        <f t="shared" si="175"/>
        <v>128.57999999999998</v>
      </c>
      <c r="X54" s="19"/>
      <c r="Y54" s="30" t="s">
        <v>40</v>
      </c>
      <c r="Z54" s="30"/>
      <c r="AA54" s="61"/>
      <c r="AB54" s="89">
        <f>(AB53-AB52)/(Y53-Y52)</f>
        <v>20.564476418128262</v>
      </c>
      <c r="AJ54" s="104"/>
      <c r="AR54" s="3"/>
    </row>
    <row r="55" spans="3:51" x14ac:dyDescent="0.3">
      <c r="C55" s="73">
        <v>127.5</v>
      </c>
      <c r="D55" s="6">
        <f t="shared" si="174"/>
        <v>1.8545833333333333</v>
      </c>
      <c r="E55" s="88">
        <f t="shared" si="175"/>
        <v>153.82499999999999</v>
      </c>
      <c r="X55" s="19"/>
      <c r="Y55" s="30"/>
      <c r="Z55" s="30"/>
      <c r="AA55" s="61"/>
      <c r="AB55" s="89">
        <f>AB53-AB54*(Y53-Y52)</f>
        <v>-25.822382090641312</v>
      </c>
      <c r="AS55" s="3"/>
    </row>
    <row r="56" spans="3:51" ht="15" thickBot="1" x14ac:dyDescent="0.35">
      <c r="C56" s="80">
        <v>136.4</v>
      </c>
      <c r="D56" s="6">
        <f t="shared" si="174"/>
        <v>1.9470444444444444</v>
      </c>
      <c r="E56" s="88">
        <f t="shared" si="175"/>
        <v>170.46799999999999</v>
      </c>
      <c r="X56" s="21"/>
      <c r="Y56" s="32"/>
      <c r="Z56" s="32"/>
      <c r="AA56" s="47"/>
      <c r="AB56" s="48" t="s">
        <v>124</v>
      </c>
    </row>
    <row r="58" spans="3:51" ht="15" thickBot="1" x14ac:dyDescent="0.35">
      <c r="X58" t="s">
        <v>38</v>
      </c>
    </row>
    <row r="59" spans="3:51" x14ac:dyDescent="0.3">
      <c r="X59" s="49" t="s">
        <v>121</v>
      </c>
      <c r="Y59" s="50">
        <f>INDEX(LINEST($Q$8:$Q$21,$E$8:$E$21^{1,2},FALSE,FALSE),1)</f>
        <v>-2376.4963781019646</v>
      </c>
      <c r="Z59" s="28"/>
      <c r="AA59" s="51" t="s">
        <v>123</v>
      </c>
      <c r="AB59" s="52">
        <f>INDEX(LINEST($P$8:$P$21,$Q$8:$Q$21),1)</f>
        <v>0.87022570237693908</v>
      </c>
    </row>
    <row r="60" spans="3:51" x14ac:dyDescent="0.3">
      <c r="X60" s="43"/>
      <c r="Y60" s="54">
        <f>INDEX(LINEST($Q$8:$Q$21,$E$8:$E$21^{1,2},FALSE,FALSE),2)</f>
        <v>19031.297337054108</v>
      </c>
      <c r="Z60" s="30"/>
      <c r="AA60" s="44"/>
      <c r="AB60" s="46">
        <f>INDEX(LINEST($P$8:$P$21,$Q$8:$Q$21),2)</f>
        <v>11004.991561613351</v>
      </c>
    </row>
    <row r="61" spans="3:51" x14ac:dyDescent="0.3">
      <c r="X61" s="43"/>
      <c r="Y61" s="54">
        <f>INDEX(LINEST($Q$8:$Q$21,$E$8:$E$21^{1,2},FALSE,FALSE),3)</f>
        <v>0</v>
      </c>
      <c r="Z61" s="30"/>
      <c r="AA61" s="44" t="s">
        <v>122</v>
      </c>
      <c r="AB61" s="46">
        <f>INDEX(LINEST($Q$8:$Q$21,$P$8:$P$21),1)</f>
        <v>1.1280496111013962</v>
      </c>
    </row>
    <row r="62" spans="3:51" x14ac:dyDescent="0.3">
      <c r="X62" s="43" t="s">
        <v>21</v>
      </c>
      <c r="Y62" s="54">
        <f>INDEX(LINEST($P$8:$P$21,$M$8:$M$21),1)</f>
        <v>13378.520040168771</v>
      </c>
      <c r="Z62" s="30"/>
      <c r="AA62" s="44"/>
      <c r="AB62" s="46">
        <f>INDEX(LINEST($Q$8:$Q$21,$P$8:$P$21),2)</f>
        <v>-11898.953667367517</v>
      </c>
      <c r="AC62" t="s">
        <v>60</v>
      </c>
    </row>
    <row r="63" spans="3:51" x14ac:dyDescent="0.3">
      <c r="X63" s="43"/>
      <c r="Y63" s="54">
        <f>INDEX(LINEST($P$8:$P$21,$M$8:$M$21),2)</f>
        <v>-25440.909781449343</v>
      </c>
      <c r="Z63" s="30"/>
      <c r="AA63" s="30"/>
      <c r="AB63" s="31"/>
    </row>
    <row r="64" spans="3:51" x14ac:dyDescent="0.3">
      <c r="X64" s="19"/>
      <c r="Y64" s="30"/>
      <c r="Z64" s="30"/>
      <c r="AA64" s="30"/>
      <c r="AB64" s="31"/>
    </row>
    <row r="65" spans="3:49" x14ac:dyDescent="0.3">
      <c r="H65" s="176" t="s">
        <v>212</v>
      </c>
      <c r="X65" s="181" t="s">
        <v>62</v>
      </c>
      <c r="Y65" s="44">
        <f>EXP((0-$AF$36)/$AG$36)</f>
        <v>6.6967586477193306</v>
      </c>
      <c r="Z65" s="30"/>
      <c r="AA65" s="30"/>
      <c r="AB65" s="31"/>
      <c r="AC65" t="s">
        <v>65</v>
      </c>
    </row>
    <row r="66" spans="3:49" ht="15" thickBot="1" x14ac:dyDescent="0.35">
      <c r="X66" s="19"/>
      <c r="Y66" s="30"/>
      <c r="Z66" s="30"/>
      <c r="AA66" s="30"/>
      <c r="AB66" s="31"/>
    </row>
    <row r="67" spans="3:49" x14ac:dyDescent="0.3">
      <c r="X67" s="43" t="s">
        <v>92</v>
      </c>
      <c r="Y67" s="180">
        <f>INDEX(LINEST($Y$4:$Y$21,$P$4:$P$21^{1,2}),1)</f>
        <v>1.4648465795503865E-11</v>
      </c>
      <c r="Z67" s="30"/>
      <c r="AA67" s="44" t="s">
        <v>130</v>
      </c>
      <c r="AB67" s="122">
        <f>INDEX(LINEST($Y$73:$Y$90,$P$73:$P$90^{1,2}),1)</f>
        <v>1.4325144135226059E-11</v>
      </c>
      <c r="AE67" s="292" t="s">
        <v>306</v>
      </c>
      <c r="AF67" s="293">
        <v>1.9016236254132342</v>
      </c>
      <c r="AG67" s="293">
        <v>2.1972245773362196</v>
      </c>
      <c r="AH67" s="293">
        <v>2.3025850929940459</v>
      </c>
      <c r="AI67" s="293">
        <v>2.3978952727983707</v>
      </c>
      <c r="AJ67" s="293">
        <v>2.4849066497880004</v>
      </c>
      <c r="AK67" s="293">
        <v>3.2188758248682006</v>
      </c>
      <c r="AL67" s="293">
        <v>3.5553480614894135</v>
      </c>
      <c r="AM67" s="293">
        <v>3.9889840465642745</v>
      </c>
      <c r="AN67" s="293">
        <v>4.1588830833596715</v>
      </c>
      <c r="AO67" s="293">
        <v>4.4886363697321396</v>
      </c>
      <c r="AP67" s="293">
        <v>4.6151205168412597</v>
      </c>
      <c r="AQ67" s="293">
        <v>4.7361984483944957</v>
      </c>
      <c r="AR67" s="293">
        <v>4.8283137373023015</v>
      </c>
      <c r="AS67" s="293">
        <v>4.8675344504555822</v>
      </c>
      <c r="AT67" s="293">
        <v>4.9416424226093039</v>
      </c>
      <c r="AU67" s="293">
        <v>4.9767337424205742</v>
      </c>
      <c r="AV67" s="293">
        <v>5.0434251169192468</v>
      </c>
      <c r="AW67" s="294">
        <v>5.1929568508902104</v>
      </c>
    </row>
    <row r="68" spans="3:49" ht="15" thickBot="1" x14ac:dyDescent="0.35">
      <c r="X68" s="43"/>
      <c r="Y68" s="180">
        <f>INDEX(LINEST($Y$4:$Y$21,$P$4:$P$21^{1,2}),2)</f>
        <v>-5.890826062689376E-8</v>
      </c>
      <c r="Z68" s="30"/>
      <c r="AA68" s="44"/>
      <c r="AB68" s="122">
        <f>INDEX(LINEST($Y$73:$Y$90,$P$73:$P$90^{1,2}),2)</f>
        <v>-3.0709262345742761E-7</v>
      </c>
      <c r="AE68" s="218" t="s">
        <v>307</v>
      </c>
      <c r="AF68" s="295">
        <v>0</v>
      </c>
      <c r="AG68" s="295">
        <v>16.52390016920474</v>
      </c>
      <c r="AH68" s="295">
        <v>17.885760073260073</v>
      </c>
      <c r="AI68" s="295">
        <v>19.728535353535356</v>
      </c>
      <c r="AJ68" s="295">
        <v>21.001344086021508</v>
      </c>
      <c r="AK68" s="295">
        <v>39.941206543967276</v>
      </c>
      <c r="AL68" s="295">
        <v>48.585199004975124</v>
      </c>
      <c r="AM68" s="295">
        <v>60.562015503875976</v>
      </c>
      <c r="AN68" s="295">
        <v>64.459570957095707</v>
      </c>
      <c r="AO68" s="295">
        <v>73.56403013182674</v>
      </c>
      <c r="AP68" s="295">
        <v>75.702519379844958</v>
      </c>
      <c r="AQ68" s="295">
        <v>78.914141414141426</v>
      </c>
      <c r="AR68" s="295">
        <v>84.550865800865807</v>
      </c>
      <c r="AS68" s="295">
        <v>86.230684326710815</v>
      </c>
      <c r="AT68" s="295">
        <v>87.978603603603617</v>
      </c>
      <c r="AU68" s="295">
        <v>92.346335697399539</v>
      </c>
      <c r="AV68" s="295">
        <v>95.460654936461381</v>
      </c>
      <c r="AW68" s="296">
        <f>(AV67-AT67)/(AU67-AT67)*(AU68-AT68)+AT68</f>
        <v>100.64725052031997</v>
      </c>
    </row>
    <row r="69" spans="3:49" ht="15" thickBot="1" x14ac:dyDescent="0.35">
      <c r="X69" s="55"/>
      <c r="Y69" s="182">
        <f>INDEX(LINEST($Y$4:$Y$21,$P$4:$P$21^{1,2}),3)</f>
        <v>-3.1800913385525431E-4</v>
      </c>
      <c r="Z69" s="32"/>
      <c r="AA69" s="108"/>
      <c r="AB69" s="123">
        <f>INDEX(LINEST($Y$73:$Y$90,$P$73:$P$90^{1,2}),3)</f>
        <v>2.0111653701195102E-3</v>
      </c>
      <c r="AF69">
        <v>1</v>
      </c>
      <c r="AG69" s="45">
        <f>AF69+1</f>
        <v>2</v>
      </c>
      <c r="AH69" s="45">
        <f t="shared" ref="AH69:AW69" si="176">AG69+1</f>
        <v>3</v>
      </c>
      <c r="AI69" s="45">
        <f t="shared" si="176"/>
        <v>4</v>
      </c>
      <c r="AJ69" s="45">
        <f t="shared" si="176"/>
        <v>5</v>
      </c>
      <c r="AK69" s="45">
        <f t="shared" si="176"/>
        <v>6</v>
      </c>
      <c r="AL69" s="45">
        <f t="shared" si="176"/>
        <v>7</v>
      </c>
      <c r="AM69" s="45">
        <f t="shared" si="176"/>
        <v>8</v>
      </c>
      <c r="AN69" s="45">
        <f t="shared" si="176"/>
        <v>9</v>
      </c>
      <c r="AO69" s="45">
        <f t="shared" si="176"/>
        <v>10</v>
      </c>
      <c r="AP69" s="45">
        <f t="shared" si="176"/>
        <v>11</v>
      </c>
      <c r="AQ69" s="45">
        <f t="shared" si="176"/>
        <v>12</v>
      </c>
      <c r="AR69" s="45">
        <f t="shared" si="176"/>
        <v>13</v>
      </c>
      <c r="AS69" s="45">
        <f t="shared" si="176"/>
        <v>14</v>
      </c>
      <c r="AT69" s="45">
        <f t="shared" si="176"/>
        <v>15</v>
      </c>
      <c r="AU69" s="45">
        <f t="shared" si="176"/>
        <v>16</v>
      </c>
      <c r="AV69" s="45">
        <f t="shared" si="176"/>
        <v>17</v>
      </c>
      <c r="AW69" s="45">
        <f t="shared" si="176"/>
        <v>18</v>
      </c>
    </row>
    <row r="72" spans="3:49" x14ac:dyDescent="0.3">
      <c r="C72" t="s">
        <v>116</v>
      </c>
      <c r="W72" t="s">
        <v>89</v>
      </c>
      <c r="X72" t="s">
        <v>150</v>
      </c>
      <c r="Y72" t="s">
        <v>151</v>
      </c>
    </row>
    <row r="73" spans="3:49" x14ac:dyDescent="0.3">
      <c r="C73" s="113">
        <f t="shared" ref="C73:C78" si="177">D73/180+1</f>
        <v>1.0611111111111111</v>
      </c>
      <c r="D73" s="142">
        <v>11</v>
      </c>
      <c r="E73" s="142"/>
      <c r="F73" s="142">
        <v>13.68</v>
      </c>
      <c r="G73" s="142">
        <v>0.6</v>
      </c>
      <c r="H73" s="142">
        <v>6860</v>
      </c>
      <c r="I73" s="143"/>
      <c r="J73" s="142"/>
      <c r="K73" s="2">
        <f>F73*G73</f>
        <v>8.2080000000000002</v>
      </c>
      <c r="L73" s="1">
        <f>D73</f>
        <v>11</v>
      </c>
      <c r="M73" s="1">
        <f>LN(L73)</f>
        <v>2.3978952727983707</v>
      </c>
      <c r="N73" s="3">
        <f>1/H73/0.000001</f>
        <v>145.77259475218659</v>
      </c>
      <c r="O73" s="3"/>
      <c r="P73" s="3">
        <f t="shared" ref="P73:P88" si="178">N73*60/$Y$35</f>
        <v>8746.3556851311951</v>
      </c>
      <c r="Q73" s="3">
        <f t="shared" ref="Q73:Q88" si="179">O73*60/$Y$35</f>
        <v>0</v>
      </c>
      <c r="R73" s="3">
        <f t="shared" ref="R73:R88" si="180">P73/$Y$46*100</f>
        <v>18.980806608357629</v>
      </c>
      <c r="S73" s="3">
        <f t="shared" ref="S73:S88" si="181">Q73/$Y$46*100</f>
        <v>0</v>
      </c>
      <c r="T73" s="3">
        <f>L73</f>
        <v>11</v>
      </c>
      <c r="U73" s="4">
        <f>K73</f>
        <v>8.2080000000000002</v>
      </c>
      <c r="V73" s="4"/>
      <c r="W73">
        <f>(U73-$U$3)*0.001341022</f>
        <v>5.0395070351200002E-3</v>
      </c>
      <c r="X73" s="137">
        <f>$W73/$P73*5252</f>
        <v>3.0261164651061443E-3</v>
      </c>
      <c r="Y73" s="150">
        <f>X73-$X$73</f>
        <v>0</v>
      </c>
      <c r="Z73">
        <f t="shared" ref="Z73:Z90" si="182">-Y73/2/P73</f>
        <v>0</v>
      </c>
    </row>
    <row r="74" spans="3:49" x14ac:dyDescent="0.3">
      <c r="C74" s="113">
        <f t="shared" si="177"/>
        <v>1.0833333333333333</v>
      </c>
      <c r="D74" s="142">
        <v>15</v>
      </c>
      <c r="E74" s="142"/>
      <c r="F74" s="142">
        <v>13.66</v>
      </c>
      <c r="G74" s="142">
        <v>0.65100000000000002</v>
      </c>
      <c r="H74" s="142">
        <v>6180</v>
      </c>
      <c r="I74" s="143"/>
      <c r="J74" s="142"/>
      <c r="K74" s="2">
        <f>F74*G74</f>
        <v>8.8926600000000011</v>
      </c>
      <c r="L74" s="1">
        <f>D74</f>
        <v>15</v>
      </c>
      <c r="M74" s="1">
        <f>LN(L74)</f>
        <v>2.7080502011022101</v>
      </c>
      <c r="N74" s="3">
        <f>1/H74/0.000001</f>
        <v>161.81229773462783</v>
      </c>
      <c r="O74" s="3"/>
      <c r="P74" s="3">
        <f t="shared" si="178"/>
        <v>9708.7378640776697</v>
      </c>
      <c r="Q74" s="3">
        <f t="shared" si="179"/>
        <v>0</v>
      </c>
      <c r="R74" s="3">
        <f t="shared" si="180"/>
        <v>21.069309600862997</v>
      </c>
      <c r="S74" s="3">
        <f t="shared" si="181"/>
        <v>0</v>
      </c>
      <c r="T74" s="3">
        <f>L74</f>
        <v>15</v>
      </c>
      <c r="U74" s="4">
        <f>K74</f>
        <v>8.8926600000000011</v>
      </c>
      <c r="V74" s="4"/>
      <c r="W74">
        <f t="shared" ref="W74:W90" si="183">(U74-$U$3)*0.001341022</f>
        <v>5.9576511576400013E-3</v>
      </c>
      <c r="X74" s="127">
        <f>$W74/$P74*5252</f>
        <v>3.2228271396323046E-3</v>
      </c>
      <c r="Y74" s="150">
        <f t="shared" ref="Y74:Y90" si="184">X74-$X$73</f>
        <v>1.967106745261603E-4</v>
      </c>
      <c r="Z74">
        <f t="shared" si="182"/>
        <v>-1.0130599738097255E-8</v>
      </c>
    </row>
    <row r="75" spans="3:49" x14ac:dyDescent="0.3">
      <c r="C75" s="113">
        <f t="shared" si="177"/>
        <v>1.0666666666666667</v>
      </c>
      <c r="D75" s="142">
        <v>12</v>
      </c>
      <c r="E75" s="142"/>
      <c r="F75" s="142">
        <v>13.63</v>
      </c>
      <c r="G75" s="142">
        <v>0.68</v>
      </c>
      <c r="H75" s="142">
        <v>5840</v>
      </c>
      <c r="I75" s="143"/>
      <c r="J75" s="142"/>
      <c r="K75" s="2">
        <f>F75*G75</f>
        <v>9.2684000000000015</v>
      </c>
      <c r="L75" s="1">
        <f>D75</f>
        <v>12</v>
      </c>
      <c r="M75" s="1">
        <f>LN(L75)</f>
        <v>2.4849066497880004</v>
      </c>
      <c r="N75" s="3">
        <f>1/H75/0.000001</f>
        <v>171.23287671232879</v>
      </c>
      <c r="O75" s="3"/>
      <c r="P75" s="3">
        <f t="shared" si="178"/>
        <v>10273.972602739726</v>
      </c>
      <c r="Q75" s="3">
        <f t="shared" si="179"/>
        <v>0</v>
      </c>
      <c r="R75" s="3">
        <f t="shared" si="180"/>
        <v>22.295947488584474</v>
      </c>
      <c r="S75" s="3">
        <f t="shared" si="181"/>
        <v>0</v>
      </c>
      <c r="T75" s="3">
        <f>L75</f>
        <v>12</v>
      </c>
      <c r="U75" s="4">
        <f>K75</f>
        <v>9.2684000000000015</v>
      </c>
      <c r="V75" s="4"/>
      <c r="W75">
        <f t="shared" si="183"/>
        <v>6.4615267639200015E-3</v>
      </c>
      <c r="X75" s="127">
        <f t="shared" ref="X75:X90" si="185">$W75/$P75*5252</f>
        <v>3.3030980202398302E-3</v>
      </c>
      <c r="Y75" s="150">
        <f t="shared" si="184"/>
        <v>2.7698155513368591E-4</v>
      </c>
      <c r="Z75">
        <f t="shared" si="182"/>
        <v>-1.3479769016506046E-8</v>
      </c>
    </row>
    <row r="76" spans="3:49" x14ac:dyDescent="0.3">
      <c r="C76" s="113">
        <f t="shared" si="177"/>
        <v>1.0722222222222222</v>
      </c>
      <c r="D76" s="142">
        <v>13</v>
      </c>
      <c r="E76" s="142"/>
      <c r="F76" s="142">
        <v>13.6</v>
      </c>
      <c r="G76" s="142">
        <v>0.74</v>
      </c>
      <c r="H76" s="142">
        <v>5280</v>
      </c>
      <c r="I76" s="143"/>
      <c r="J76" s="142"/>
      <c r="K76" s="2">
        <f>F76*G76</f>
        <v>10.064</v>
      </c>
      <c r="L76" s="1">
        <f>D76</f>
        <v>13</v>
      </c>
      <c r="M76" s="1">
        <f>LN(L76)</f>
        <v>2.5649493574615367</v>
      </c>
      <c r="N76" s="3">
        <f>1/H76/0.000001</f>
        <v>189.39393939393941</v>
      </c>
      <c r="O76" s="3"/>
      <c r="P76" s="3">
        <f t="shared" si="178"/>
        <v>11363.636363636364</v>
      </c>
      <c r="Q76" s="3">
        <f t="shared" si="179"/>
        <v>0</v>
      </c>
      <c r="R76" s="3">
        <f t="shared" si="180"/>
        <v>24.660669191919194</v>
      </c>
      <c r="S76" s="3">
        <f t="shared" si="181"/>
        <v>0</v>
      </c>
      <c r="T76" s="3">
        <f>L76</f>
        <v>13</v>
      </c>
      <c r="U76" s="4">
        <f>K76</f>
        <v>10.064</v>
      </c>
      <c r="V76" s="4"/>
      <c r="W76">
        <f t="shared" si="183"/>
        <v>7.52844386712E-3</v>
      </c>
      <c r="X76" s="127">
        <f t="shared" si="185"/>
        <v>3.479466072730053E-3</v>
      </c>
      <c r="Y76" s="150">
        <f t="shared" si="184"/>
        <v>4.5334960762390868E-4</v>
      </c>
      <c r="Z76">
        <f t="shared" si="182"/>
        <v>-1.9947382735451983E-8</v>
      </c>
    </row>
    <row r="77" spans="3:49" x14ac:dyDescent="0.3">
      <c r="C77" s="113">
        <f t="shared" si="177"/>
        <v>1.0777777777777777</v>
      </c>
      <c r="D77" s="142">
        <v>14</v>
      </c>
      <c r="E77" s="142"/>
      <c r="F77" s="142">
        <v>13.57</v>
      </c>
      <c r="G77" s="142">
        <v>0.78700000000000003</v>
      </c>
      <c r="H77" s="142">
        <v>4900</v>
      </c>
      <c r="I77" s="143"/>
      <c r="J77" s="142"/>
      <c r="K77" s="2">
        <f>F77*G77</f>
        <v>10.679590000000001</v>
      </c>
      <c r="L77" s="1">
        <f>D77</f>
        <v>14</v>
      </c>
      <c r="M77" s="1">
        <f>LN(L77)</f>
        <v>2.6390573296152584</v>
      </c>
      <c r="N77" s="3">
        <f>1/H77/0.000001</f>
        <v>204.08163265306123</v>
      </c>
      <c r="O77" s="3"/>
      <c r="P77" s="3">
        <f t="shared" si="178"/>
        <v>12244.897959183674</v>
      </c>
      <c r="Q77" s="3">
        <f t="shared" si="179"/>
        <v>0</v>
      </c>
      <c r="R77" s="3">
        <f t="shared" si="180"/>
        <v>26.573129251700685</v>
      </c>
      <c r="S77" s="3">
        <f t="shared" si="181"/>
        <v>0</v>
      </c>
      <c r="T77" s="3">
        <f>L77</f>
        <v>14</v>
      </c>
      <c r="U77" s="4">
        <f>K77</f>
        <v>10.679590000000001</v>
      </c>
      <c r="V77" s="4"/>
      <c r="W77">
        <f t="shared" si="183"/>
        <v>8.3539636001000016E-3</v>
      </c>
      <c r="X77" s="127">
        <f t="shared" si="185"/>
        <v>3.5831263742642254E-3</v>
      </c>
      <c r="Y77" s="150">
        <f t="shared" si="184"/>
        <v>5.5700990915808109E-4</v>
      </c>
      <c r="Z77">
        <f t="shared" si="182"/>
        <v>-2.2744571290621641E-8</v>
      </c>
    </row>
    <row r="78" spans="3:49" x14ac:dyDescent="0.3">
      <c r="C78" s="113">
        <f t="shared" si="177"/>
        <v>1.1111111111111112</v>
      </c>
      <c r="D78" s="142">
        <v>20</v>
      </c>
      <c r="E78" s="142"/>
      <c r="F78" s="142">
        <v>13.77</v>
      </c>
      <c r="G78" s="142">
        <v>0.92900000000000005</v>
      </c>
      <c r="H78" s="142">
        <v>3500</v>
      </c>
      <c r="I78" s="143"/>
      <c r="J78" s="142"/>
      <c r="K78" s="2">
        <f t="shared" ref="K78:K90" si="186">F78*G78</f>
        <v>12.79233</v>
      </c>
      <c r="L78" s="1">
        <f t="shared" ref="L78:L90" si="187">D78</f>
        <v>20</v>
      </c>
      <c r="M78" s="1">
        <f t="shared" ref="M78:M90" si="188">LN(L78)</f>
        <v>2.9957322735539909</v>
      </c>
      <c r="N78" s="3">
        <f t="shared" ref="N78:N90" si="189">1/H78/0.000001</f>
        <v>285.71428571428572</v>
      </c>
      <c r="O78" s="3"/>
      <c r="P78" s="3">
        <f t="shared" si="178"/>
        <v>17142.857142857145</v>
      </c>
      <c r="Q78" s="3">
        <f t="shared" si="179"/>
        <v>0</v>
      </c>
      <c r="R78" s="3">
        <f t="shared" si="180"/>
        <v>37.202380952380956</v>
      </c>
      <c r="S78" s="3">
        <f t="shared" si="181"/>
        <v>0</v>
      </c>
      <c r="T78" s="3">
        <f t="shared" ref="T78:T90" si="190">L78</f>
        <v>20</v>
      </c>
      <c r="U78" s="4">
        <f t="shared" ref="U78:U90" si="191">K78</f>
        <v>12.79233</v>
      </c>
      <c r="V78" s="4"/>
      <c r="W78">
        <f t="shared" si="183"/>
        <v>1.1187194420379999E-2</v>
      </c>
      <c r="X78" s="127">
        <f t="shared" si="185"/>
        <v>3.4273834639237518E-3</v>
      </c>
      <c r="Y78" s="150">
        <f t="shared" si="184"/>
        <v>4.0126699881760756E-4</v>
      </c>
      <c r="Z78">
        <f t="shared" si="182"/>
        <v>-1.1703620798846885E-8</v>
      </c>
    </row>
    <row r="79" spans="3:49" x14ac:dyDescent="0.3">
      <c r="C79" s="113">
        <f t="shared" ref="C79:C90" si="192">D79/180+1</f>
        <v>1.1388888888888888</v>
      </c>
      <c r="D79" s="142">
        <v>25</v>
      </c>
      <c r="E79" s="142"/>
      <c r="F79" s="142">
        <v>13.74</v>
      </c>
      <c r="G79" s="142">
        <v>1.26</v>
      </c>
      <c r="H79" s="142">
        <v>3010</v>
      </c>
      <c r="I79" s="142"/>
      <c r="J79" s="142"/>
      <c r="K79" s="2">
        <f t="shared" si="186"/>
        <v>17.3124</v>
      </c>
      <c r="L79" s="1">
        <f t="shared" si="187"/>
        <v>25</v>
      </c>
      <c r="M79" s="1">
        <f t="shared" si="188"/>
        <v>3.2188758248682006</v>
      </c>
      <c r="N79" s="3">
        <f t="shared" si="189"/>
        <v>332.22591362126246</v>
      </c>
      <c r="O79" s="3"/>
      <c r="P79" s="3">
        <f t="shared" si="178"/>
        <v>19933.554817275748</v>
      </c>
      <c r="Q79" s="3">
        <f t="shared" si="179"/>
        <v>0</v>
      </c>
      <c r="R79" s="3">
        <f t="shared" si="180"/>
        <v>43.258582502768547</v>
      </c>
      <c r="S79" s="3">
        <f t="shared" si="181"/>
        <v>0</v>
      </c>
      <c r="T79" s="3">
        <f t="shared" si="190"/>
        <v>25</v>
      </c>
      <c r="U79" s="4">
        <f t="shared" si="191"/>
        <v>17.3124</v>
      </c>
      <c r="V79" s="4"/>
      <c r="W79">
        <f t="shared" si="183"/>
        <v>1.7248707731919999E-2</v>
      </c>
      <c r="X79" s="127">
        <f t="shared" si="185"/>
        <v>4.5446090192368654E-3</v>
      </c>
      <c r="Y79" s="150">
        <f t="shared" si="184"/>
        <v>1.5184925541307211E-3</v>
      </c>
      <c r="Z79">
        <f t="shared" si="182"/>
        <v>-3.8088854899445583E-8</v>
      </c>
    </row>
    <row r="80" spans="3:49" x14ac:dyDescent="0.3">
      <c r="C80" s="113">
        <f t="shared" si="192"/>
        <v>1.1666666666666667</v>
      </c>
      <c r="D80" s="142">
        <v>30</v>
      </c>
      <c r="E80" s="142"/>
      <c r="F80" s="142">
        <v>13.72</v>
      </c>
      <c r="G80" s="142">
        <v>1.734</v>
      </c>
      <c r="H80" s="142">
        <v>2650</v>
      </c>
      <c r="I80" s="142"/>
      <c r="J80" s="142"/>
      <c r="K80" s="2">
        <f t="shared" si="186"/>
        <v>23.790480000000002</v>
      </c>
      <c r="L80" s="1">
        <f t="shared" si="187"/>
        <v>30</v>
      </c>
      <c r="M80" s="1">
        <f t="shared" si="188"/>
        <v>3.4011973816621555</v>
      </c>
      <c r="N80" s="3">
        <f t="shared" si="189"/>
        <v>377.35849056603774</v>
      </c>
      <c r="O80" s="3"/>
      <c r="P80" s="3">
        <f t="shared" si="178"/>
        <v>22641.509433962266</v>
      </c>
      <c r="Q80" s="3">
        <f t="shared" si="179"/>
        <v>0</v>
      </c>
      <c r="R80" s="3">
        <f t="shared" si="180"/>
        <v>49.135220125786169</v>
      </c>
      <c r="S80" s="3">
        <f t="shared" si="181"/>
        <v>0</v>
      </c>
      <c r="T80" s="3">
        <f t="shared" si="190"/>
        <v>30</v>
      </c>
      <c r="U80" s="4">
        <f t="shared" si="191"/>
        <v>23.790480000000002</v>
      </c>
      <c r="V80" s="4"/>
      <c r="W80">
        <f t="shared" si="183"/>
        <v>2.5935955529680001E-2</v>
      </c>
      <c r="X80" s="127">
        <f t="shared" si="185"/>
        <v>6.0161906978496715E-3</v>
      </c>
      <c r="Y80" s="150">
        <f t="shared" si="184"/>
        <v>2.9900742327435273E-3</v>
      </c>
      <c r="Z80">
        <f t="shared" si="182"/>
        <v>-6.6030805973086218E-8</v>
      </c>
    </row>
    <row r="81" spans="3:26" x14ac:dyDescent="0.3">
      <c r="C81" s="113">
        <f t="shared" si="192"/>
        <v>1.1944444444444444</v>
      </c>
      <c r="D81" s="142">
        <v>35</v>
      </c>
      <c r="E81" s="142"/>
      <c r="F81" s="142">
        <v>13.69</v>
      </c>
      <c r="G81" s="142">
        <v>2.113</v>
      </c>
      <c r="H81" s="142">
        <v>2500</v>
      </c>
      <c r="I81" s="142"/>
      <c r="J81" s="142"/>
      <c r="K81" s="2">
        <f t="shared" si="186"/>
        <v>28.926969999999997</v>
      </c>
      <c r="L81" s="1">
        <f t="shared" si="187"/>
        <v>35</v>
      </c>
      <c r="M81" s="1">
        <f t="shared" si="188"/>
        <v>3.5553480614894135</v>
      </c>
      <c r="N81" s="3">
        <f t="shared" si="189"/>
        <v>400.00000000000006</v>
      </c>
      <c r="O81" s="3"/>
      <c r="P81" s="3">
        <f t="shared" si="178"/>
        <v>24000.000000000004</v>
      </c>
      <c r="Q81" s="3">
        <f t="shared" si="179"/>
        <v>0</v>
      </c>
      <c r="R81" s="3">
        <f t="shared" si="180"/>
        <v>52.083333333333336</v>
      </c>
      <c r="S81" s="3">
        <f t="shared" si="181"/>
        <v>0</v>
      </c>
      <c r="T81" s="3">
        <f t="shared" si="190"/>
        <v>35</v>
      </c>
      <c r="U81" s="4">
        <f t="shared" si="191"/>
        <v>28.926969999999997</v>
      </c>
      <c r="V81" s="4"/>
      <c r="W81">
        <f t="shared" si="183"/>
        <v>3.2824101622459995E-2</v>
      </c>
      <c r="X81" s="127">
        <f t="shared" si="185"/>
        <v>7.1830075717149939E-3</v>
      </c>
      <c r="Y81" s="150">
        <f t="shared" si="184"/>
        <v>4.1568911066088496E-3</v>
      </c>
      <c r="Z81">
        <f t="shared" si="182"/>
        <v>-8.6601898054351018E-8</v>
      </c>
    </row>
    <row r="82" spans="3:26" x14ac:dyDescent="0.3">
      <c r="C82" s="113">
        <f t="shared" si="192"/>
        <v>1.2222222222222223</v>
      </c>
      <c r="D82" s="142">
        <v>40</v>
      </c>
      <c r="E82" s="142"/>
      <c r="F82" s="142">
        <v>13.66</v>
      </c>
      <c r="G82" s="142">
        <v>2.37</v>
      </c>
      <c r="H82" s="142">
        <v>2270</v>
      </c>
      <c r="I82" s="142"/>
      <c r="J82" s="142"/>
      <c r="K82" s="2">
        <f t="shared" si="186"/>
        <v>32.374200000000002</v>
      </c>
      <c r="L82" s="1">
        <f t="shared" si="187"/>
        <v>40</v>
      </c>
      <c r="M82" s="1">
        <f t="shared" si="188"/>
        <v>3.6888794541139363</v>
      </c>
      <c r="N82" s="3">
        <f t="shared" si="189"/>
        <v>440.52863436123351</v>
      </c>
      <c r="O82" s="3"/>
      <c r="P82" s="3">
        <f t="shared" si="178"/>
        <v>26431.718061674012</v>
      </c>
      <c r="Q82" s="3">
        <f t="shared" si="179"/>
        <v>0</v>
      </c>
      <c r="R82" s="3">
        <f t="shared" si="180"/>
        <v>57.360499265785613</v>
      </c>
      <c r="S82" s="3">
        <f t="shared" si="181"/>
        <v>0</v>
      </c>
      <c r="T82" s="3">
        <f t="shared" si="190"/>
        <v>40</v>
      </c>
      <c r="U82" s="4">
        <f t="shared" si="191"/>
        <v>32.374200000000002</v>
      </c>
      <c r="V82" s="4"/>
      <c r="W82">
        <f t="shared" si="183"/>
        <v>3.7446912891520003E-2</v>
      </c>
      <c r="X82" s="127">
        <f t="shared" si="185"/>
        <v>7.4407265561536179E-3</v>
      </c>
      <c r="Y82" s="150">
        <f t="shared" si="184"/>
        <v>4.4146100910474736E-3</v>
      </c>
      <c r="Z82">
        <f t="shared" si="182"/>
        <v>-8.3509707555648035E-8</v>
      </c>
    </row>
    <row r="83" spans="3:26" x14ac:dyDescent="0.3">
      <c r="C83" s="113">
        <f t="shared" si="192"/>
        <v>1.2777777777777777</v>
      </c>
      <c r="D83" s="142">
        <v>50</v>
      </c>
      <c r="E83" s="142"/>
      <c r="F83" s="142">
        <v>13.6</v>
      </c>
      <c r="G83" s="142">
        <v>3.1</v>
      </c>
      <c r="H83" s="142">
        <v>2020</v>
      </c>
      <c r="I83" s="142"/>
      <c r="J83" s="142"/>
      <c r="K83" s="2">
        <f t="shared" si="186"/>
        <v>42.16</v>
      </c>
      <c r="L83" s="1">
        <f t="shared" si="187"/>
        <v>50</v>
      </c>
      <c r="M83" s="1">
        <f t="shared" si="188"/>
        <v>3.912023005428146</v>
      </c>
      <c r="N83" s="3">
        <f t="shared" si="189"/>
        <v>495.04950495049508</v>
      </c>
      <c r="O83" s="3"/>
      <c r="P83" s="3">
        <f t="shared" si="178"/>
        <v>29702.970297029704</v>
      </c>
      <c r="Q83" s="3">
        <f t="shared" si="179"/>
        <v>0</v>
      </c>
      <c r="R83" s="3">
        <f t="shared" si="180"/>
        <v>64.459570957095707</v>
      </c>
      <c r="S83" s="3">
        <f t="shared" si="181"/>
        <v>0</v>
      </c>
      <c r="T83" s="3">
        <f t="shared" si="190"/>
        <v>50</v>
      </c>
      <c r="U83" s="4">
        <f t="shared" si="191"/>
        <v>42.16</v>
      </c>
      <c r="V83" s="4"/>
      <c r="W83">
        <f t="shared" si="183"/>
        <v>5.0569885979119995E-2</v>
      </c>
      <c r="X83" s="127">
        <f t="shared" si="185"/>
        <v>8.9416323857987191E-3</v>
      </c>
      <c r="Y83" s="150">
        <f t="shared" si="184"/>
        <v>5.9155159206925748E-3</v>
      </c>
      <c r="Z83">
        <f t="shared" si="182"/>
        <v>-9.957785133165834E-8</v>
      </c>
    </row>
    <row r="84" spans="3:26" x14ac:dyDescent="0.3">
      <c r="C84" s="113">
        <f t="shared" si="192"/>
        <v>1.3333333333333333</v>
      </c>
      <c r="D84" s="142">
        <v>60</v>
      </c>
      <c r="E84" s="142"/>
      <c r="F84" s="142">
        <v>13.52</v>
      </c>
      <c r="G84" s="142">
        <v>3.9</v>
      </c>
      <c r="H84" s="142">
        <v>1870</v>
      </c>
      <c r="I84" s="142"/>
      <c r="J84" s="142"/>
      <c r="K84" s="2">
        <f t="shared" si="186"/>
        <v>52.727999999999994</v>
      </c>
      <c r="L84" s="1">
        <f t="shared" si="187"/>
        <v>60</v>
      </c>
      <c r="M84" s="1">
        <f t="shared" si="188"/>
        <v>4.0943445622221004</v>
      </c>
      <c r="N84" s="3">
        <f t="shared" si="189"/>
        <v>534.75935828877004</v>
      </c>
      <c r="O84" s="3"/>
      <c r="P84" s="3">
        <f t="shared" si="178"/>
        <v>32085.561497326202</v>
      </c>
      <c r="Q84" s="3">
        <f t="shared" si="179"/>
        <v>0</v>
      </c>
      <c r="R84" s="3">
        <f t="shared" si="180"/>
        <v>69.630124777183596</v>
      </c>
      <c r="S84" s="3">
        <f t="shared" si="181"/>
        <v>0</v>
      </c>
      <c r="T84" s="3">
        <f t="shared" si="190"/>
        <v>60</v>
      </c>
      <c r="U84" s="4">
        <f t="shared" si="191"/>
        <v>52.727999999999994</v>
      </c>
      <c r="V84" s="4"/>
      <c r="W84">
        <f t="shared" si="183"/>
        <v>6.4741806475119998E-2</v>
      </c>
      <c r="X84" s="127">
        <f t="shared" si="185"/>
        <v>1.0597413657095125E-2</v>
      </c>
      <c r="Y84" s="150">
        <f t="shared" si="184"/>
        <v>7.5712971919889805E-3</v>
      </c>
      <c r="Z84">
        <f t="shared" si="182"/>
        <v>-1.1798604790849495E-7</v>
      </c>
    </row>
    <row r="85" spans="3:26" x14ac:dyDescent="0.3">
      <c r="C85" s="113">
        <f t="shared" si="192"/>
        <v>1.4166666666666667</v>
      </c>
      <c r="D85" s="142">
        <v>75</v>
      </c>
      <c r="E85" s="142"/>
      <c r="F85" s="142">
        <v>13.2</v>
      </c>
      <c r="G85" s="142">
        <v>4.92</v>
      </c>
      <c r="H85" s="142">
        <v>1650</v>
      </c>
      <c r="I85" s="142"/>
      <c r="J85" s="142"/>
      <c r="K85" s="2">
        <f t="shared" si="186"/>
        <v>64.944000000000003</v>
      </c>
      <c r="L85" s="1">
        <f t="shared" si="187"/>
        <v>75</v>
      </c>
      <c r="M85" s="1">
        <f t="shared" si="188"/>
        <v>4.3174881135363101</v>
      </c>
      <c r="N85" s="3">
        <f t="shared" si="189"/>
        <v>606.06060606060612</v>
      </c>
      <c r="O85" s="3"/>
      <c r="P85" s="3">
        <f t="shared" si="178"/>
        <v>36363.636363636368</v>
      </c>
      <c r="Q85" s="3">
        <f t="shared" si="179"/>
        <v>0</v>
      </c>
      <c r="R85" s="3">
        <f t="shared" si="180"/>
        <v>78.914141414141426</v>
      </c>
      <c r="S85" s="3">
        <f t="shared" si="181"/>
        <v>0</v>
      </c>
      <c r="T85" s="3">
        <f t="shared" si="190"/>
        <v>75</v>
      </c>
      <c r="U85" s="4">
        <f t="shared" si="191"/>
        <v>64.944000000000003</v>
      </c>
      <c r="V85" s="4"/>
      <c r="W85">
        <f t="shared" si="183"/>
        <v>8.1123731227120008E-2</v>
      </c>
      <c r="X85" s="127">
        <f t="shared" si="185"/>
        <v>1.1716700501132942E-2</v>
      </c>
      <c r="Y85" s="150">
        <f t="shared" si="184"/>
        <v>8.6905840360267973E-3</v>
      </c>
      <c r="Z85">
        <f t="shared" si="182"/>
        <v>-1.1949553049536844E-7</v>
      </c>
    </row>
    <row r="86" spans="3:26" x14ac:dyDescent="0.3">
      <c r="C86" s="113">
        <f t="shared" si="192"/>
        <v>1.5</v>
      </c>
      <c r="D86" s="142">
        <v>90</v>
      </c>
      <c r="E86" s="142"/>
      <c r="F86" s="142">
        <v>13.31</v>
      </c>
      <c r="G86" s="142">
        <v>6.12</v>
      </c>
      <c r="H86" s="142">
        <v>1510</v>
      </c>
      <c r="I86" s="142"/>
      <c r="J86" s="142"/>
      <c r="K86" s="2">
        <f t="shared" si="186"/>
        <v>81.4572</v>
      </c>
      <c r="L86" s="1">
        <f t="shared" si="187"/>
        <v>90</v>
      </c>
      <c r="M86" s="1">
        <f t="shared" si="188"/>
        <v>4.499809670330265</v>
      </c>
      <c r="N86" s="3">
        <f t="shared" si="189"/>
        <v>662.25165562913912</v>
      </c>
      <c r="O86" s="3"/>
      <c r="P86" s="3">
        <f t="shared" si="178"/>
        <v>39735.099337748346</v>
      </c>
      <c r="Q86" s="3">
        <f t="shared" si="179"/>
        <v>0</v>
      </c>
      <c r="R86" s="3">
        <f t="shared" si="180"/>
        <v>86.230684326710815</v>
      </c>
      <c r="S86" s="3">
        <f t="shared" si="181"/>
        <v>0</v>
      </c>
      <c r="T86" s="3">
        <f t="shared" si="190"/>
        <v>90</v>
      </c>
      <c r="U86" s="4">
        <f t="shared" si="191"/>
        <v>81.4572</v>
      </c>
      <c r="V86" s="4"/>
      <c r="W86">
        <f t="shared" si="183"/>
        <v>0.10326829571752001</v>
      </c>
      <c r="X86" s="127">
        <f t="shared" si="185"/>
        <v>1.3649521409228446E-2</v>
      </c>
      <c r="Y86" s="150">
        <f t="shared" si="184"/>
        <v>1.0623404944122301E-2</v>
      </c>
      <c r="Z86">
        <f t="shared" si="182"/>
        <v>-1.3367784554687227E-7</v>
      </c>
    </row>
    <row r="87" spans="3:26" x14ac:dyDescent="0.3">
      <c r="C87" s="113">
        <f t="shared" si="192"/>
        <v>1.6055555555555556</v>
      </c>
      <c r="D87" s="142">
        <v>109</v>
      </c>
      <c r="E87" s="142"/>
      <c r="F87" s="142">
        <v>12.93</v>
      </c>
      <c r="G87" s="142">
        <v>7.27</v>
      </c>
      <c r="H87" s="142">
        <v>1470</v>
      </c>
      <c r="I87" s="142"/>
      <c r="J87" s="142"/>
      <c r="K87" s="2">
        <f t="shared" si="186"/>
        <v>94.001099999999994</v>
      </c>
      <c r="L87" s="1">
        <f t="shared" si="187"/>
        <v>109</v>
      </c>
      <c r="M87" s="1">
        <f t="shared" si="188"/>
        <v>4.6913478822291435</v>
      </c>
      <c r="N87" s="3">
        <f t="shared" si="189"/>
        <v>680.27210884353735</v>
      </c>
      <c r="O87" s="3"/>
      <c r="P87" s="3">
        <f t="shared" si="178"/>
        <v>40816.326530612241</v>
      </c>
      <c r="Q87" s="3">
        <f t="shared" si="179"/>
        <v>0</v>
      </c>
      <c r="R87" s="3">
        <f t="shared" si="180"/>
        <v>88.577097505668917</v>
      </c>
      <c r="S87" s="3">
        <f t="shared" si="181"/>
        <v>0</v>
      </c>
      <c r="T87" s="3">
        <f t="shared" si="190"/>
        <v>109</v>
      </c>
      <c r="U87" s="4">
        <f t="shared" si="191"/>
        <v>94.001099999999994</v>
      </c>
      <c r="V87" s="4"/>
      <c r="W87">
        <f t="shared" si="183"/>
        <v>0.12008994158332</v>
      </c>
      <c r="X87" s="127">
        <f t="shared" si="185"/>
        <v>1.5452453143292119E-2</v>
      </c>
      <c r="Y87" s="150">
        <f t="shared" si="184"/>
        <v>1.2426336678185976E-2</v>
      </c>
      <c r="Z87">
        <f t="shared" si="182"/>
        <v>-1.5222262430777822E-7</v>
      </c>
    </row>
    <row r="88" spans="3:26" ht="15" thickBot="1" x14ac:dyDescent="0.35">
      <c r="C88" s="116">
        <f t="shared" si="192"/>
        <v>1.7222222222222223</v>
      </c>
      <c r="D88" s="142">
        <v>130</v>
      </c>
      <c r="E88" s="142"/>
      <c r="F88" s="142">
        <v>13.08</v>
      </c>
      <c r="G88" s="142">
        <v>8.9600000000000009</v>
      </c>
      <c r="H88" s="142">
        <v>1380</v>
      </c>
      <c r="I88" s="142"/>
      <c r="J88" s="142"/>
      <c r="K88" s="2">
        <f t="shared" si="186"/>
        <v>117.19680000000001</v>
      </c>
      <c r="L88" s="1">
        <f t="shared" si="187"/>
        <v>130</v>
      </c>
      <c r="M88" s="1">
        <f t="shared" si="188"/>
        <v>4.8675344504555822</v>
      </c>
      <c r="N88" s="3">
        <f t="shared" si="189"/>
        <v>724.63768115942037</v>
      </c>
      <c r="O88" s="3"/>
      <c r="P88" s="3">
        <f t="shared" si="178"/>
        <v>43478.260869565223</v>
      </c>
      <c r="Q88" s="3">
        <f t="shared" si="179"/>
        <v>0</v>
      </c>
      <c r="R88" s="3">
        <f t="shared" si="180"/>
        <v>94.353864734299535</v>
      </c>
      <c r="S88" s="3">
        <f t="shared" si="181"/>
        <v>0</v>
      </c>
      <c r="T88" s="3">
        <f t="shared" si="190"/>
        <v>130</v>
      </c>
      <c r="U88" s="4">
        <f t="shared" si="191"/>
        <v>117.19680000000001</v>
      </c>
      <c r="V88" s="4"/>
      <c r="W88">
        <f t="shared" si="183"/>
        <v>0.15119588558872002</v>
      </c>
      <c r="X88" s="127">
        <f t="shared" si="185"/>
        <v>1.8263858195575022E-2</v>
      </c>
      <c r="Y88" s="150">
        <f t="shared" si="184"/>
        <v>1.5237741730468879E-2</v>
      </c>
      <c r="Z88">
        <f t="shared" si="182"/>
        <v>-1.7523402990039207E-7</v>
      </c>
    </row>
    <row r="89" spans="3:26" x14ac:dyDescent="0.3">
      <c r="C89" s="144">
        <f t="shared" si="192"/>
        <v>1.8277777777777777</v>
      </c>
      <c r="D89" s="142">
        <v>149</v>
      </c>
      <c r="E89" s="142"/>
      <c r="F89" s="142">
        <v>12.95</v>
      </c>
      <c r="G89" s="142">
        <v>10.8</v>
      </c>
      <c r="H89" s="142">
        <v>1310</v>
      </c>
      <c r="I89" s="142"/>
      <c r="J89" s="142"/>
      <c r="K89" s="1">
        <f t="shared" si="186"/>
        <v>139.86000000000001</v>
      </c>
      <c r="L89" s="1">
        <f t="shared" si="187"/>
        <v>149</v>
      </c>
      <c r="M89" s="1">
        <f t="shared" si="188"/>
        <v>5.0039463059454592</v>
      </c>
      <c r="N89" s="1">
        <f t="shared" si="189"/>
        <v>763.35877862595419</v>
      </c>
      <c r="P89" s="1">
        <f>N89*60/$Y$35</f>
        <v>45801.526717557252</v>
      </c>
      <c r="R89" s="1">
        <f>P89/$Y$46*100</f>
        <v>99.395674300254456</v>
      </c>
      <c r="T89" s="1">
        <f t="shared" si="190"/>
        <v>149</v>
      </c>
      <c r="U89" s="4">
        <f t="shared" si="191"/>
        <v>139.86000000000001</v>
      </c>
      <c r="V89" s="4"/>
      <c r="W89">
        <f t="shared" si="183"/>
        <v>0.18158773537912004</v>
      </c>
      <c r="X89" s="127">
        <f t="shared" si="185"/>
        <v>2.0822423498943188E-2</v>
      </c>
      <c r="Y89" s="150">
        <f t="shared" si="184"/>
        <v>1.7796307033837045E-2</v>
      </c>
      <c r="Z89">
        <f t="shared" si="182"/>
        <v>-1.942763517860544E-7</v>
      </c>
    </row>
    <row r="90" spans="3:26" x14ac:dyDescent="0.3">
      <c r="C90" s="144">
        <f t="shared" si="192"/>
        <v>1.911111111111111</v>
      </c>
      <c r="D90" s="142">
        <v>164</v>
      </c>
      <c r="E90" s="142"/>
      <c r="F90" s="142">
        <v>12.75</v>
      </c>
      <c r="G90" s="142">
        <v>13.9</v>
      </c>
      <c r="H90" s="142">
        <v>1252</v>
      </c>
      <c r="I90" s="142"/>
      <c r="J90" s="142"/>
      <c r="K90" s="1">
        <f t="shared" si="186"/>
        <v>177.22499999999999</v>
      </c>
      <c r="L90" s="1">
        <f t="shared" si="187"/>
        <v>164</v>
      </c>
      <c r="M90" s="1">
        <f t="shared" si="188"/>
        <v>5.0998664278241987</v>
      </c>
      <c r="N90" s="1">
        <f t="shared" si="189"/>
        <v>798.72204472843453</v>
      </c>
      <c r="P90" s="1">
        <f>N90*60/$Y$35</f>
        <v>47923.322683706072</v>
      </c>
      <c r="R90" s="1">
        <f>P90/$Y$46*100</f>
        <v>104.00026624068157</v>
      </c>
      <c r="T90" s="1">
        <f t="shared" si="190"/>
        <v>164</v>
      </c>
      <c r="U90" s="4">
        <f t="shared" si="191"/>
        <v>177.22499999999999</v>
      </c>
      <c r="V90" s="4"/>
      <c r="W90">
        <f t="shared" si="183"/>
        <v>0.23169502240912002</v>
      </c>
      <c r="X90" s="127">
        <f t="shared" si="185"/>
        <v>2.539185911052097E-2</v>
      </c>
      <c r="Y90" s="150">
        <f t="shared" si="184"/>
        <v>2.2365742645414827E-2</v>
      </c>
      <c r="Z90">
        <f t="shared" si="182"/>
        <v>-2.3334924826716135E-7</v>
      </c>
    </row>
    <row r="93" spans="3:26" x14ac:dyDescent="0.3">
      <c r="C93" t="s">
        <v>117</v>
      </c>
      <c r="W93" t="s">
        <v>90</v>
      </c>
      <c r="Y93" t="s">
        <v>91</v>
      </c>
    </row>
    <row r="94" spans="3:26" x14ac:dyDescent="0.3">
      <c r="C94" s="113">
        <f>D94/180+1</f>
        <v>1.0611111111111111</v>
      </c>
      <c r="D94" s="142">
        <v>11</v>
      </c>
      <c r="E94" s="142"/>
      <c r="F94" s="142">
        <v>13.81</v>
      </c>
      <c r="G94" s="142">
        <v>0.57599999999999996</v>
      </c>
      <c r="H94" s="142">
        <v>4880</v>
      </c>
      <c r="I94" s="143"/>
      <c r="J94" s="142"/>
      <c r="K94" s="2">
        <f>F94*G94</f>
        <v>7.9545599999999999</v>
      </c>
      <c r="L94" s="1">
        <f t="shared" ref="L94:L108" si="193">D94</f>
        <v>11</v>
      </c>
      <c r="M94" s="1">
        <f t="shared" ref="M94:M108" si="194">LN(L94)</f>
        <v>2.3978952727983707</v>
      </c>
      <c r="N94" s="3">
        <f t="shared" ref="N94:N108" si="195">1/H94/0.000001</f>
        <v>204.91803278688525</v>
      </c>
      <c r="O94" s="3"/>
      <c r="P94" s="3">
        <f t="shared" ref="P94:P106" si="196">N94*60/$Y$35</f>
        <v>12295.081967213115</v>
      </c>
      <c r="Q94" s="3">
        <f t="shared" ref="Q94:Q106" si="197">O94*60/$Y$35</f>
        <v>0</v>
      </c>
      <c r="R94" s="3">
        <f t="shared" ref="R94:R106" si="198">P94/$Y$46*100</f>
        <v>26.682035519125684</v>
      </c>
      <c r="S94" s="3">
        <f t="shared" ref="S94:S106" si="199">Q94/$Y$46*100</f>
        <v>0</v>
      </c>
      <c r="T94" s="3">
        <f t="shared" ref="T94:T108" si="200">L94</f>
        <v>11</v>
      </c>
      <c r="U94" s="4">
        <f t="shared" ref="U94:U108" si="201">K94</f>
        <v>7.9545599999999999</v>
      </c>
      <c r="V94" s="4"/>
      <c r="W94">
        <f>U94*0.001341022</f>
        <v>1.0667239960320001E-2</v>
      </c>
      <c r="X94" s="137">
        <f>$W94/$P94*5252</f>
        <v>4.5566466674235194E-3</v>
      </c>
      <c r="Y94" s="127">
        <f>X94-$X$94</f>
        <v>0</v>
      </c>
      <c r="Z94">
        <f t="shared" ref="Z94:Z108" si="202">-Y94/2/P94</f>
        <v>0</v>
      </c>
    </row>
    <row r="95" spans="3:26" x14ac:dyDescent="0.3">
      <c r="C95" s="113">
        <f>D95/180+1</f>
        <v>1.0833333333333333</v>
      </c>
      <c r="D95" s="142">
        <v>15</v>
      </c>
      <c r="E95" s="142"/>
      <c r="F95" s="142">
        <v>13.8</v>
      </c>
      <c r="G95" s="142">
        <v>0.77800000000000002</v>
      </c>
      <c r="H95" s="142">
        <v>3900</v>
      </c>
      <c r="I95" s="143"/>
      <c r="J95" s="142"/>
      <c r="K95" s="2">
        <f t="shared" ref="K95:K108" si="203">F95*G95</f>
        <v>10.736400000000001</v>
      </c>
      <c r="L95" s="1">
        <f t="shared" si="193"/>
        <v>15</v>
      </c>
      <c r="M95" s="1">
        <f t="shared" si="194"/>
        <v>2.7080502011022101</v>
      </c>
      <c r="N95" s="3">
        <f t="shared" si="195"/>
        <v>256.41025641025641</v>
      </c>
      <c r="O95" s="3"/>
      <c r="P95" s="3">
        <f t="shared" si="196"/>
        <v>15384.615384615385</v>
      </c>
      <c r="Q95" s="3">
        <f t="shared" si="197"/>
        <v>0</v>
      </c>
      <c r="R95" s="3">
        <f t="shared" si="198"/>
        <v>33.386752136752136</v>
      </c>
      <c r="S95" s="3">
        <f t="shared" si="199"/>
        <v>0</v>
      </c>
      <c r="T95" s="3">
        <f t="shared" si="200"/>
        <v>15</v>
      </c>
      <c r="U95" s="4">
        <f t="shared" si="201"/>
        <v>10.736400000000001</v>
      </c>
      <c r="V95" s="4"/>
      <c r="W95">
        <f t="shared" ref="W95:W108" si="204">U95*0.001341022</f>
        <v>1.4397748600800004E-2</v>
      </c>
      <c r="X95" s="127">
        <f t="shared" ref="X95:X108" si="205">$W95/$P95*5252</f>
        <v>4.9151034173411049E-3</v>
      </c>
      <c r="Y95" s="127">
        <f t="shared" ref="Y95:Y108" si="206">X95-$X$94</f>
        <v>3.5845674991758555E-4</v>
      </c>
      <c r="Z95">
        <f t="shared" si="202"/>
        <v>-1.1649844372321531E-8</v>
      </c>
    </row>
    <row r="96" spans="3:26" x14ac:dyDescent="0.3">
      <c r="C96" s="113">
        <f>D96/180+1</f>
        <v>1.1111111111111112</v>
      </c>
      <c r="D96" s="142">
        <v>20</v>
      </c>
      <c r="E96" s="142"/>
      <c r="F96" s="142">
        <v>13.78</v>
      </c>
      <c r="G96" s="142">
        <v>1.04</v>
      </c>
      <c r="H96" s="142">
        <v>3260</v>
      </c>
      <c r="I96" s="143"/>
      <c r="J96" s="142"/>
      <c r="K96" s="2">
        <f t="shared" si="203"/>
        <v>14.331199999999999</v>
      </c>
      <c r="L96" s="1">
        <f t="shared" si="193"/>
        <v>20</v>
      </c>
      <c r="M96" s="1">
        <f t="shared" si="194"/>
        <v>2.9957322735539909</v>
      </c>
      <c r="N96" s="3">
        <f t="shared" si="195"/>
        <v>306.74846625766872</v>
      </c>
      <c r="O96" s="3"/>
      <c r="P96" s="3">
        <f t="shared" si="196"/>
        <v>18404.907975460123</v>
      </c>
      <c r="Q96" s="3">
        <f t="shared" si="197"/>
        <v>0</v>
      </c>
      <c r="R96" s="3">
        <f t="shared" si="198"/>
        <v>39.941206543967276</v>
      </c>
      <c r="S96" s="3">
        <f t="shared" si="199"/>
        <v>0</v>
      </c>
      <c r="T96" s="3">
        <f t="shared" si="200"/>
        <v>20</v>
      </c>
      <c r="U96" s="4">
        <f t="shared" si="201"/>
        <v>14.331199999999999</v>
      </c>
      <c r="V96" s="4"/>
      <c r="W96">
        <f t="shared" si="204"/>
        <v>1.92184544864E-2</v>
      </c>
      <c r="X96" s="127">
        <f t="shared" si="205"/>
        <v>5.4841525476331228E-3</v>
      </c>
      <c r="Y96" s="127">
        <f t="shared" si="206"/>
        <v>9.2750588020960346E-4</v>
      </c>
      <c r="Z96">
        <f t="shared" si="202"/>
        <v>-2.519724307902756E-8</v>
      </c>
    </row>
    <row r="97" spans="3:26" x14ac:dyDescent="0.3">
      <c r="C97" s="113">
        <f t="shared" ref="C97:C108" si="207">D97/180+1</f>
        <v>1.1388888888888888</v>
      </c>
      <c r="D97" s="142">
        <v>25</v>
      </c>
      <c r="E97" s="142"/>
      <c r="F97" s="142">
        <v>13.76</v>
      </c>
      <c r="G97" s="142">
        <v>1.363</v>
      </c>
      <c r="H97" s="142">
        <v>2870</v>
      </c>
      <c r="I97" s="142"/>
      <c r="J97" s="142"/>
      <c r="K97" s="2">
        <f t="shared" si="203"/>
        <v>18.75488</v>
      </c>
      <c r="L97" s="1">
        <f t="shared" si="193"/>
        <v>25</v>
      </c>
      <c r="M97" s="1">
        <f t="shared" si="194"/>
        <v>3.2188758248682006</v>
      </c>
      <c r="N97" s="3">
        <f t="shared" si="195"/>
        <v>348.43205574912895</v>
      </c>
      <c r="O97" s="3"/>
      <c r="P97" s="3">
        <f t="shared" si="196"/>
        <v>20905.923344947736</v>
      </c>
      <c r="Q97" s="3">
        <f t="shared" si="197"/>
        <v>0</v>
      </c>
      <c r="R97" s="3">
        <f t="shared" si="198"/>
        <v>45.368757259001164</v>
      </c>
      <c r="S97" s="3">
        <f t="shared" si="199"/>
        <v>0</v>
      </c>
      <c r="T97" s="3">
        <f t="shared" si="200"/>
        <v>25</v>
      </c>
      <c r="U97" s="4">
        <f t="shared" si="201"/>
        <v>18.75488</v>
      </c>
      <c r="V97" s="4"/>
      <c r="W97">
        <f t="shared" si="204"/>
        <v>2.5150706687360001E-2</v>
      </c>
      <c r="X97" s="127">
        <f t="shared" si="205"/>
        <v>6.3183773011363711E-3</v>
      </c>
      <c r="Y97" s="127">
        <f t="shared" si="206"/>
        <v>1.7617306337128517E-3</v>
      </c>
      <c r="Z97">
        <f t="shared" si="202"/>
        <v>-4.21347243229657E-8</v>
      </c>
    </row>
    <row r="98" spans="3:26" x14ac:dyDescent="0.3">
      <c r="C98" s="113">
        <f t="shared" si="207"/>
        <v>1.1666666666666667</v>
      </c>
      <c r="D98" s="142">
        <v>30</v>
      </c>
      <c r="E98" s="142"/>
      <c r="F98" s="142">
        <v>13.74</v>
      </c>
      <c r="G98" s="142">
        <v>1.67</v>
      </c>
      <c r="H98" s="142">
        <v>2640</v>
      </c>
      <c r="I98" s="142"/>
      <c r="J98" s="142"/>
      <c r="K98" s="2">
        <f t="shared" si="203"/>
        <v>22.945799999999998</v>
      </c>
      <c r="L98" s="1">
        <f t="shared" si="193"/>
        <v>30</v>
      </c>
      <c r="M98" s="1">
        <f t="shared" si="194"/>
        <v>3.4011973816621555</v>
      </c>
      <c r="N98" s="3">
        <f t="shared" si="195"/>
        <v>378.78787878787881</v>
      </c>
      <c r="O98" s="3"/>
      <c r="P98" s="3">
        <f t="shared" si="196"/>
        <v>22727.272727272728</v>
      </c>
      <c r="Q98" s="3">
        <f t="shared" si="197"/>
        <v>0</v>
      </c>
      <c r="R98" s="3">
        <f t="shared" si="198"/>
        <v>49.321338383838388</v>
      </c>
      <c r="S98" s="3">
        <f t="shared" si="199"/>
        <v>0</v>
      </c>
      <c r="T98" s="3">
        <f t="shared" si="200"/>
        <v>30</v>
      </c>
      <c r="U98" s="4">
        <f t="shared" si="201"/>
        <v>22.945799999999998</v>
      </c>
      <c r="V98" s="4"/>
      <c r="W98">
        <f t="shared" si="204"/>
        <v>3.0770822607600001E-2</v>
      </c>
      <c r="X98" s="127">
        <f t="shared" si="205"/>
        <v>7.1107678547450686E-3</v>
      </c>
      <c r="Y98" s="127">
        <f t="shared" si="206"/>
        <v>2.5541211873215492E-3</v>
      </c>
      <c r="Z98">
        <f t="shared" si="202"/>
        <v>-5.6190666121074085E-8</v>
      </c>
    </row>
    <row r="99" spans="3:26" x14ac:dyDescent="0.3">
      <c r="C99" s="113">
        <f t="shared" si="207"/>
        <v>1.1944444444444444</v>
      </c>
      <c r="D99" s="142">
        <v>35</v>
      </c>
      <c r="E99" s="142"/>
      <c r="F99" s="142">
        <v>13.72</v>
      </c>
      <c r="G99" s="142">
        <v>2.0550000000000002</v>
      </c>
      <c r="H99" s="142">
        <v>2400</v>
      </c>
      <c r="I99" s="142"/>
      <c r="J99" s="142"/>
      <c r="K99" s="2">
        <f t="shared" si="203"/>
        <v>28.194600000000005</v>
      </c>
      <c r="L99" s="1">
        <f t="shared" si="193"/>
        <v>35</v>
      </c>
      <c r="M99" s="1">
        <f t="shared" si="194"/>
        <v>3.5553480614894135</v>
      </c>
      <c r="N99" s="3">
        <f t="shared" si="195"/>
        <v>416.66666666666669</v>
      </c>
      <c r="O99" s="3"/>
      <c r="P99" s="3">
        <f t="shared" si="196"/>
        <v>25000</v>
      </c>
      <c r="Q99" s="3">
        <f t="shared" si="197"/>
        <v>0</v>
      </c>
      <c r="R99" s="3">
        <f t="shared" si="198"/>
        <v>54.253472222222221</v>
      </c>
      <c r="S99" s="3">
        <f t="shared" si="199"/>
        <v>0</v>
      </c>
      <c r="T99" s="3">
        <f t="shared" si="200"/>
        <v>35</v>
      </c>
      <c r="U99" s="4">
        <f t="shared" si="201"/>
        <v>28.194600000000005</v>
      </c>
      <c r="V99" s="4"/>
      <c r="W99">
        <f t="shared" si="204"/>
        <v>3.7809578881200012E-2</v>
      </c>
      <c r="X99" s="127">
        <f t="shared" si="205"/>
        <v>7.9430363313624987E-3</v>
      </c>
      <c r="Y99" s="127">
        <f t="shared" si="206"/>
        <v>3.3863896639389794E-3</v>
      </c>
      <c r="Z99">
        <f t="shared" si="202"/>
        <v>-6.7727793278779586E-8</v>
      </c>
    </row>
    <row r="100" spans="3:26" x14ac:dyDescent="0.3">
      <c r="C100" s="113">
        <f t="shared" si="207"/>
        <v>1.2222222222222223</v>
      </c>
      <c r="D100" s="142">
        <v>40</v>
      </c>
      <c r="E100" s="142"/>
      <c r="F100" s="142">
        <v>13.7</v>
      </c>
      <c r="G100" s="142">
        <v>2.2999999999999998</v>
      </c>
      <c r="H100" s="142">
        <v>2250</v>
      </c>
      <c r="I100" s="142"/>
      <c r="J100" s="142"/>
      <c r="K100" s="2">
        <f t="shared" si="203"/>
        <v>31.509999999999994</v>
      </c>
      <c r="L100" s="1">
        <f t="shared" si="193"/>
        <v>40</v>
      </c>
      <c r="M100" s="1">
        <f t="shared" si="194"/>
        <v>3.6888794541139363</v>
      </c>
      <c r="N100" s="3">
        <f t="shared" si="195"/>
        <v>444.44444444444451</v>
      </c>
      <c r="O100" s="3"/>
      <c r="P100" s="3">
        <f t="shared" si="196"/>
        <v>26666.666666666672</v>
      </c>
      <c r="Q100" s="3">
        <f t="shared" si="197"/>
        <v>0</v>
      </c>
      <c r="R100" s="3">
        <f t="shared" si="198"/>
        <v>57.870370370370381</v>
      </c>
      <c r="S100" s="3">
        <f t="shared" si="199"/>
        <v>0</v>
      </c>
      <c r="T100" s="3">
        <f t="shared" si="200"/>
        <v>40</v>
      </c>
      <c r="U100" s="4">
        <f t="shared" si="201"/>
        <v>31.509999999999994</v>
      </c>
      <c r="V100" s="4"/>
      <c r="W100">
        <f t="shared" si="204"/>
        <v>4.2255603219999993E-2</v>
      </c>
      <c r="X100" s="127">
        <f t="shared" si="205"/>
        <v>8.3222410541789974E-3</v>
      </c>
      <c r="Y100" s="127">
        <f t="shared" si="206"/>
        <v>3.765594386755478E-3</v>
      </c>
      <c r="Z100">
        <f t="shared" si="202"/>
        <v>-7.0604894751665205E-8</v>
      </c>
    </row>
    <row r="101" spans="3:26" x14ac:dyDescent="0.3">
      <c r="C101" s="113">
        <f t="shared" si="207"/>
        <v>1.2777777777777777</v>
      </c>
      <c r="D101" s="142">
        <v>50</v>
      </c>
      <c r="E101" s="142"/>
      <c r="F101" s="142">
        <v>13.65</v>
      </c>
      <c r="G101" s="142">
        <v>3.02</v>
      </c>
      <c r="H101" s="142">
        <v>2010</v>
      </c>
      <c r="I101" s="142"/>
      <c r="J101" s="142"/>
      <c r="K101" s="2">
        <f t="shared" si="203"/>
        <v>41.222999999999999</v>
      </c>
      <c r="L101" s="1">
        <f t="shared" si="193"/>
        <v>50</v>
      </c>
      <c r="M101" s="1">
        <f t="shared" si="194"/>
        <v>3.912023005428146</v>
      </c>
      <c r="N101" s="3">
        <f t="shared" si="195"/>
        <v>497.51243781094524</v>
      </c>
      <c r="O101" s="3"/>
      <c r="P101" s="3">
        <f t="shared" si="196"/>
        <v>29850.746268656716</v>
      </c>
      <c r="Q101" s="3">
        <f t="shared" si="197"/>
        <v>0</v>
      </c>
      <c r="R101" s="3">
        <f t="shared" si="198"/>
        <v>64.780265339966832</v>
      </c>
      <c r="S101" s="3">
        <f t="shared" si="199"/>
        <v>0</v>
      </c>
      <c r="T101" s="3">
        <f t="shared" si="200"/>
        <v>50</v>
      </c>
      <c r="U101" s="4">
        <f t="shared" si="201"/>
        <v>41.222999999999999</v>
      </c>
      <c r="V101" s="4"/>
      <c r="W101">
        <f t="shared" si="204"/>
        <v>5.5280949906E-2</v>
      </c>
      <c r="X101" s="127">
        <f t="shared" si="205"/>
        <v>9.7262408883614527E-3</v>
      </c>
      <c r="Y101" s="127">
        <f t="shared" si="206"/>
        <v>5.1695942209379333E-3</v>
      </c>
      <c r="Z101">
        <f t="shared" si="202"/>
        <v>-8.6590703200710378E-8</v>
      </c>
    </row>
    <row r="102" spans="3:26" x14ac:dyDescent="0.3">
      <c r="C102" s="113">
        <f t="shared" si="207"/>
        <v>1.3333333333333333</v>
      </c>
      <c r="D102" s="142">
        <v>60</v>
      </c>
      <c r="E102" s="142"/>
      <c r="F102" s="142">
        <v>13.6</v>
      </c>
      <c r="G102" s="142">
        <v>3.81</v>
      </c>
      <c r="H102" s="142">
        <v>1880</v>
      </c>
      <c r="I102" s="142"/>
      <c r="J102" s="142"/>
      <c r="K102" s="2">
        <f t="shared" si="203"/>
        <v>51.816000000000003</v>
      </c>
      <c r="L102" s="1">
        <f t="shared" si="193"/>
        <v>60</v>
      </c>
      <c r="M102" s="1">
        <f t="shared" si="194"/>
        <v>4.0943445622221004</v>
      </c>
      <c r="N102" s="3">
        <f t="shared" si="195"/>
        <v>531.91489361702133</v>
      </c>
      <c r="O102" s="3"/>
      <c r="P102" s="3">
        <f t="shared" si="196"/>
        <v>31914.89361702128</v>
      </c>
      <c r="Q102" s="3">
        <f t="shared" si="197"/>
        <v>0</v>
      </c>
      <c r="R102" s="3">
        <f t="shared" si="198"/>
        <v>69.259751773049643</v>
      </c>
      <c r="S102" s="3">
        <f t="shared" si="199"/>
        <v>0</v>
      </c>
      <c r="T102" s="3">
        <f t="shared" si="200"/>
        <v>60</v>
      </c>
      <c r="U102" s="4">
        <f t="shared" si="201"/>
        <v>51.816000000000003</v>
      </c>
      <c r="V102" s="4"/>
      <c r="W102">
        <f t="shared" si="204"/>
        <v>6.9486395952000013E-2</v>
      </c>
      <c r="X102" s="127">
        <f t="shared" si="205"/>
        <v>1.1434866614916992E-2</v>
      </c>
      <c r="Y102" s="127">
        <f t="shared" si="206"/>
        <v>6.8782199474934731E-3</v>
      </c>
      <c r="Z102">
        <f t="shared" si="202"/>
        <v>-1.0775877917739773E-7</v>
      </c>
    </row>
    <row r="103" spans="3:26" x14ac:dyDescent="0.3">
      <c r="C103" s="113">
        <f t="shared" si="207"/>
        <v>1.4166666666666667</v>
      </c>
      <c r="D103" s="142">
        <v>75</v>
      </c>
      <c r="E103" s="142"/>
      <c r="F103" s="142">
        <v>13.54</v>
      </c>
      <c r="G103" s="142">
        <v>4.91</v>
      </c>
      <c r="H103" s="142">
        <v>1630</v>
      </c>
      <c r="I103" s="142"/>
      <c r="J103" s="142"/>
      <c r="K103" s="2">
        <f t="shared" si="203"/>
        <v>66.481399999999994</v>
      </c>
      <c r="L103" s="1">
        <f t="shared" si="193"/>
        <v>75</v>
      </c>
      <c r="M103" s="1">
        <f t="shared" si="194"/>
        <v>4.3174881135363101</v>
      </c>
      <c r="N103" s="3">
        <f t="shared" si="195"/>
        <v>613.49693251533745</v>
      </c>
      <c r="O103" s="3"/>
      <c r="P103" s="3">
        <f t="shared" si="196"/>
        <v>36809.815950920245</v>
      </c>
      <c r="Q103" s="3">
        <f t="shared" si="197"/>
        <v>0</v>
      </c>
      <c r="R103" s="3">
        <f t="shared" si="198"/>
        <v>79.882413087934552</v>
      </c>
      <c r="S103" s="3">
        <f t="shared" si="199"/>
        <v>0</v>
      </c>
      <c r="T103" s="3">
        <f t="shared" si="200"/>
        <v>75</v>
      </c>
      <c r="U103" s="4">
        <f t="shared" si="201"/>
        <v>66.481399999999994</v>
      </c>
      <c r="V103" s="4"/>
      <c r="W103">
        <f t="shared" si="204"/>
        <v>8.9153019990799998E-2</v>
      </c>
      <c r="X103" s="127">
        <f t="shared" si="205"/>
        <v>1.2720293456940682E-2</v>
      </c>
      <c r="Y103" s="127">
        <f t="shared" si="206"/>
        <v>8.1636467895171635E-3</v>
      </c>
      <c r="Z103">
        <f t="shared" si="202"/>
        <v>-1.1088953555760814E-7</v>
      </c>
    </row>
    <row r="104" spans="3:26" x14ac:dyDescent="0.3">
      <c r="C104" s="113">
        <f t="shared" si="207"/>
        <v>1.5</v>
      </c>
      <c r="D104" s="142">
        <v>90</v>
      </c>
      <c r="E104" s="142"/>
      <c r="F104" s="142">
        <v>13.47</v>
      </c>
      <c r="G104" s="142">
        <v>6</v>
      </c>
      <c r="H104" s="142">
        <v>1520</v>
      </c>
      <c r="I104" s="142"/>
      <c r="J104" s="142"/>
      <c r="K104" s="2">
        <f t="shared" si="203"/>
        <v>80.820000000000007</v>
      </c>
      <c r="L104" s="1">
        <f t="shared" si="193"/>
        <v>90</v>
      </c>
      <c r="M104" s="1">
        <f t="shared" si="194"/>
        <v>4.499809670330265</v>
      </c>
      <c r="N104" s="3">
        <f t="shared" si="195"/>
        <v>657.89473684210532</v>
      </c>
      <c r="O104" s="3"/>
      <c r="P104" s="3">
        <f t="shared" si="196"/>
        <v>39473.68421052632</v>
      </c>
      <c r="Q104" s="3">
        <f t="shared" si="197"/>
        <v>0</v>
      </c>
      <c r="R104" s="3">
        <f t="shared" si="198"/>
        <v>85.663377192982466</v>
      </c>
      <c r="S104" s="3">
        <f t="shared" si="199"/>
        <v>0</v>
      </c>
      <c r="T104" s="3">
        <f t="shared" si="200"/>
        <v>90</v>
      </c>
      <c r="U104" s="4">
        <f t="shared" si="201"/>
        <v>80.820000000000007</v>
      </c>
      <c r="V104" s="4"/>
      <c r="W104">
        <f t="shared" si="204"/>
        <v>0.10838139804000002</v>
      </c>
      <c r="X104" s="127">
        <f t="shared" si="205"/>
        <v>1.4420217263487361E-2</v>
      </c>
      <c r="Y104" s="127">
        <f t="shared" si="206"/>
        <v>9.8635705960638427E-3</v>
      </c>
      <c r="Z104">
        <f t="shared" si="202"/>
        <v>-1.2493856088347532E-7</v>
      </c>
    </row>
    <row r="105" spans="3:26" x14ac:dyDescent="0.3">
      <c r="C105" s="113">
        <f t="shared" si="207"/>
        <v>1.6055555555555556</v>
      </c>
      <c r="D105" s="142">
        <v>109</v>
      </c>
      <c r="E105" s="142"/>
      <c r="F105" s="142">
        <v>13.38</v>
      </c>
      <c r="G105" s="142">
        <v>7.4</v>
      </c>
      <c r="H105" s="142">
        <v>1390</v>
      </c>
      <c r="I105" s="142"/>
      <c r="J105" s="142"/>
      <c r="K105" s="2">
        <f t="shared" si="203"/>
        <v>99.012000000000015</v>
      </c>
      <c r="L105" s="1">
        <f t="shared" si="193"/>
        <v>109</v>
      </c>
      <c r="M105" s="1">
        <f t="shared" si="194"/>
        <v>4.6913478822291435</v>
      </c>
      <c r="N105" s="3">
        <f t="shared" si="195"/>
        <v>719.42446043165478</v>
      </c>
      <c r="O105" s="3"/>
      <c r="P105" s="3">
        <f t="shared" si="196"/>
        <v>43165.467625899284</v>
      </c>
      <c r="Q105" s="3">
        <f t="shared" si="197"/>
        <v>0</v>
      </c>
      <c r="R105" s="3">
        <f t="shared" si="198"/>
        <v>93.675059952038382</v>
      </c>
      <c r="S105" s="3">
        <f t="shared" si="199"/>
        <v>0</v>
      </c>
      <c r="T105" s="3">
        <f t="shared" si="200"/>
        <v>109</v>
      </c>
      <c r="U105" s="4">
        <f t="shared" si="201"/>
        <v>99.012000000000015</v>
      </c>
      <c r="V105" s="4"/>
      <c r="W105">
        <f t="shared" si="204"/>
        <v>0.13277727026400002</v>
      </c>
      <c r="X105" s="127">
        <f t="shared" si="205"/>
        <v>1.6155187509381233E-2</v>
      </c>
      <c r="Y105" s="127">
        <f t="shared" si="206"/>
        <v>1.1598540841957713E-2</v>
      </c>
      <c r="Z105">
        <f t="shared" si="202"/>
        <v>-1.3434976475267684E-7</v>
      </c>
    </row>
    <row r="106" spans="3:26" ht="15" thickBot="1" x14ac:dyDescent="0.35">
      <c r="C106" s="116">
        <f t="shared" si="207"/>
        <v>1.7222222222222223</v>
      </c>
      <c r="D106" s="142">
        <v>130</v>
      </c>
      <c r="E106" s="142"/>
      <c r="F106" s="142">
        <v>13.29</v>
      </c>
      <c r="G106" s="142">
        <v>8.9</v>
      </c>
      <c r="H106" s="142">
        <v>1350</v>
      </c>
      <c r="I106" s="142"/>
      <c r="J106" s="142"/>
      <c r="K106" s="2">
        <f t="shared" si="203"/>
        <v>118.28099999999999</v>
      </c>
      <c r="L106" s="1">
        <f t="shared" si="193"/>
        <v>130</v>
      </c>
      <c r="M106" s="1">
        <f t="shared" si="194"/>
        <v>4.8675344504555822</v>
      </c>
      <c r="N106" s="3">
        <f t="shared" si="195"/>
        <v>740.74074074074076</v>
      </c>
      <c r="O106" s="3"/>
      <c r="P106" s="3">
        <f t="shared" si="196"/>
        <v>44444.444444444445</v>
      </c>
      <c r="Q106" s="3">
        <f t="shared" si="197"/>
        <v>0</v>
      </c>
      <c r="R106" s="3">
        <f t="shared" si="198"/>
        <v>96.450617283950621</v>
      </c>
      <c r="S106" s="3">
        <f t="shared" si="199"/>
        <v>0</v>
      </c>
      <c r="T106" s="3">
        <f t="shared" si="200"/>
        <v>130</v>
      </c>
      <c r="U106" s="4">
        <f t="shared" si="201"/>
        <v>118.28099999999999</v>
      </c>
      <c r="V106" s="4"/>
      <c r="W106">
        <f t="shared" si="204"/>
        <v>0.15861742318200001</v>
      </c>
      <c r="X106" s="127">
        <f t="shared" si="205"/>
        <v>1.8743820897416941E-2</v>
      </c>
      <c r="Y106" s="127">
        <f t="shared" si="206"/>
        <v>1.418717422999342E-2</v>
      </c>
      <c r="Z106">
        <f t="shared" si="202"/>
        <v>-1.5960571008742599E-7</v>
      </c>
    </row>
    <row r="107" spans="3:26" x14ac:dyDescent="0.3">
      <c r="C107" s="144">
        <f t="shared" si="207"/>
        <v>1.8444444444444446</v>
      </c>
      <c r="D107" s="142">
        <v>152</v>
      </c>
      <c r="E107" s="142"/>
      <c r="F107" s="142">
        <v>13.1</v>
      </c>
      <c r="G107" s="142">
        <v>11.64</v>
      </c>
      <c r="H107" s="142">
        <v>1280</v>
      </c>
      <c r="I107" s="142"/>
      <c r="J107" s="142"/>
      <c r="K107" s="1">
        <f t="shared" si="203"/>
        <v>152.48400000000001</v>
      </c>
      <c r="L107" s="1">
        <f t="shared" si="193"/>
        <v>152</v>
      </c>
      <c r="M107" s="1">
        <f t="shared" si="194"/>
        <v>5.0238805208462765</v>
      </c>
      <c r="N107" s="1">
        <f t="shared" si="195"/>
        <v>781.25000000000011</v>
      </c>
      <c r="P107" s="1">
        <f>N107*60/$Y$35</f>
        <v>46875.000000000007</v>
      </c>
      <c r="R107" s="1">
        <f>P107/$Y$46*100</f>
        <v>101.72526041666667</v>
      </c>
      <c r="T107" s="1">
        <f t="shared" si="200"/>
        <v>152</v>
      </c>
      <c r="U107" s="4">
        <f t="shared" si="201"/>
        <v>152.48400000000001</v>
      </c>
      <c r="V107" s="4"/>
      <c r="W107">
        <f t="shared" si="204"/>
        <v>0.20448439864800003</v>
      </c>
      <c r="X107" s="127">
        <f t="shared" si="205"/>
        <v>2.2910977316251649E-2</v>
      </c>
      <c r="Y107" s="127">
        <f t="shared" si="206"/>
        <v>1.8354330648828129E-2</v>
      </c>
      <c r="Z107">
        <f t="shared" si="202"/>
        <v>-1.9577952692083334E-7</v>
      </c>
    </row>
    <row r="108" spans="3:26" x14ac:dyDescent="0.3">
      <c r="C108" s="144">
        <f t="shared" si="207"/>
        <v>1.911111111111111</v>
      </c>
      <c r="D108" s="142">
        <v>164</v>
      </c>
      <c r="E108" s="142"/>
      <c r="F108" s="142">
        <v>12.93</v>
      </c>
      <c r="G108" s="142">
        <v>14.16</v>
      </c>
      <c r="H108" s="142">
        <v>1236</v>
      </c>
      <c r="I108" s="142"/>
      <c r="J108" s="142"/>
      <c r="K108" s="1">
        <f t="shared" si="203"/>
        <v>183.08879999999999</v>
      </c>
      <c r="L108" s="1">
        <f t="shared" si="193"/>
        <v>164</v>
      </c>
      <c r="M108" s="1">
        <f t="shared" si="194"/>
        <v>5.0998664278241987</v>
      </c>
      <c r="N108" s="1">
        <f t="shared" si="195"/>
        <v>809.06148867313925</v>
      </c>
      <c r="P108" s="1">
        <f>N108*60/$Y$35</f>
        <v>48543.689320388352</v>
      </c>
      <c r="R108" s="1">
        <f>P108/$Y$46*100</f>
        <v>105.346548004315</v>
      </c>
      <c r="T108" s="1">
        <f t="shared" si="200"/>
        <v>164</v>
      </c>
      <c r="U108" s="4">
        <f t="shared" si="201"/>
        <v>183.08879999999999</v>
      </c>
      <c r="V108" s="4"/>
      <c r="W108">
        <f t="shared" si="204"/>
        <v>0.24552610875360001</v>
      </c>
      <c r="X108" s="127">
        <f t="shared" si="205"/>
        <v>2.6563764337382487E-2</v>
      </c>
      <c r="Y108" s="127">
        <f t="shared" si="206"/>
        <v>2.2007117669958966E-2</v>
      </c>
      <c r="Z108">
        <f t="shared" si="202"/>
        <v>-2.2667331200057733E-7</v>
      </c>
    </row>
    <row r="109" spans="3:26" x14ac:dyDescent="0.3">
      <c r="X109" s="127"/>
    </row>
    <row r="110" spans="3:26" x14ac:dyDescent="0.3">
      <c r="X110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2016-12-18T10:47:14Z</dcterms:modified>
</cp:coreProperties>
</file>