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1" activeTab="1"/>
  </bookViews>
  <sheets>
    <sheet name="Time Const Comp" sheetId="11" r:id="rId1"/>
    <sheet name="Ard1_Turn1x_ESC1_G1b_T1a" sheetId="13" r:id="rId2"/>
    <sheet name="Ard2_Turn2_ESC2_G2b_T2a" sheetId="8" r:id="rId3"/>
    <sheet name="Ard3_Turn3_ESC3_G3b_T3a" sheetId="9" r:id="rId4"/>
    <sheet name="Ard4_Turn4_ESC4_G4b_T4a" sheetId="10" r:id="rId5"/>
    <sheet name="CalPhotonTurnigy" sheetId="4" r:id="rId6"/>
    <sheet name="TauPhotonTurnigy" sheetId="5" r:id="rId7"/>
    <sheet name="CalArduinoTurnigy" sheetId="3" r:id="rId8"/>
    <sheet name="CalArduinoHiTec" sheetId="1" r:id="rId9"/>
    <sheet name="CalPhotonHiTec" sheetId="2" r:id="rId10"/>
  </sheets>
  <definedNames>
    <definedName name="Meas_TauT__s" localSheetId="1">Ard1_Turn1x_ESC1_G1b_T1a!$K$39:$K$44</definedName>
    <definedName name="Meas_TauT__s" localSheetId="2">Ard2_Turn2_ESC2_G2b_T2a!$K$38:$K$43</definedName>
    <definedName name="Meas_TauT__s" localSheetId="3">Ard3_Turn3_ESC3_G3b_T3a!$K$39:$K$44</definedName>
    <definedName name="Meas_TauT__s" localSheetId="4">Ard4_Turn4_ESC4_G4b_T4a!$K$39:$K$44</definedName>
    <definedName name="Meas_TauT__s">#REF!</definedName>
    <definedName name="MeasNt" localSheetId="1">Ard1_Turn1x_ESC1_G1b_T1a!$I$39:$I$44</definedName>
    <definedName name="MeasNt" localSheetId="2">Ard2_Turn2_ESC2_G2b_T2a!$I$38:$I$43</definedName>
    <definedName name="MeasNt" localSheetId="3">Ard3_Turn3_ESC3_G3b_T3a!$I$39:$I$44</definedName>
    <definedName name="MeasNt" localSheetId="4">Ard4_Turn4_ESC4_G4b_T4a!$I$39:$I$44</definedName>
    <definedName name="MeasNt">#REF!</definedName>
    <definedName name="MeasTauT" localSheetId="1">Ard1_Turn1x_ESC1_G1b_T1a!$K$39:$K$44</definedName>
    <definedName name="MeasTauT" localSheetId="2">Ard2_Turn2_ESC2_G2b_T2a!$K$38:$K$43</definedName>
    <definedName name="MeasTauT" localSheetId="3">Ard3_Turn3_ESC3_G3b_T3a!$K$39:$K$44</definedName>
    <definedName name="MeasTauT" localSheetId="4">Ard4_Turn4_ESC4_G4b_T4a!$K$39:$K$44</definedName>
    <definedName name="MeasTauT">#REF!</definedName>
    <definedName name="Nt" localSheetId="1">Ard1_Turn1x_ESC1_G1b_T1a!$I$39:$I$44</definedName>
    <definedName name="Nt" localSheetId="2">Ard2_Turn2_ESC2_G2b_T2a!$I$38:$I$43</definedName>
    <definedName name="Nt" localSheetId="3">Ard3_Turn3_ESC3_G3b_T3a!$I$39:$I$44</definedName>
    <definedName name="Nt" localSheetId="4">Ard4_Turn4_ESC4_G4b_T4a!$I$39:$I$44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AJ3" i="13" l="1"/>
  <c r="AJ4" i="13"/>
  <c r="AJ5" i="13"/>
  <c r="AJ6" i="13"/>
  <c r="AJ7" i="13"/>
  <c r="AJ8" i="13"/>
  <c r="AJ9" i="13"/>
  <c r="AJ10" i="13"/>
  <c r="AJ11" i="13"/>
  <c r="AJ12" i="13"/>
  <c r="AJ13" i="13"/>
  <c r="AJ14" i="13"/>
  <c r="AJ2" i="13"/>
  <c r="R42" i="13"/>
  <c r="AC6" i="13"/>
  <c r="Q42" i="13"/>
  <c r="S41" i="13"/>
  <c r="Q41" i="13"/>
  <c r="R41" i="13"/>
  <c r="A19" i="4"/>
  <c r="AU19" i="4" l="1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T6" i="4"/>
  <c r="X59" i="4" l="1"/>
  <c r="X58" i="4"/>
  <c r="X57" i="4"/>
  <c r="AV2" i="13" l="1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" i="13"/>
  <c r="O13" i="13"/>
  <c r="Q13" i="13" s="1"/>
  <c r="N13" i="13"/>
  <c r="P13" i="13" s="1"/>
  <c r="L13" i="13"/>
  <c r="T13" i="13" s="1"/>
  <c r="K13" i="13"/>
  <c r="U13" i="13" s="1"/>
  <c r="C13" i="13"/>
  <c r="V57" i="13"/>
  <c r="U57" i="13"/>
  <c r="T57" i="13"/>
  <c r="S57" i="13"/>
  <c r="R57" i="13"/>
  <c r="Q57" i="13"/>
  <c r="V56" i="13"/>
  <c r="U56" i="13"/>
  <c r="T56" i="13"/>
  <c r="S56" i="13"/>
  <c r="R56" i="13"/>
  <c r="Q56" i="13"/>
  <c r="J56" i="13"/>
  <c r="R51" i="13" s="1"/>
  <c r="J55" i="13"/>
  <c r="S51" i="13" s="1"/>
  <c r="J54" i="13"/>
  <c r="T51" i="13" s="1"/>
  <c r="V53" i="13"/>
  <c r="U53" i="13"/>
  <c r="T53" i="13"/>
  <c r="S53" i="13"/>
  <c r="R53" i="13"/>
  <c r="Q53" i="13"/>
  <c r="V52" i="13"/>
  <c r="U52" i="13"/>
  <c r="T52" i="13"/>
  <c r="S52" i="13"/>
  <c r="R52" i="13"/>
  <c r="Q52" i="13"/>
  <c r="E50" i="13"/>
  <c r="I45" i="13"/>
  <c r="J57" i="13" s="1"/>
  <c r="I40" i="13"/>
  <c r="Q37" i="13"/>
  <c r="Q35" i="13"/>
  <c r="Q34" i="13"/>
  <c r="C34" i="13"/>
  <c r="Z14" i="13" s="1"/>
  <c r="AC14" i="13" s="1"/>
  <c r="AD14" i="13" s="1"/>
  <c r="Q33" i="13"/>
  <c r="Q32" i="13"/>
  <c r="AH12" i="13" s="1"/>
  <c r="AI12" i="13" s="1"/>
  <c r="C32" i="13"/>
  <c r="C33" i="13" s="1"/>
  <c r="Q31" i="13"/>
  <c r="S2" i="13" s="1"/>
  <c r="J31" i="13"/>
  <c r="J30" i="13"/>
  <c r="J32" i="13" s="1"/>
  <c r="J29" i="13"/>
  <c r="Q28" i="13"/>
  <c r="Q27" i="13"/>
  <c r="Q26" i="13"/>
  <c r="Q25" i="13"/>
  <c r="Q24" i="13"/>
  <c r="AH3" i="13" s="1"/>
  <c r="AI3" i="13" s="1"/>
  <c r="P14" i="13"/>
  <c r="O14" i="13"/>
  <c r="Q14" i="13" s="1"/>
  <c r="AE14" i="13" s="1"/>
  <c r="N14" i="13"/>
  <c r="L14" i="13"/>
  <c r="M14" i="13" s="1"/>
  <c r="K14" i="13"/>
  <c r="U14" i="13" s="1"/>
  <c r="C14" i="13"/>
  <c r="O12" i="13"/>
  <c r="Q12" i="13" s="1"/>
  <c r="N12" i="13"/>
  <c r="P12" i="13" s="1"/>
  <c r="L12" i="13"/>
  <c r="T12" i="13" s="1"/>
  <c r="K12" i="13"/>
  <c r="U12" i="13" s="1"/>
  <c r="C12" i="13"/>
  <c r="O11" i="13"/>
  <c r="Q11" i="13" s="1"/>
  <c r="AE11" i="13" s="1"/>
  <c r="N11" i="13"/>
  <c r="P11" i="13" s="1"/>
  <c r="L11" i="13"/>
  <c r="M11" i="13" s="1"/>
  <c r="K11" i="13"/>
  <c r="U11" i="13" s="1"/>
  <c r="C11" i="13"/>
  <c r="T10" i="13"/>
  <c r="O10" i="13"/>
  <c r="Q10" i="13" s="1"/>
  <c r="N10" i="13"/>
  <c r="P10" i="13" s="1"/>
  <c r="R10" i="13" s="1"/>
  <c r="L10" i="13"/>
  <c r="M10" i="13" s="1"/>
  <c r="K10" i="13"/>
  <c r="U10" i="13" s="1"/>
  <c r="C10" i="13"/>
  <c r="AH9" i="13"/>
  <c r="AI9" i="13" s="1"/>
  <c r="O9" i="13"/>
  <c r="Q9" i="13" s="1"/>
  <c r="N9" i="13"/>
  <c r="P9" i="13" s="1"/>
  <c r="L9" i="13"/>
  <c r="T9" i="13" s="1"/>
  <c r="K9" i="13"/>
  <c r="U9" i="13" s="1"/>
  <c r="C9" i="13"/>
  <c r="O8" i="13"/>
  <c r="Q8" i="13" s="1"/>
  <c r="N8" i="13"/>
  <c r="P8" i="13" s="1"/>
  <c r="L8" i="13"/>
  <c r="T8" i="13" s="1"/>
  <c r="K8" i="13"/>
  <c r="U8" i="13" s="1"/>
  <c r="C8" i="13"/>
  <c r="O7" i="13"/>
  <c r="Q7" i="13" s="1"/>
  <c r="AE7" i="13" s="1"/>
  <c r="N7" i="13"/>
  <c r="P7" i="13" s="1"/>
  <c r="L7" i="13"/>
  <c r="M7" i="13" s="1"/>
  <c r="K7" i="13"/>
  <c r="U7" i="13" s="1"/>
  <c r="C7" i="13"/>
  <c r="O6" i="13"/>
  <c r="Q6" i="13" s="1"/>
  <c r="N6" i="13"/>
  <c r="P6" i="13" s="1"/>
  <c r="L6" i="13"/>
  <c r="T6" i="13" s="1"/>
  <c r="K6" i="13"/>
  <c r="U6" i="13" s="1"/>
  <c r="C6" i="13"/>
  <c r="O5" i="13"/>
  <c r="Q5" i="13" s="1"/>
  <c r="AE5" i="13" s="1"/>
  <c r="N5" i="13"/>
  <c r="P5" i="13" s="1"/>
  <c r="L5" i="13"/>
  <c r="T5" i="13" s="1"/>
  <c r="K5" i="13"/>
  <c r="U5" i="13" s="1"/>
  <c r="C5" i="13"/>
  <c r="O4" i="13"/>
  <c r="Q4" i="13" s="1"/>
  <c r="N4" i="13"/>
  <c r="P4" i="13" s="1"/>
  <c r="L4" i="13"/>
  <c r="T4" i="13" s="1"/>
  <c r="K4" i="13"/>
  <c r="U4" i="13" s="1"/>
  <c r="C4" i="13"/>
  <c r="O3" i="13"/>
  <c r="Q3" i="13" s="1"/>
  <c r="AE3" i="13" s="1"/>
  <c r="N3" i="13"/>
  <c r="P3" i="13" s="1"/>
  <c r="R3" i="13" s="1"/>
  <c r="L3" i="13"/>
  <c r="T3" i="13" s="1"/>
  <c r="K3" i="13"/>
  <c r="U3" i="13" s="1"/>
  <c r="C3" i="13"/>
  <c r="AE2" i="13"/>
  <c r="O2" i="13"/>
  <c r="N2" i="13"/>
  <c r="P2" i="13" s="1"/>
  <c r="R2" i="13" s="1"/>
  <c r="K2" i="13"/>
  <c r="U2" i="13" s="1"/>
  <c r="U1" i="13"/>
  <c r="AH13" i="13" l="1"/>
  <c r="AI13" i="13" s="1"/>
  <c r="R5" i="13"/>
  <c r="AH6" i="13"/>
  <c r="AI6" i="13" s="1"/>
  <c r="R7" i="13"/>
  <c r="AH8" i="13"/>
  <c r="AI8" i="13" s="1"/>
  <c r="R9" i="13"/>
  <c r="AH11" i="13"/>
  <c r="AI11" i="13" s="1"/>
  <c r="R12" i="13"/>
  <c r="R14" i="13"/>
  <c r="T14" i="13"/>
  <c r="AF14" i="13"/>
  <c r="AH4" i="13"/>
  <c r="AI4" i="13" s="1"/>
  <c r="M6" i="13"/>
  <c r="R4" i="13"/>
  <c r="R6" i="13"/>
  <c r="T7" i="13"/>
  <c r="R8" i="13"/>
  <c r="AH10" i="13"/>
  <c r="AI10" i="13" s="1"/>
  <c r="R11" i="13"/>
  <c r="J33" i="13"/>
  <c r="J34" i="13" s="1"/>
  <c r="J35" i="13" s="1"/>
  <c r="M9" i="13"/>
  <c r="M5" i="13"/>
  <c r="M8" i="13"/>
  <c r="AE8" i="13"/>
  <c r="S8" i="13"/>
  <c r="T11" i="13"/>
  <c r="M12" i="13"/>
  <c r="AE13" i="13"/>
  <c r="S13" i="13"/>
  <c r="V13" i="13"/>
  <c r="W13" i="13"/>
  <c r="X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W14" i="13"/>
  <c r="X14" i="13" s="1"/>
  <c r="R43" i="13"/>
  <c r="Q43" i="13"/>
  <c r="V6" i="13"/>
  <c r="W6" i="13"/>
  <c r="X6" i="13" s="1"/>
  <c r="AE6" i="13"/>
  <c r="S6" i="13"/>
  <c r="V10" i="13"/>
  <c r="W10" i="13"/>
  <c r="X10" i="13" s="1"/>
  <c r="AE10" i="13"/>
  <c r="S10" i="13"/>
  <c r="R44" i="13"/>
  <c r="Q44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4" i="13"/>
  <c r="AE9" i="13"/>
  <c r="S9" i="13"/>
  <c r="AE12" i="13"/>
  <c r="S12" i="13"/>
  <c r="V11" i="13"/>
  <c r="V14" i="13"/>
  <c r="AA14" i="13"/>
  <c r="AB14" i="13" s="1"/>
  <c r="Q38" i="13"/>
  <c r="Z13" i="13" s="1"/>
  <c r="AH14" i="13"/>
  <c r="AI14" i="13" s="1"/>
  <c r="AH7" i="13"/>
  <c r="AI7" i="13" s="1"/>
  <c r="AH5" i="13"/>
  <c r="AI5" i="13" s="1"/>
  <c r="J52" i="13"/>
  <c r="J53" i="13"/>
  <c r="U51" i="13" s="1"/>
  <c r="AW6" i="4"/>
  <c r="AG6" i="4"/>
  <c r="AH6" i="4" s="1"/>
  <c r="N6" i="4"/>
  <c r="P6" i="4" s="1"/>
  <c r="M6" i="4"/>
  <c r="O6" i="4" s="1"/>
  <c r="K6" i="4"/>
  <c r="S6" i="4" s="1"/>
  <c r="J6" i="4"/>
  <c r="T6" i="4" s="1"/>
  <c r="C6" i="4"/>
  <c r="Q36" i="13" l="1"/>
  <c r="J36" i="13"/>
  <c r="AA13" i="13"/>
  <c r="AB13" i="13" s="1"/>
  <c r="AC13" i="13"/>
  <c r="AF13" i="13" s="1"/>
  <c r="Y13" i="13"/>
  <c r="AD6" i="4"/>
  <c r="J45" i="13"/>
  <c r="J41" i="13"/>
  <c r="Y12" i="13"/>
  <c r="Y10" i="13"/>
  <c r="Y6" i="13"/>
  <c r="Y11" i="13"/>
  <c r="Y5" i="13"/>
  <c r="Y9" i="13"/>
  <c r="Y8" i="13"/>
  <c r="Y14" i="13"/>
  <c r="Y4" i="13"/>
  <c r="K48" i="13" s="1"/>
  <c r="J40" i="13"/>
  <c r="J43" i="13"/>
  <c r="J44" i="13"/>
  <c r="J42" i="13"/>
  <c r="Y7" i="13"/>
  <c r="L42" i="13"/>
  <c r="M42" i="13" s="1"/>
  <c r="Z10" i="13"/>
  <c r="Z6" i="13"/>
  <c r="Z8" i="13"/>
  <c r="Z11" i="13"/>
  <c r="Z7" i="13"/>
  <c r="Z12" i="13"/>
  <c r="Z9" i="13"/>
  <c r="Z5" i="13"/>
  <c r="Z3" i="13"/>
  <c r="Z4" i="13"/>
  <c r="Z2" i="13"/>
  <c r="L6" i="4"/>
  <c r="Y6" i="4"/>
  <c r="Q6" i="4"/>
  <c r="R6" i="4"/>
  <c r="AD13" i="13" l="1"/>
  <c r="AK13" i="13"/>
  <c r="AL13" i="13" s="1"/>
  <c r="AM13" i="13" s="1"/>
  <c r="J48" i="13"/>
  <c r="L48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K11" i="13"/>
  <c r="AL11" i="13" s="1"/>
  <c r="AM11" i="13" s="1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AK6" i="13"/>
  <c r="AL6" i="13" s="1"/>
  <c r="AM6" i="13" s="1"/>
  <c r="AK14" i="13"/>
  <c r="AL14" i="13" s="1"/>
  <c r="AM14" i="13" s="1"/>
  <c r="AK10" i="13"/>
  <c r="AL10" i="13" s="1"/>
  <c r="AM10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Z6" i="4"/>
  <c r="AB6" i="4"/>
  <c r="AW16" i="4"/>
  <c r="N16" i="4"/>
  <c r="P16" i="4" s="1"/>
  <c r="AD16" i="4" s="1"/>
  <c r="M16" i="4"/>
  <c r="O16" i="4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K11" i="4"/>
  <c r="S11" i="4" s="1"/>
  <c r="J11" i="4"/>
  <c r="T11" i="4" s="1"/>
  <c r="C11" i="4"/>
  <c r="AR13" i="13" l="1"/>
  <c r="AS13" i="13" s="1"/>
  <c r="AP13" i="13"/>
  <c r="AQ13" i="13" s="1"/>
  <c r="AO13" i="13"/>
  <c r="AN13" i="13" s="1"/>
  <c r="AP3" i="13"/>
  <c r="AQ3" i="13" s="1"/>
  <c r="AR3" i="13"/>
  <c r="AO3" i="13"/>
  <c r="AO6" i="13"/>
  <c r="AN6" i="13" s="1"/>
  <c r="AR6" i="13"/>
  <c r="AS6" i="13" s="1"/>
  <c r="AP6" i="13"/>
  <c r="AQ6" i="13" s="1"/>
  <c r="AR14" i="13"/>
  <c r="AS14" i="13" s="1"/>
  <c r="AP14" i="13"/>
  <c r="AQ14" i="13" s="1"/>
  <c r="AO14" i="13"/>
  <c r="AN14" i="13" s="1"/>
  <c r="AR11" i="13"/>
  <c r="AS11" i="13" s="1"/>
  <c r="AP11" i="13"/>
  <c r="AQ11" i="13" s="1"/>
  <c r="AO11" i="13"/>
  <c r="AN11" i="13" s="1"/>
  <c r="L2" i="13"/>
  <c r="AH2" i="13"/>
  <c r="AI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AC6" i="4"/>
  <c r="AE6" i="4"/>
  <c r="L16" i="4"/>
  <c r="L14" i="4"/>
  <c r="L12" i="4"/>
  <c r="L15" i="4"/>
  <c r="S18" i="4"/>
  <c r="L11" i="4"/>
  <c r="AK2" i="13" l="1"/>
  <c r="AL2" i="13" s="1"/>
  <c r="AM2" i="13" s="1"/>
  <c r="AO2" i="13"/>
  <c r="Q46" i="13"/>
  <c r="AG11" i="13"/>
  <c r="Q45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T13" i="13" l="1"/>
  <c r="AU13" i="13" s="1"/>
  <c r="AT14" i="13"/>
  <c r="AU14" i="13" s="1"/>
  <c r="AT7" i="13"/>
  <c r="AU7" i="13" s="1"/>
  <c r="AT12" i="13"/>
  <c r="AU12" i="13" s="1"/>
  <c r="AT9" i="13"/>
  <c r="AU9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AH3" i="8" l="1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J3" i="4"/>
  <c r="AW4" i="4"/>
  <c r="N4" i="4"/>
  <c r="P4" i="4" s="1"/>
  <c r="AD4" i="4" s="1"/>
  <c r="M4" i="4"/>
  <c r="O4" i="4" s="1"/>
  <c r="K4" i="4"/>
  <c r="S4" i="4" s="1"/>
  <c r="J4" i="4"/>
  <c r="T4" i="4" s="1"/>
  <c r="C4" i="4"/>
  <c r="AJ29" i="4"/>
  <c r="Z18" i="4" l="1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W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K19" i="4"/>
  <c r="S19" i="4" s="1"/>
  <c r="J19" i="4"/>
  <c r="T19" i="4" s="1"/>
  <c r="C19" i="4"/>
  <c r="AW17" i="4"/>
  <c r="N17" i="4"/>
  <c r="P17" i="4" s="1"/>
  <c r="M17" i="4"/>
  <c r="O17" i="4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K10" i="4"/>
  <c r="L10" i="4" s="1"/>
  <c r="J10" i="4"/>
  <c r="T10" i="4" s="1"/>
  <c r="C10" i="4"/>
  <c r="AW9" i="4"/>
  <c r="N9" i="4"/>
  <c r="P9" i="4" s="1"/>
  <c r="AD9" i="4" s="1"/>
  <c r="M9" i="4"/>
  <c r="O9" i="4" s="1"/>
  <c r="K9" i="4"/>
  <c r="L9" i="4" s="1"/>
  <c r="J9" i="4"/>
  <c r="T9" i="4" s="1"/>
  <c r="C9" i="4"/>
  <c r="AW8" i="4"/>
  <c r="N8" i="4"/>
  <c r="P8" i="4" s="1"/>
  <c r="AD8" i="4" s="1"/>
  <c r="M8" i="4"/>
  <c r="O8" i="4" s="1"/>
  <c r="K8" i="4"/>
  <c r="L8" i="4" s="1"/>
  <c r="J8" i="4"/>
  <c r="T8" i="4" s="1"/>
  <c r="C8" i="4"/>
  <c r="AW7" i="4"/>
  <c r="N7" i="4"/>
  <c r="P7" i="4" s="1"/>
  <c r="M7" i="4"/>
  <c r="O7" i="4" s="1"/>
  <c r="K7" i="4"/>
  <c r="S7" i="4" s="1"/>
  <c r="J7" i="4"/>
  <c r="T7" i="4" s="1"/>
  <c r="C7" i="4"/>
  <c r="AW5" i="4"/>
  <c r="N5" i="4"/>
  <c r="P5" i="4" s="1"/>
  <c r="M5" i="4"/>
  <c r="O5" i="4" s="1"/>
  <c r="K5" i="4"/>
  <c r="L5" i="4" s="1"/>
  <c r="J5" i="4"/>
  <c r="T5" i="4" s="1"/>
  <c r="C5" i="4"/>
  <c r="T3" i="4"/>
  <c r="T2" i="4"/>
  <c r="K2" i="4"/>
  <c r="L2" i="4" s="1"/>
  <c r="C2" i="4"/>
  <c r="T1" i="4"/>
  <c r="AD7" i="4" l="1"/>
  <c r="AG33" i="4"/>
  <c r="AE33" i="4"/>
  <c r="AF33" i="4"/>
  <c r="V6" i="4"/>
  <c r="W6" i="4" s="1"/>
  <c r="U6" i="4"/>
  <c r="AA6" i="4" s="1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C3" i="4" s="1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AN16" i="4" l="1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F6" i="1" l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14" i="4" l="1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Z12" i="4" l="1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14" i="4" l="1"/>
  <c r="AT16" i="4"/>
  <c r="AT17" i="4"/>
  <c r="AT18" i="4"/>
  <c r="AT15" i="4"/>
  <c r="AT11" i="4"/>
  <c r="AT12" i="4"/>
  <c r="AT5" i="4"/>
  <c r="AT10" i="4"/>
  <c r="AT13" i="4"/>
  <c r="AT9" i="4"/>
  <c r="AT8" i="4"/>
  <c r="AT19" i="4"/>
  <c r="AT7" i="4"/>
</calcChain>
</file>

<file path=xl/sharedStrings.xml><?xml version="1.0" encoding="utf-8"?>
<sst xmlns="http://schemas.openxmlformats.org/spreadsheetml/2006/main" count="1358" uniqueCount="303">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</sst>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3624"/>
        <c:axId val="208486368"/>
      </c:scatterChart>
      <c:valAx>
        <c:axId val="2084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6368"/>
        <c:crosses val="autoZero"/>
        <c:crossBetween val="midCat"/>
      </c:valAx>
      <c:valAx>
        <c:axId val="208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xVal>
          <c:yVal>
            <c:numRef>
              <c:f>Ard1_Turn1x_ESC1_G1b_T1a!$AV$2:$AV$14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6464"/>
        <c:axId val="207642544"/>
      </c:scatterChart>
      <c:valAx>
        <c:axId val="2076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2544"/>
        <c:crosses val="autoZero"/>
        <c:crossBetween val="midCat"/>
      </c:valAx>
      <c:valAx>
        <c:axId val="207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47840"/>
        <c:axId val="552450192"/>
      </c:scatterChart>
      <c:valAx>
        <c:axId val="5524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450192"/>
        <c:crosses val="autoZero"/>
        <c:crossBetween val="midCat"/>
      </c:valAx>
      <c:valAx>
        <c:axId val="5524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4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48624"/>
        <c:axId val="552453328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49408"/>
        <c:axId val="552452152"/>
      </c:scatterChart>
      <c:valAx>
        <c:axId val="552448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453328"/>
        <c:crossesAt val="-40"/>
        <c:crossBetween val="midCat"/>
        <c:majorUnit val="20"/>
      </c:valAx>
      <c:valAx>
        <c:axId val="5524533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448624"/>
        <c:crosses val="autoZero"/>
        <c:crossBetween val="midCat"/>
      </c:valAx>
      <c:valAx>
        <c:axId val="552452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449408"/>
        <c:crosses val="max"/>
        <c:crossBetween val="midCat"/>
        <c:majorUnit val="40"/>
      </c:valAx>
      <c:valAx>
        <c:axId val="55244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45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49800"/>
        <c:axId val="552450584"/>
      </c:scatterChart>
      <c:valAx>
        <c:axId val="5524498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2450584"/>
        <c:crosses val="autoZero"/>
        <c:crossBetween val="midCat"/>
      </c:valAx>
      <c:valAx>
        <c:axId val="552450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244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54896"/>
        <c:axId val="552451368"/>
      </c:scatterChart>
      <c:valAx>
        <c:axId val="5524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451368"/>
        <c:crosses val="autoZero"/>
        <c:crossBetween val="midCat"/>
      </c:valAx>
      <c:valAx>
        <c:axId val="552451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4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52936"/>
        <c:axId val="552453720"/>
      </c:scatterChart>
      <c:valAx>
        <c:axId val="55245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2453720"/>
        <c:crosses val="autoZero"/>
        <c:crossBetween val="midCat"/>
      </c:valAx>
      <c:valAx>
        <c:axId val="5524537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2452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54504"/>
        <c:axId val="552735824"/>
      </c:scatterChart>
      <c:valAx>
        <c:axId val="55245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735824"/>
        <c:crosses val="autoZero"/>
        <c:crossBetween val="midCat"/>
      </c:valAx>
      <c:valAx>
        <c:axId val="55273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454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5432"/>
        <c:axId val="552737784"/>
      </c:scatterChart>
      <c:valAx>
        <c:axId val="55273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737784"/>
        <c:crosses val="autoZero"/>
        <c:crossBetween val="midCat"/>
      </c:valAx>
      <c:valAx>
        <c:axId val="5527377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27354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8176"/>
        <c:axId val="552734648"/>
      </c:scatterChart>
      <c:valAx>
        <c:axId val="5527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734648"/>
        <c:crosses val="autoZero"/>
        <c:crossBetween val="midCat"/>
      </c:valAx>
      <c:valAx>
        <c:axId val="5527346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27381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6608"/>
        <c:axId val="552735040"/>
      </c:scatterChart>
      <c:valAx>
        <c:axId val="5527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735040"/>
        <c:crosses val="autoZero"/>
        <c:crossBetween val="midCat"/>
      </c:valAx>
      <c:valAx>
        <c:axId val="5527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7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Ard1_Turn1x_ESC1_G1b_T1a!$P$4:$P$14</c:f>
              <c:numCache>
                <c:formatCode>0</c:formatCode>
                <c:ptCount val="11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Ard1_Turn1x_ESC1_G1b_T1a!$Q$4:$Q$14</c:f>
              <c:numCache>
                <c:formatCode>0</c:formatCode>
                <c:ptCount val="11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9896"/>
        <c:axId val="208487544"/>
      </c:scatterChart>
      <c:valAx>
        <c:axId val="2084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87544"/>
        <c:crosses val="autoZero"/>
        <c:crossBetween val="midCat"/>
      </c:valAx>
      <c:valAx>
        <c:axId val="2084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8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480"/>
        <c:axId val="207565752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8304"/>
        <c:axId val="207563792"/>
      </c:scatterChart>
      <c:valAx>
        <c:axId val="2075594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65752"/>
        <c:crossesAt val="-40"/>
        <c:crossBetween val="midCat"/>
        <c:majorUnit val="20"/>
      </c:valAx>
      <c:valAx>
        <c:axId val="2075657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59480"/>
        <c:crosses val="autoZero"/>
        <c:crossBetween val="midCat"/>
      </c:valAx>
      <c:valAx>
        <c:axId val="20756379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58304"/>
        <c:crosses val="max"/>
        <c:crossBetween val="midCat"/>
        <c:majorUnit val="40"/>
      </c:valAx>
      <c:valAx>
        <c:axId val="20755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56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8696"/>
        <c:axId val="207565360"/>
      </c:scatterChart>
      <c:valAx>
        <c:axId val="2075586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565360"/>
        <c:crosses val="autoZero"/>
        <c:crossBetween val="midCat"/>
      </c:valAx>
      <c:valAx>
        <c:axId val="20756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755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088"/>
        <c:axId val="207564184"/>
      </c:scatterChart>
      <c:valAx>
        <c:axId val="2075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64184"/>
        <c:crosses val="autoZero"/>
        <c:crossBetween val="midCat"/>
      </c:valAx>
      <c:valAx>
        <c:axId val="207564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872"/>
        <c:axId val="207560264"/>
      </c:scatterChart>
      <c:valAx>
        <c:axId val="2075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560264"/>
        <c:crosses val="autoZero"/>
        <c:crossBetween val="midCat"/>
      </c:valAx>
      <c:valAx>
        <c:axId val="20756026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7559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1048"/>
        <c:axId val="207562616"/>
      </c:scatterChart>
      <c:valAx>
        <c:axId val="2075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62616"/>
        <c:crosses val="autoZero"/>
        <c:crossBetween val="midCat"/>
      </c:valAx>
      <c:valAx>
        <c:axId val="2075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2224"/>
        <c:axId val="207563008"/>
      </c:scatterChart>
      <c:valAx>
        <c:axId val="20756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63008"/>
        <c:crosses val="autoZero"/>
        <c:crossBetween val="midCat"/>
      </c:valAx>
      <c:valAx>
        <c:axId val="2075630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5622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5056"/>
        <c:axId val="553405840"/>
      </c:scatterChart>
      <c:valAx>
        <c:axId val="5534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405840"/>
        <c:crosses val="autoZero"/>
        <c:crossBetween val="midCat"/>
      </c:valAx>
      <c:valAx>
        <c:axId val="55340584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34050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3880"/>
        <c:axId val="553401920"/>
      </c:scatterChart>
      <c:valAx>
        <c:axId val="5534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3401920"/>
        <c:crosses val="autoZero"/>
        <c:crossBetween val="midCat"/>
      </c:valAx>
      <c:valAx>
        <c:axId val="5534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340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7408"/>
        <c:axId val="55340819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4664"/>
        <c:axId val="553404272"/>
      </c:scatterChart>
      <c:valAx>
        <c:axId val="5534074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3408192"/>
        <c:crossesAt val="-40"/>
        <c:crossBetween val="midCat"/>
        <c:majorUnit val="20"/>
      </c:valAx>
      <c:valAx>
        <c:axId val="5534081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3407408"/>
        <c:crosses val="autoZero"/>
        <c:crossBetween val="midCat"/>
      </c:valAx>
      <c:valAx>
        <c:axId val="5534042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3404664"/>
        <c:crosses val="max"/>
        <c:crossBetween val="midCat"/>
        <c:majorUnit val="40"/>
      </c:valAx>
      <c:valAx>
        <c:axId val="55340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4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5448"/>
        <c:axId val="553402704"/>
      </c:scatterChart>
      <c:valAx>
        <c:axId val="5534054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3402704"/>
        <c:crosses val="autoZero"/>
        <c:crossBetween val="midCat"/>
      </c:valAx>
      <c:valAx>
        <c:axId val="55340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5340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Ard1_Turn1x_ESC1_G1b_T1a!$R$4:$R$14</c:f>
              <c:numCache>
                <c:formatCode>0</c:formatCode>
                <c:ptCount val="11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5192"/>
        <c:axId val="208485584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Ard1_Turn1x_ESC1_G1b_T1a!$U$3:$U$14</c:f>
              <c:numCache>
                <c:formatCode>0.00</c:formatCode>
                <c:ptCount val="12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8720"/>
        <c:axId val="208488328"/>
      </c:scatterChart>
      <c:valAx>
        <c:axId val="2084851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85584"/>
        <c:crossesAt val="-40"/>
        <c:crossBetween val="midCat"/>
        <c:majorUnit val="20"/>
      </c:valAx>
      <c:valAx>
        <c:axId val="2084855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85192"/>
        <c:crosses val="autoZero"/>
        <c:crossBetween val="midCat"/>
      </c:valAx>
      <c:valAx>
        <c:axId val="2084883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88720"/>
        <c:crosses val="max"/>
        <c:crossBetween val="midCat"/>
        <c:majorUnit val="40"/>
      </c:valAx>
      <c:valAx>
        <c:axId val="20848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8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8584"/>
        <c:axId val="553406624"/>
      </c:scatterChart>
      <c:valAx>
        <c:axId val="55340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3406624"/>
        <c:crosses val="autoZero"/>
        <c:crossBetween val="midCat"/>
      </c:valAx>
      <c:valAx>
        <c:axId val="553406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340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1528"/>
        <c:axId val="553403488"/>
      </c:scatterChart>
      <c:valAx>
        <c:axId val="55340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3403488"/>
        <c:crosses val="autoZero"/>
        <c:crossBetween val="midCat"/>
      </c:valAx>
      <c:valAx>
        <c:axId val="5534034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3401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61264"/>
        <c:axId val="554457736"/>
      </c:scatterChart>
      <c:valAx>
        <c:axId val="55446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457736"/>
        <c:crosses val="autoZero"/>
        <c:crossBetween val="midCat"/>
      </c:valAx>
      <c:valAx>
        <c:axId val="55445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46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58912"/>
        <c:axId val="554456168"/>
      </c:scatterChart>
      <c:valAx>
        <c:axId val="5544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456168"/>
        <c:crosses val="autoZero"/>
        <c:crossBetween val="midCat"/>
      </c:valAx>
      <c:valAx>
        <c:axId val="5544561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44589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62440"/>
        <c:axId val="554458128"/>
      </c:scatterChart>
      <c:valAx>
        <c:axId val="55446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458128"/>
        <c:crosses val="autoZero"/>
        <c:crossBetween val="midCat"/>
      </c:valAx>
      <c:valAx>
        <c:axId val="5544581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44624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63224"/>
        <c:axId val="554459304"/>
      </c:scatterChart>
      <c:valAx>
        <c:axId val="5544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9304"/>
        <c:crosses val="autoZero"/>
        <c:crossBetween val="midCat"/>
      </c:valAx>
      <c:valAx>
        <c:axId val="5544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6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59696"/>
        <c:axId val="55446048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56952"/>
        <c:axId val="554456560"/>
      </c:scatterChart>
      <c:valAx>
        <c:axId val="5544596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60480"/>
        <c:crossesAt val="-40"/>
        <c:crossBetween val="midCat"/>
        <c:majorUnit val="20"/>
      </c:valAx>
      <c:valAx>
        <c:axId val="554460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9696"/>
        <c:crosses val="autoZero"/>
        <c:crossBetween val="midCat"/>
      </c:valAx>
      <c:valAx>
        <c:axId val="5544565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6952"/>
        <c:crosses val="max"/>
        <c:crossBetween val="midCat"/>
        <c:majorUnit val="40"/>
      </c:valAx>
      <c:valAx>
        <c:axId val="554456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45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60088"/>
        <c:axId val="554460872"/>
      </c:scatterChart>
      <c:valAx>
        <c:axId val="554460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54460872"/>
        <c:crosses val="autoZero"/>
        <c:crossBetween val="midCat"/>
      </c:valAx>
      <c:valAx>
        <c:axId val="554460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46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8912"/>
        <c:axId val="207449104"/>
      </c:scatterChart>
      <c:valAx>
        <c:axId val="2074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9104"/>
        <c:crosses val="autoZero"/>
        <c:crossBetween val="midCat"/>
      </c:valAx>
      <c:valAx>
        <c:axId val="207449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3224"/>
        <c:axId val="207437344"/>
      </c:scatterChart>
      <c:valAx>
        <c:axId val="207443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437344"/>
        <c:crosses val="autoZero"/>
        <c:crossBetween val="midCat"/>
      </c:valAx>
      <c:valAx>
        <c:axId val="2074373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7443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Ard1_Turn1x_ESC1_G1b_T1a!$R$3:$R$14</c:f>
              <c:numCache>
                <c:formatCode>0</c:formatCode>
                <c:ptCount val="12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95.741421568627459</c:v>
                </c:pt>
              </c:numCache>
            </c:numRef>
          </c:xVal>
          <c:yVal>
            <c:numRef>
              <c:f>Ard1_Turn1x_ESC1_G1b_T1a!$V$3:$V$14</c:f>
              <c:numCache>
                <c:formatCode>0.00</c:formatCode>
                <c:ptCount val="12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3328"/>
        <c:axId val="207640976"/>
      </c:scatterChart>
      <c:valAx>
        <c:axId val="2076433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640976"/>
        <c:crosses val="autoZero"/>
        <c:crossBetween val="midCat"/>
      </c:valAx>
      <c:valAx>
        <c:axId val="20764097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4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8712"/>
        <c:axId val="207438128"/>
      </c:scatterChart>
      <c:valAx>
        <c:axId val="20744871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7438128"/>
        <c:crosses val="autoZero"/>
        <c:crossBetween val="midCat"/>
      </c:valAx>
      <c:valAx>
        <c:axId val="20743812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7448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1264"/>
        <c:axId val="207445184"/>
      </c:scatterChart>
      <c:valAx>
        <c:axId val="2074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5184"/>
        <c:crosses val="autoZero"/>
        <c:crossBetween val="midCat"/>
      </c:valAx>
      <c:valAx>
        <c:axId val="2074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4008"/>
        <c:axId val="207445576"/>
      </c:scatterChart>
      <c:valAx>
        <c:axId val="20744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5576"/>
        <c:crosses val="autoZero"/>
        <c:crossBetween val="midCat"/>
      </c:valAx>
      <c:valAx>
        <c:axId val="2074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9304"/>
        <c:axId val="207441656"/>
      </c:scatterChart>
      <c:valAx>
        <c:axId val="20743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656"/>
        <c:crosses val="autoZero"/>
        <c:crossBetween val="midCat"/>
      </c:valAx>
      <c:valAx>
        <c:axId val="207441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9696"/>
        <c:axId val="207438520"/>
      </c:scatterChart>
      <c:valAx>
        <c:axId val="20743969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07438520"/>
        <c:crosses val="autoZero"/>
        <c:crossBetween val="midCat"/>
        <c:minorUnit val="2"/>
      </c:valAx>
      <c:valAx>
        <c:axId val="207438520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0743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0088"/>
        <c:axId val="207447144"/>
      </c:scatterChart>
      <c:valAx>
        <c:axId val="2074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7144"/>
        <c:crosses val="autoZero"/>
        <c:crossBetween val="midCat"/>
      </c:valAx>
      <c:valAx>
        <c:axId val="2074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0480"/>
        <c:axId val="207442440"/>
      </c:scatterChart>
      <c:valAx>
        <c:axId val="2074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440"/>
        <c:crosses val="autoZero"/>
        <c:crossBetween val="midCat"/>
      </c:valAx>
      <c:valAx>
        <c:axId val="2074424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4400"/>
        <c:axId val="207444792"/>
      </c:scatterChart>
      <c:valAx>
        <c:axId val="2074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792"/>
        <c:crosses val="autoZero"/>
        <c:crossBetween val="midCat"/>
      </c:valAx>
      <c:valAx>
        <c:axId val="2074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7928"/>
        <c:axId val="20744988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1064"/>
        <c:axId val="207451456"/>
      </c:scatterChart>
      <c:valAx>
        <c:axId val="207447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9888"/>
        <c:crossesAt val="-40"/>
        <c:crossBetween val="midCat"/>
        <c:majorUnit val="20"/>
      </c:valAx>
      <c:valAx>
        <c:axId val="2074498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7928"/>
        <c:crosses val="autoZero"/>
        <c:crossBetween val="midCat"/>
      </c:valAx>
      <c:valAx>
        <c:axId val="2074514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1064"/>
        <c:crosses val="max"/>
        <c:crossBetween val="midCat"/>
        <c:majorUnit val="40"/>
      </c:valAx>
      <c:valAx>
        <c:axId val="207451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2632"/>
        <c:axId val="207450672"/>
      </c:scatterChart>
      <c:valAx>
        <c:axId val="2074526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450672"/>
        <c:crosses val="autoZero"/>
        <c:crossBetween val="midCat"/>
      </c:valAx>
      <c:valAx>
        <c:axId val="20745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5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Ard1_Turn1x_ESC1_G1b_T1a!$L$2:$L$14</c:f>
              <c:numCache>
                <c:formatCode>General</c:formatCode>
                <c:ptCount val="13"/>
                <c:pt idx="0" formatCode="0.0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Ard1_Turn1x_ESC1_G1b_T1a!$P$2:$P$14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Ard1_Turn1x_ESC1_G1b_T1a!$AJ$3:$AJ$14</c:f>
              <c:numCache>
                <c:formatCode>0.00</c:formatCode>
                <c:ptCount val="12"/>
                <c:pt idx="0">
                  <c:v>4555.4393381745249</c:v>
                </c:pt>
                <c:pt idx="1">
                  <c:v>9182.0151590275054</c:v>
                </c:pt>
                <c:pt idx="2">
                  <c:v>13156.382614371338</c:v>
                </c:pt>
                <c:pt idx="3">
                  <c:v>15567.533472822655</c:v>
                </c:pt>
                <c:pt idx="4">
                  <c:v>18435.166800733456</c:v>
                </c:pt>
                <c:pt idx="5">
                  <c:v>23476.71707886444</c:v>
                </c:pt>
                <c:pt idx="6">
                  <c:v>28805.701698005079</c:v>
                </c:pt>
                <c:pt idx="7">
                  <c:v>29305.513274460649</c:v>
                </c:pt>
                <c:pt idx="8">
                  <c:v>30685.647869613345</c:v>
                </c:pt>
                <c:pt idx="9">
                  <c:v>31385.900684906232</c:v>
                </c:pt>
                <c:pt idx="10">
                  <c:v>35550.448208746602</c:v>
                </c:pt>
                <c:pt idx="11">
                  <c:v>39760.88529090982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6856"/>
        <c:axId val="207647248"/>
      </c:scatterChart>
      <c:valAx>
        <c:axId val="20764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647248"/>
        <c:crosses val="autoZero"/>
        <c:crossBetween val="midCat"/>
      </c:valAx>
      <c:valAx>
        <c:axId val="207647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64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0280"/>
        <c:axId val="207453024"/>
      </c:scatterChart>
      <c:valAx>
        <c:axId val="2074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3024"/>
        <c:crosses val="autoZero"/>
        <c:crossBetween val="midCat"/>
      </c:valAx>
      <c:valAx>
        <c:axId val="20745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5496"/>
        <c:axId val="555872360"/>
      </c:scatterChart>
      <c:valAx>
        <c:axId val="5558754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5872360"/>
        <c:crosses val="autoZero"/>
        <c:crossBetween val="midCat"/>
      </c:valAx>
      <c:valAx>
        <c:axId val="5558723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55875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7848"/>
        <c:axId val="555869224"/>
      </c:scatterChart>
      <c:valAx>
        <c:axId val="5558778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55869224"/>
        <c:crosses val="autoZero"/>
        <c:crossBetween val="midCat"/>
        <c:dispUnits>
          <c:builtInUnit val="thousands"/>
          <c:dispUnitsLbl/>
        </c:dispUnits>
      </c:valAx>
      <c:valAx>
        <c:axId val="555869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587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0008"/>
        <c:axId val="555877456"/>
      </c:scatterChart>
      <c:valAx>
        <c:axId val="55587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877456"/>
        <c:crosses val="autoZero"/>
        <c:crossBetween val="midCat"/>
      </c:valAx>
      <c:valAx>
        <c:axId val="55587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87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0792"/>
        <c:axId val="555874712"/>
      </c:scatterChart>
      <c:valAx>
        <c:axId val="555870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55874712"/>
        <c:crosses val="autoZero"/>
        <c:crossBetween val="midCat"/>
      </c:valAx>
      <c:valAx>
        <c:axId val="55587471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55870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69616"/>
        <c:axId val="555878240"/>
      </c:scatterChart>
      <c:valAx>
        <c:axId val="5558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8240"/>
        <c:crosses val="autoZero"/>
        <c:crossBetween val="midCat"/>
      </c:valAx>
      <c:valAx>
        <c:axId val="555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5104"/>
        <c:axId val="555872752"/>
      </c:scatterChart>
      <c:valAx>
        <c:axId val="5558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2752"/>
        <c:crosses val="autoZero"/>
        <c:crossBetween val="midCat"/>
      </c:valAx>
      <c:valAx>
        <c:axId val="5558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9416"/>
        <c:axId val="55587196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3144"/>
        <c:axId val="555876672"/>
      </c:scatterChart>
      <c:valAx>
        <c:axId val="55587941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1968"/>
        <c:crosses val="autoZero"/>
        <c:crossBetween val="midCat"/>
      </c:valAx>
      <c:valAx>
        <c:axId val="555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9416"/>
        <c:crosses val="autoZero"/>
        <c:crossBetween val="midCat"/>
      </c:valAx>
      <c:valAx>
        <c:axId val="55587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3144"/>
        <c:crosses val="max"/>
        <c:crossBetween val="midCat"/>
      </c:valAx>
      <c:valAx>
        <c:axId val="555873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8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4320"/>
        <c:axId val="555875888"/>
      </c:scatterChart>
      <c:valAx>
        <c:axId val="5558743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5875888"/>
        <c:crosses val="autoZero"/>
        <c:crossBetween val="midCat"/>
      </c:valAx>
      <c:valAx>
        <c:axId val="55587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87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7064"/>
        <c:axId val="555878632"/>
      </c:scatterChart>
      <c:valAx>
        <c:axId val="5558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5878632"/>
        <c:crosses val="autoZero"/>
        <c:crossBetween val="midCat"/>
      </c:valAx>
      <c:valAx>
        <c:axId val="55587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877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Ard1_Turn1x_ESC1_G1b_T1a!$P$3:$P$14</c:f>
              <c:numCache>
                <c:formatCode>0</c:formatCode>
                <c:ptCount val="12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xVal>
          <c:yVal>
            <c:numRef>
              <c:f>Ard1_Turn1x_ESC1_G1b_T1a!$Y$3:$Y$14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6072"/>
        <c:axId val="207641368"/>
      </c:scatterChart>
      <c:valAx>
        <c:axId val="20764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7641368"/>
        <c:crosses val="autoZero"/>
        <c:crossBetween val="midCat"/>
      </c:valAx>
      <c:valAx>
        <c:axId val="2076413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7646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67656"/>
        <c:axId val="555868048"/>
      </c:scatterChart>
      <c:valAx>
        <c:axId val="55586765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68048"/>
        <c:crosses val="autoZero"/>
        <c:crossBetween val="midCat"/>
      </c:valAx>
      <c:valAx>
        <c:axId val="555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6765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81376"/>
        <c:axId val="555882944"/>
      </c:scatterChart>
      <c:valAx>
        <c:axId val="5558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2944"/>
        <c:crosses val="autoZero"/>
        <c:crossBetween val="midCat"/>
      </c:valAx>
      <c:valAx>
        <c:axId val="5558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80200"/>
        <c:axId val="555881768"/>
      </c:scatterChart>
      <c:valAx>
        <c:axId val="55588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1768"/>
        <c:crosses val="autoZero"/>
        <c:crossBetween val="midCat"/>
      </c:valAx>
      <c:valAx>
        <c:axId val="5558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9808"/>
        <c:axId val="555880592"/>
      </c:scatterChart>
      <c:valAx>
        <c:axId val="555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0592"/>
        <c:crosses val="autoZero"/>
        <c:crossBetween val="midCat"/>
      </c:valAx>
      <c:valAx>
        <c:axId val="555880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xVal>
          <c:y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4504"/>
        <c:axId val="207644896"/>
      </c:scatterChart>
      <c:valAx>
        <c:axId val="20764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44896"/>
        <c:crosses val="autoZero"/>
        <c:crossBetween val="midCat"/>
      </c:valAx>
      <c:valAx>
        <c:axId val="2076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4112"/>
        <c:axId val="207642936"/>
      </c:scatterChart>
      <c:valAx>
        <c:axId val="20764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42936"/>
        <c:crosses val="autoZero"/>
        <c:crossBetween val="midCat"/>
      </c:valAx>
      <c:valAx>
        <c:axId val="2076429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6441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Ard1_Turn1x_ESC1_G1b_T1a!$AN$4:$AN$14</c:f>
              <c:numCache>
                <c:formatCode>0.0</c:formatCode>
                <c:ptCount val="11"/>
                <c:pt idx="0">
                  <c:v>6.9022698142088581</c:v>
                </c:pt>
                <c:pt idx="1">
                  <c:v>15.333653729792612</c:v>
                </c:pt>
                <c:pt idx="2">
                  <c:v>20.448766711773704</c:v>
                </c:pt>
                <c:pt idx="3">
                  <c:v>26.53228007293254</c:v>
                </c:pt>
                <c:pt idx="4">
                  <c:v>37.22762880509022</c:v>
                </c:pt>
                <c:pt idx="5">
                  <c:v>48.532752377346455</c:v>
                </c:pt>
                <c:pt idx="6">
                  <c:v>49.593072877124065</c:v>
                </c:pt>
                <c:pt idx="7">
                  <c:v>52.520946245064692</c:v>
                </c:pt>
                <c:pt idx="8">
                  <c:v>54.006490898406739</c:v>
                </c:pt>
                <c:pt idx="9">
                  <c:v>62.841330505645359</c:v>
                </c:pt>
                <c:pt idx="10">
                  <c:v>71.773522078519733</c:v>
                </c:pt>
              </c:numCache>
            </c:numRef>
          </c:xVal>
          <c:yVal>
            <c:numRef>
              <c:f>Ard1_Turn1x_ESC1_G1b_T1a!$AS$4:$AS$14</c:f>
              <c:numCache>
                <c:formatCode>0.000</c:formatCode>
                <c:ptCount val="11"/>
                <c:pt idx="0">
                  <c:v>0.10085804085789137</c:v>
                </c:pt>
                <c:pt idx="1">
                  <c:v>8.4148714189355697E-2</c:v>
                </c:pt>
                <c:pt idx="2">
                  <c:v>7.6463452002632548E-2</c:v>
                </c:pt>
                <c:pt idx="3">
                  <c:v>6.8971731472695058E-2</c:v>
                </c:pt>
                <c:pt idx="4">
                  <c:v>5.8836872088323243E-2</c:v>
                </c:pt>
                <c:pt idx="5">
                  <c:v>5.0926911781776205E-2</c:v>
                </c:pt>
                <c:pt idx="6">
                  <c:v>5.0292761695066343E-2</c:v>
                </c:pt>
                <c:pt idx="7">
                  <c:v>4.8620965155773209E-2</c:v>
                </c:pt>
                <c:pt idx="8">
                  <c:v>4.7814526717154492E-2</c:v>
                </c:pt>
                <c:pt idx="9">
                  <c:v>4.3521492196229319E-2</c:v>
                </c:pt>
                <c:pt idx="10">
                  <c:v>3.9899623692986053E-2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7640"/>
        <c:axId val="207645288"/>
      </c:scatterChart>
      <c:valAx>
        <c:axId val="20764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45288"/>
        <c:crosses val="autoZero"/>
        <c:crossBetween val="midCat"/>
      </c:valAx>
      <c:valAx>
        <c:axId val="2076452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6476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15</xdr:row>
      <xdr:rowOff>7620</xdr:rowOff>
    </xdr:from>
    <xdr:to>
      <xdr:col>54</xdr:col>
      <xdr:colOff>213360</xdr:colOff>
      <xdr:row>30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27" zoomScale="80" zoomScaleNormal="80" workbookViewId="0">
      <selection activeCell="Q48" sqref="Q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1.0298149259835854</v>
      </c>
      <c r="D2" s="262">
        <f>EXP((0-$Q$42)/$R$42)</f>
        <v>5.3666866770453732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0.23255999999999999</v>
      </c>
      <c r="L2" s="229">
        <f t="shared" ref="L2:L14" si="3">D2</f>
        <v>5.3666866770453732</v>
      </c>
      <c r="M2" s="234">
        <f t="shared" ref="M2:M14" si="4">LN(L2)</f>
        <v>1.6802107119573513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P14" si="6">N2*60/$C$26</f>
        <v>5.9999999999999995E-25</v>
      </c>
      <c r="Q2" s="4">
        <v>0</v>
      </c>
      <c r="R2" s="3">
        <f t="shared" ref="R2:R14" si="7">P2/$Q$31</f>
        <v>1.3020833333333332E-27</v>
      </c>
      <c r="S2" s="3">
        <f t="shared" ref="S2:S14" si="8">Q2/$Q$31</f>
        <v>0</v>
      </c>
      <c r="T2" s="3">
        <f t="shared" ref="T2:T14" si="9">L2</f>
        <v>5.3666866770453732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0">$Q$38*(P2/$Q$31/100)^3</f>
        <v>9.76843480821773E-87</v>
      </c>
      <c r="AA2" s="229">
        <f t="shared" ref="AA2:AA14" si="11">SQRT(Z2^3/4/$Q$28/$Q$34)</f>
        <v>9.469612348787209E-129</v>
      </c>
      <c r="AB2" s="1"/>
      <c r="AC2" s="158">
        <f t="shared" ref="AC2:AC14" si="12">SQRT(Z2/$Q$34/$Q$28)</f>
        <v>1.9388187636407961E-42</v>
      </c>
      <c r="AD2" s="175">
        <f t="shared" ref="AD2:AD9" si="13">AC2*1/1.6/1000*3600</f>
        <v>4.3623422181917907E-42</v>
      </c>
      <c r="AE2" s="4">
        <f t="shared" ref="AE2:AE14" si="14">Q2/60*PI()*$C$40/1000</f>
        <v>0</v>
      </c>
      <c r="AF2" s="158">
        <f>AE2/AC2</f>
        <v>0</v>
      </c>
      <c r="AH2" s="228">
        <f t="shared" ref="AH2:AH14" si="15">D2/$Q$32*$Q$24</f>
        <v>0.14907462991792703</v>
      </c>
      <c r="AI2" s="228">
        <f t="shared" ref="AI2:AI14" si="16">AH2/$Q$24*$Q$32</f>
        <v>5.3666866770453732</v>
      </c>
      <c r="AJ2" s="229">
        <f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-12.576828632105585</v>
      </c>
      <c r="AM2" s="229">
        <f t="shared" ref="AM2:AM14" si="19">($Q$44+$R$44*AL2*$Q$31)/$Q$31</f>
        <v>4.1644433320649675E-2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  <c r="AV2">
        <f t="shared" ref="AV2:AV14" si="21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4" si="22">O3*60/$C$26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4" si="23">($U3-$U$2)</f>
        <v>3.1551500000000003</v>
      </c>
      <c r="W3" s="234">
        <f t="shared" ref="W3:W14" si="24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4" si="25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ref="AJ3:AJ14" si="26">MAX(($Q$42+$R$42*LN($AI3)),0)</f>
        <v>4555.4393381745249</v>
      </c>
      <c r="AK3" s="229">
        <f t="shared" si="17"/>
        <v>9.885936063746799</v>
      </c>
      <c r="AL3" s="229">
        <f t="shared" si="18"/>
        <v>-2.9127353151529944</v>
      </c>
      <c r="AM3" s="229">
        <f t="shared" si="19"/>
        <v>9.9199188020221634</v>
      </c>
      <c r="AN3" s="1"/>
      <c r="AO3" s="1">
        <f t="shared" si="20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2.853062032447166E-7</v>
      </c>
      <c r="AS3" s="228"/>
      <c r="AT3" s="1"/>
      <c r="AU3" s="228"/>
      <c r="AV3">
        <f t="shared" si="21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3"/>
        <v>6.2354399999999996</v>
      </c>
      <c r="W4" s="234">
        <f t="shared" si="24"/>
        <v>8.3618622196799993E-3</v>
      </c>
      <c r="X4" s="230">
        <f t="shared" ref="X4:X14" si="29">$W4/$P4*5252</f>
        <v>4.0549568682131136E-3</v>
      </c>
      <c r="Y4" s="230">
        <f t="shared" ref="Y4:Y14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2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5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26"/>
        <v>9182.0151590275054</v>
      </c>
      <c r="AK4" s="229">
        <f t="shared" si="17"/>
        <v>19.926248174972883</v>
      </c>
      <c r="AL4" s="229">
        <f t="shared" si="18"/>
        <v>6.9022698142088581</v>
      </c>
      <c r="AM4" s="229">
        <f t="shared" si="19"/>
        <v>19.952449575288984</v>
      </c>
      <c r="AN4" s="2">
        <f t="shared" ref="AN4:AN14" si="32">AO4/$Q$31</f>
        <v>6.9022698142088581</v>
      </c>
      <c r="AO4" s="3">
        <f t="shared" si="20"/>
        <v>3180.5659303874418</v>
      </c>
      <c r="AP4" s="227">
        <f t="shared" si="27"/>
        <v>3.1526964904515136E-4</v>
      </c>
      <c r="AQ4" s="227">
        <f t="shared" ref="AQ4:AQ14" si="33">AJ4*AP4/5252</f>
        <v>5.5118253935907487E-4</v>
      </c>
      <c r="AR4" s="231">
        <f t="shared" si="28"/>
        <v>3.710841216669138E-7</v>
      </c>
      <c r="AS4" s="228">
        <f t="shared" ref="AS4:AS14" si="34">$Q$36/AR4</f>
        <v>0.10085804085789137</v>
      </c>
      <c r="AT4" s="1"/>
      <c r="AU4" s="228"/>
      <c r="AV4">
        <f t="shared" si="21"/>
        <v>0.23799999999999999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3"/>
        <v>7.7846400000000004</v>
      </c>
      <c r="W5" s="234">
        <f t="shared" si="24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5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26"/>
        <v>13156.382614371338</v>
      </c>
      <c r="AK5" s="229">
        <f t="shared" si="17"/>
        <v>28.55117754854891</v>
      </c>
      <c r="AL5" s="229">
        <f t="shared" si="18"/>
        <v>15.333653729792612</v>
      </c>
      <c r="AM5" s="229">
        <f t="shared" si="19"/>
        <v>28.570694546070836</v>
      </c>
      <c r="AN5" s="2">
        <f t="shared" si="32"/>
        <v>15.333653729792612</v>
      </c>
      <c r="AO5" s="3">
        <f t="shared" si="20"/>
        <v>7065.7476386884355</v>
      </c>
      <c r="AP5" s="227">
        <f t="shared" si="27"/>
        <v>1.9365215396004685E-3</v>
      </c>
      <c r="AQ5" s="227">
        <f t="shared" si="33"/>
        <v>4.8510316671658829E-3</v>
      </c>
      <c r="AR5" s="231">
        <f t="shared" si="28"/>
        <v>4.4476992744745461E-7</v>
      </c>
      <c r="AS5" s="228">
        <f t="shared" si="34"/>
        <v>8.4148714189355697E-2</v>
      </c>
      <c r="AT5" s="232"/>
      <c r="AU5" s="165"/>
      <c r="AV5">
        <f t="shared" si="21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3"/>
        <v>10.50192</v>
      </c>
      <c r="W6" s="234">
        <f t="shared" si="24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5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26"/>
        <v>15567.533472822655</v>
      </c>
      <c r="AK6" s="229">
        <f t="shared" si="17"/>
        <v>33.783709793451941</v>
      </c>
      <c r="AL6" s="229">
        <f t="shared" si="18"/>
        <v>20.448766711773704</v>
      </c>
      <c r="AM6" s="229">
        <f t="shared" si="19"/>
        <v>33.799171528415371</v>
      </c>
      <c r="AN6" s="2">
        <f t="shared" si="32"/>
        <v>20.448766711773704</v>
      </c>
      <c r="AO6" s="3">
        <f t="shared" si="20"/>
        <v>9422.791700785323</v>
      </c>
      <c r="AP6" s="227">
        <f t="shared" si="27"/>
        <v>3.0628222088682107E-3</v>
      </c>
      <c r="AQ6" s="227">
        <f t="shared" si="33"/>
        <v>9.0785581222125843E-3</v>
      </c>
      <c r="AR6" s="231">
        <f t="shared" si="28"/>
        <v>4.8947329115493982E-7</v>
      </c>
      <c r="AS6" s="228">
        <f t="shared" si="34"/>
        <v>7.6463452002632548E-2</v>
      </c>
      <c r="AT6" s="232">
        <f t="shared" ref="AT6:AT14" si="35">$Q$45*$Q$28*$Q$37^2*$Q$34*PI()/240*($AC6-$Q$47)/$Q$46*$Q$35</f>
        <v>-1.1703313754155423E-7</v>
      </c>
      <c r="AU6" s="165">
        <f t="shared" ref="AU6:AU14" si="36">-$Q$36/AT6</f>
        <v>0.31979675407324204</v>
      </c>
      <c r="AV6">
        <f t="shared" si="21"/>
        <v>0.58599999999999997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3"/>
        <v>14.81034</v>
      </c>
      <c r="W7" s="234">
        <f t="shared" si="24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5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26"/>
        <v>18435.166800733456</v>
      </c>
      <c r="AK7" s="233">
        <f t="shared" si="17"/>
        <v>40.006872397425035</v>
      </c>
      <c r="AL7" s="233">
        <f t="shared" si="18"/>
        <v>26.53228007293254</v>
      </c>
      <c r="AM7" s="233">
        <f t="shared" si="19"/>
        <v>40.017511121822601</v>
      </c>
      <c r="AN7" s="9">
        <f t="shared" si="32"/>
        <v>26.53228007293254</v>
      </c>
      <c r="AO7" s="10">
        <f t="shared" si="20"/>
        <v>12226.074657607314</v>
      </c>
      <c r="AP7" s="230">
        <f t="shared" si="27"/>
        <v>4.5426833853288379E-3</v>
      </c>
      <c r="AQ7" s="230">
        <f t="shared" si="33"/>
        <v>1.5945378128609605E-2</v>
      </c>
      <c r="AR7" s="232">
        <f t="shared" si="28"/>
        <v>5.4263995851130805E-7</v>
      </c>
      <c r="AS7" s="228">
        <f t="shared" si="34"/>
        <v>6.8971731472695058E-2</v>
      </c>
      <c r="AT7" s="232">
        <f t="shared" si="35"/>
        <v>-1.5553105123949702E-7</v>
      </c>
      <c r="AU7" s="165">
        <f t="shared" si="36"/>
        <v>0.24063887697360209</v>
      </c>
      <c r="AV7">
        <f t="shared" si="21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3"/>
        <v>29.145340000000001</v>
      </c>
      <c r="W8" s="234">
        <f t="shared" si="24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5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26"/>
        <v>23476.71707886444</v>
      </c>
      <c r="AK8" s="229">
        <f t="shared" si="17"/>
        <v>50.947736716285675</v>
      </c>
      <c r="AL8" s="229">
        <f t="shared" si="18"/>
        <v>37.22762880509022</v>
      </c>
      <c r="AM8" s="229">
        <f t="shared" si="19"/>
        <v>50.949896166145919</v>
      </c>
      <c r="AN8" s="2">
        <f t="shared" si="32"/>
        <v>37.22762880509022</v>
      </c>
      <c r="AO8" s="3">
        <f t="shared" si="20"/>
        <v>17154.491353385572</v>
      </c>
      <c r="AP8" s="227">
        <f t="shared" si="27"/>
        <v>7.5140510375082637E-3</v>
      </c>
      <c r="AQ8" s="227">
        <f t="shared" si="33"/>
        <v>3.3588204555165521E-2</v>
      </c>
      <c r="AR8" s="231">
        <f t="shared" si="28"/>
        <v>6.3611161124630968E-7</v>
      </c>
      <c r="AS8" s="228">
        <f t="shared" si="34"/>
        <v>5.8836872088323243E-2</v>
      </c>
      <c r="AT8" s="232">
        <f t="shared" si="35"/>
        <v>-2.3312949048716838E-7</v>
      </c>
      <c r="AU8" s="165">
        <f t="shared" si="36"/>
        <v>0.16054089693494322</v>
      </c>
      <c r="AV8">
        <f t="shared" si="21"/>
        <v>1.175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2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3"/>
        <v>51.562539999999998</v>
      </c>
      <c r="W9" s="234">
        <f t="shared" si="24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5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26"/>
        <v>28805.701698005079</v>
      </c>
      <c r="AK9" s="229">
        <f t="shared" si="17"/>
        <v>62.512373476573522</v>
      </c>
      <c r="AL9" s="229">
        <f t="shared" si="18"/>
        <v>48.532752377346455</v>
      </c>
      <c r="AM9" s="229">
        <f t="shared" si="19"/>
        <v>62.50557022228562</v>
      </c>
      <c r="AN9" s="2">
        <f t="shared" si="32"/>
        <v>48.532752377346455</v>
      </c>
      <c r="AO9" s="3">
        <f t="shared" si="20"/>
        <v>22363.892295481248</v>
      </c>
      <c r="AP9" s="227">
        <f t="shared" si="27"/>
        <v>1.1167133895462537E-2</v>
      </c>
      <c r="AQ9" s="227">
        <f t="shared" si="33"/>
        <v>6.1248501107078315E-2</v>
      </c>
      <c r="AR9" s="231">
        <f t="shared" si="28"/>
        <v>7.3491237138375276E-7</v>
      </c>
      <c r="AS9" s="228">
        <f t="shared" si="34"/>
        <v>5.0926911781776205E-2</v>
      </c>
      <c r="AT9" s="232">
        <f t="shared" si="35"/>
        <v>-3.4460517050391823E-7</v>
      </c>
      <c r="AU9" s="165">
        <f t="shared" si="36"/>
        <v>0.10860782341154912</v>
      </c>
      <c r="AV9">
        <f t="shared" si="21"/>
        <v>1.6240000000000001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1.6519999999999999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 t="shared" si="6"/>
        <v>28037.383177570096</v>
      </c>
      <c r="Q10" s="3">
        <f t="shared" si="22"/>
        <v>21818.181818181816</v>
      </c>
      <c r="R10" s="3">
        <f t="shared" si="7"/>
        <v>60.845015576323995</v>
      </c>
      <c r="S10" s="3">
        <f t="shared" si="8"/>
        <v>47.348484848484844</v>
      </c>
      <c r="T10" s="3">
        <f t="shared" ref="T10:T13" si="38">L10</f>
        <v>70</v>
      </c>
      <c r="U10" s="158">
        <f t="shared" ref="U10:U13" si="39">K10</f>
        <v>54.54</v>
      </c>
      <c r="V10" s="229">
        <f t="shared" si="23"/>
        <v>54.30744</v>
      </c>
      <c r="W10" s="234">
        <f t="shared" si="24"/>
        <v>7.2827471803680002E-2</v>
      </c>
      <c r="X10" s="230">
        <f t="shared" si="29"/>
        <v>1.3642139121561076E-2</v>
      </c>
      <c r="Y10" s="230">
        <f t="shared" ref="Y10:Y13" si="40">X10-$X$3</f>
        <v>1.0679222927100863E-2</v>
      </c>
      <c r="Z10" s="228">
        <f t="shared" si="10"/>
        <v>0.99674407431185397</v>
      </c>
      <c r="AA10" s="229">
        <f t="shared" si="11"/>
        <v>9.7604585367043626</v>
      </c>
      <c r="AB10" s="2">
        <f t="shared" si="31"/>
        <v>17.895963580316028</v>
      </c>
      <c r="AC10" s="158">
        <f t="shared" si="12"/>
        <v>19.584683347012472</v>
      </c>
      <c r="AD10" s="175">
        <f t="shared" ref="AD10:AD14" si="41">AC10*1/1.6/1000*3600</f>
        <v>44.065537530778059</v>
      </c>
      <c r="AE10" s="175">
        <f t="shared" si="14"/>
        <v>62.831853071795855</v>
      </c>
      <c r="AF10" s="165">
        <f t="shared" ref="AF10:AF13" si="42">AE10/AC10</f>
        <v>3.208213886255173</v>
      </c>
      <c r="AG10" s="151"/>
      <c r="AH10" s="228">
        <f t="shared" si="15"/>
        <v>1.9444444444444444</v>
      </c>
      <c r="AI10" s="228">
        <f t="shared" si="16"/>
        <v>70</v>
      </c>
      <c r="AJ10" s="229">
        <f t="shared" si="26"/>
        <v>29305.513274460649</v>
      </c>
      <c r="AK10" s="229">
        <f t="shared" si="17"/>
        <v>63.597034015756613</v>
      </c>
      <c r="AL10" s="229">
        <f t="shared" si="18"/>
        <v>49.593072877124065</v>
      </c>
      <c r="AM10" s="229">
        <f t="shared" si="19"/>
        <v>63.589390139172011</v>
      </c>
      <c r="AN10" s="2">
        <f t="shared" si="32"/>
        <v>49.593072877124065</v>
      </c>
      <c r="AO10" s="3">
        <f t="shared" si="20"/>
        <v>22852.48798177877</v>
      </c>
      <c r="AP10" s="227">
        <f t="shared" si="27"/>
        <v>1.1536767392473356E-2</v>
      </c>
      <c r="AQ10" s="227">
        <f t="shared" ref="AQ10:AQ13" si="43">AJ10*AP10/5252</f>
        <v>6.4373741425074765E-2</v>
      </c>
      <c r="AR10" s="231">
        <f t="shared" si="28"/>
        <v>7.441790079399805E-7</v>
      </c>
      <c r="AS10" s="228">
        <f t="shared" si="34"/>
        <v>5.0292761695066343E-2</v>
      </c>
      <c r="AT10" s="232">
        <f t="shared" si="35"/>
        <v>-3.5227686291709615E-7</v>
      </c>
      <c r="AU10" s="165">
        <f t="shared" si="36"/>
        <v>0.10624262176878828</v>
      </c>
      <c r="AV10">
        <f t="shared" si="21"/>
        <v>1.6519999999999999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1.786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5"/>
        <v>390.62500000000006</v>
      </c>
      <c r="P11" s="3">
        <f t="shared" si="6"/>
        <v>29702.970297029704</v>
      </c>
      <c r="Q11" s="3">
        <f t="shared" si="22"/>
        <v>23437.500000000004</v>
      </c>
      <c r="R11" s="3">
        <f t="shared" si="7"/>
        <v>64.459570957095707</v>
      </c>
      <c r="S11" s="3">
        <f t="shared" si="8"/>
        <v>50.862630208333343</v>
      </c>
      <c r="T11" s="3">
        <f t="shared" si="38"/>
        <v>79</v>
      </c>
      <c r="U11" s="158">
        <f t="shared" si="39"/>
        <v>64.318799999999996</v>
      </c>
      <c r="V11" s="229">
        <f t="shared" si="23"/>
        <v>64.086239999999989</v>
      </c>
      <c r="W11" s="234">
        <f t="shared" si="24"/>
        <v>8.5941057737279988E-2</v>
      </c>
      <c r="X11" s="230">
        <f t="shared" si="29"/>
        <v>1.5195868652951881E-2</v>
      </c>
      <c r="Y11" s="230">
        <f t="shared" si="40"/>
        <v>1.2232952458491667E-2</v>
      </c>
      <c r="Z11" s="228">
        <f t="shared" si="10"/>
        <v>1.1851433231911994</v>
      </c>
      <c r="AA11" s="229">
        <f t="shared" si="11"/>
        <v>12.654676236558226</v>
      </c>
      <c r="AB11" s="2">
        <f t="shared" si="31"/>
        <v>19.674925895007721</v>
      </c>
      <c r="AC11" s="158">
        <f t="shared" si="12"/>
        <v>21.355520448756128</v>
      </c>
      <c r="AD11" s="175">
        <f t="shared" si="41"/>
        <v>48.049921009701286</v>
      </c>
      <c r="AE11" s="175">
        <f t="shared" si="14"/>
        <v>67.495154666968219</v>
      </c>
      <c r="AF11" s="163">
        <f t="shared" si="42"/>
        <v>3.1605483382588102</v>
      </c>
      <c r="AG11" s="159">
        <f>$M$42/($Q$28*$Q$37*$Q$34*($AC11-$Q$47)^2/4/$AF11)/(PI()*$Q$37/60/($AC11-$Q$47))</f>
        <v>-0.7892387267497728</v>
      </c>
      <c r="AH11" s="228">
        <f t="shared" si="15"/>
        <v>2.1944444444444446</v>
      </c>
      <c r="AI11" s="228">
        <f t="shared" si="16"/>
        <v>79.000000000000014</v>
      </c>
      <c r="AJ11" s="229">
        <f t="shared" si="26"/>
        <v>30685.647869613345</v>
      </c>
      <c r="AK11" s="229">
        <f t="shared" si="17"/>
        <v>66.592117772598399</v>
      </c>
      <c r="AL11" s="229">
        <f t="shared" si="18"/>
        <v>52.520946245064685</v>
      </c>
      <c r="AM11" s="229">
        <f t="shared" si="19"/>
        <v>66.582152677443091</v>
      </c>
      <c r="AN11" s="2">
        <f t="shared" si="32"/>
        <v>52.520946245064692</v>
      </c>
      <c r="AO11" s="3">
        <f t="shared" si="20"/>
        <v>24201.65202972581</v>
      </c>
      <c r="AP11" s="227">
        <f t="shared" si="27"/>
        <v>1.2581492065707436E-2</v>
      </c>
      <c r="AQ11" s="227">
        <f t="shared" si="43"/>
        <v>7.3509374562572838E-2</v>
      </c>
      <c r="AR11" s="231">
        <f t="shared" si="28"/>
        <v>7.6976706210761636E-7</v>
      </c>
      <c r="AS11" s="228">
        <f t="shared" si="34"/>
        <v>4.8620965155773209E-2</v>
      </c>
      <c r="AT11" s="232">
        <f t="shared" si="35"/>
        <v>-3.8584347943088994E-7</v>
      </c>
      <c r="AU11" s="165">
        <f t="shared" si="36"/>
        <v>9.7000000000000003E-2</v>
      </c>
      <c r="AV11">
        <f t="shared" si="21"/>
        <v>1.786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1.8420000000000001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84</v>
      </c>
      <c r="M12" s="234">
        <f t="shared" si="37"/>
        <v>4.4308167988433134</v>
      </c>
      <c r="N12" s="3">
        <f t="shared" si="5"/>
        <v>507.6142131979696</v>
      </c>
      <c r="O12" s="3">
        <f t="shared" si="5"/>
        <v>403.22580645161293</v>
      </c>
      <c r="P12" s="3">
        <f t="shared" si="6"/>
        <v>30456.852791878177</v>
      </c>
      <c r="Q12" s="3">
        <f t="shared" si="22"/>
        <v>24193.548387096776</v>
      </c>
      <c r="R12" s="3">
        <f t="shared" si="7"/>
        <v>66.095600676818961</v>
      </c>
      <c r="S12" s="3">
        <f t="shared" si="8"/>
        <v>52.503360215053767</v>
      </c>
      <c r="T12" s="3">
        <f t="shared" si="38"/>
        <v>84</v>
      </c>
      <c r="U12" s="158">
        <f t="shared" si="39"/>
        <v>68.010400000000004</v>
      </c>
      <c r="V12" s="229">
        <f t="shared" si="23"/>
        <v>67.777839999999998</v>
      </c>
      <c r="W12" s="234">
        <f t="shared" si="24"/>
        <v>9.0891574552480009E-2</v>
      </c>
      <c r="X12" s="230">
        <f t="shared" si="29"/>
        <v>1.5673403710212686E-2</v>
      </c>
      <c r="Y12" s="230">
        <f t="shared" si="40"/>
        <v>1.2710487515752471E-2</v>
      </c>
      <c r="Z12" s="228">
        <f t="shared" si="10"/>
        <v>1.2776923778889189</v>
      </c>
      <c r="AA12" s="229">
        <f t="shared" si="11"/>
        <v>14.165574197505515</v>
      </c>
      <c r="AB12" s="2">
        <f t="shared" si="31"/>
        <v>20.828541219439252</v>
      </c>
      <c r="AC12" s="158">
        <f t="shared" si="12"/>
        <v>22.173685063239933</v>
      </c>
      <c r="AD12" s="175">
        <f t="shared" si="41"/>
        <v>49.890791392289849</v>
      </c>
      <c r="AE12" s="175">
        <f t="shared" si="14"/>
        <v>69.672417720741393</v>
      </c>
      <c r="AF12" s="165">
        <f t="shared" si="42"/>
        <v>3.1421217322260069</v>
      </c>
      <c r="AG12" s="151"/>
      <c r="AH12" s="228">
        <f t="shared" si="15"/>
        <v>2.3333333333333335</v>
      </c>
      <c r="AI12" s="228">
        <f t="shared" si="16"/>
        <v>84</v>
      </c>
      <c r="AJ12" s="229">
        <f t="shared" si="26"/>
        <v>31385.900684906232</v>
      </c>
      <c r="AK12" s="229">
        <f t="shared" si="17"/>
        <v>68.111763639119431</v>
      </c>
      <c r="AL12" s="229">
        <f t="shared" si="18"/>
        <v>54.006490898406739</v>
      </c>
      <c r="AM12" s="229">
        <f t="shared" si="19"/>
        <v>68.100620803876481</v>
      </c>
      <c r="AN12" s="2">
        <f t="shared" si="32"/>
        <v>54.006490898406739</v>
      </c>
      <c r="AO12" s="3">
        <f t="shared" si="20"/>
        <v>24886.191005985827</v>
      </c>
      <c r="AP12" s="227">
        <f t="shared" si="27"/>
        <v>1.3125069263432491E-2</v>
      </c>
      <c r="AQ12" s="227">
        <f t="shared" si="43"/>
        <v>7.8435285678714314E-2</v>
      </c>
      <c r="AR12" s="231">
        <f t="shared" si="28"/>
        <v>7.8274993133767964E-7</v>
      </c>
      <c r="AS12" s="228">
        <f t="shared" si="34"/>
        <v>4.7814526717154492E-2</v>
      </c>
      <c r="AT12" s="232">
        <f t="shared" si="35"/>
        <v>-4.0135197416058161E-7</v>
      </c>
      <c r="AU12" s="165">
        <f t="shared" si="36"/>
        <v>9.3251858504181148E-2</v>
      </c>
      <c r="AV12">
        <f t="shared" si="21"/>
        <v>1.8420000000000001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ref="C13" si="44">D13/180+1</f>
        <v>1.6722222222222223</v>
      </c>
      <c r="D13" s="73">
        <v>121</v>
      </c>
      <c r="E13" s="73">
        <v>2.19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" si="45">F13*G13</f>
        <v>103.6602</v>
      </c>
      <c r="L13" s="1">
        <f t="shared" ref="L13" si="46">D13</f>
        <v>121</v>
      </c>
      <c r="M13" s="234">
        <f t="shared" si="37"/>
        <v>4.7957905455967413</v>
      </c>
      <c r="N13" s="3">
        <f t="shared" ref="N13" si="47">1/H13/0.000001</f>
        <v>606.06060606060612</v>
      </c>
      <c r="O13" s="3">
        <f t="shared" ref="O13" si="48">1/I13/0.000001</f>
        <v>490.19607843137254</v>
      </c>
      <c r="P13" s="3">
        <f t="shared" si="6"/>
        <v>36363.636363636368</v>
      </c>
      <c r="Q13" s="3">
        <f t="shared" si="22"/>
        <v>29411.764705882353</v>
      </c>
      <c r="R13" s="3">
        <f t="shared" si="7"/>
        <v>78.914141414141426</v>
      </c>
      <c r="S13" s="3">
        <f t="shared" si="8"/>
        <v>63.827614379084963</v>
      </c>
      <c r="T13" s="3">
        <f t="shared" si="38"/>
        <v>121</v>
      </c>
      <c r="U13" s="158">
        <f t="shared" si="39"/>
        <v>103.6602</v>
      </c>
      <c r="V13" s="229">
        <f t="shared" si="23"/>
        <v>103.42764</v>
      </c>
      <c r="W13" s="234">
        <f t="shared" si="24"/>
        <v>0.13869874064807999</v>
      </c>
      <c r="X13" s="230">
        <f t="shared" si="29"/>
        <v>2.0032259111802193E-2</v>
      </c>
      <c r="Y13" s="230">
        <f t="shared" si="40"/>
        <v>1.7069342917341978E-2</v>
      </c>
      <c r="Z13" s="228">
        <f t="shared" si="10"/>
        <v>2.174568786090711</v>
      </c>
      <c r="AA13" s="229">
        <f t="shared" si="11"/>
        <v>31.452447925513269</v>
      </c>
      <c r="AB13" s="2">
        <f t="shared" ref="AB13" si="49">AA13/U13*100</f>
        <v>30.341874630295202</v>
      </c>
      <c r="AC13" s="158">
        <f t="shared" si="12"/>
        <v>28.927526346091174</v>
      </c>
      <c r="AD13" s="175">
        <f t="shared" si="41"/>
        <v>65.086934278705144</v>
      </c>
      <c r="AE13" s="175">
        <f t="shared" si="14"/>
        <v>84.699801935018925</v>
      </c>
      <c r="AF13" s="165">
        <f t="shared" si="42"/>
        <v>2.9280001657128891</v>
      </c>
      <c r="AG13" s="151"/>
      <c r="AH13" s="228">
        <f t="shared" si="15"/>
        <v>3.3611111111111116</v>
      </c>
      <c r="AI13" s="228">
        <f t="shared" si="16"/>
        <v>121.00000000000001</v>
      </c>
      <c r="AJ13" s="229">
        <f t="shared" si="26"/>
        <v>35550.448208746602</v>
      </c>
      <c r="AK13" s="229">
        <f t="shared" si="17"/>
        <v>77.149410175231338</v>
      </c>
      <c r="AL13" s="229">
        <f t="shared" si="18"/>
        <v>62.841330505645359</v>
      </c>
      <c r="AM13" s="229">
        <f t="shared" si="19"/>
        <v>77.131263077444089</v>
      </c>
      <c r="AN13" s="2">
        <f t="shared" si="32"/>
        <v>62.841330505645359</v>
      </c>
      <c r="AO13" s="3">
        <f t="shared" si="20"/>
        <v>28957.285097001382</v>
      </c>
      <c r="AP13" s="227">
        <f t="shared" si="27"/>
        <v>1.6545644643880052E-2</v>
      </c>
      <c r="AQ13" s="227">
        <f t="shared" si="43"/>
        <v>0.11199639813263201</v>
      </c>
      <c r="AR13" s="231">
        <f t="shared" si="28"/>
        <v>8.5996172502649084E-7</v>
      </c>
      <c r="AS13" s="228">
        <f t="shared" si="34"/>
        <v>4.3521492196229319E-2</v>
      </c>
      <c r="AT13" s="232">
        <f t="shared" si="35"/>
        <v>-5.2937255838782245E-7</v>
      </c>
      <c r="AU13" s="165">
        <f t="shared" si="36"/>
        <v>7.0700335542094997E-2</v>
      </c>
      <c r="AV13">
        <f t="shared" si="21"/>
        <v>2.19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2.66</v>
      </c>
      <c r="F14" s="80">
        <v>11.7</v>
      </c>
      <c r="G14" s="80">
        <v>14.72</v>
      </c>
      <c r="H14" s="80">
        <v>1360</v>
      </c>
      <c r="I14" s="81">
        <v>1620</v>
      </c>
      <c r="J14" s="61"/>
      <c r="K14" s="2">
        <f t="shared" si="2"/>
        <v>172.22399999999999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617.28395061728395</v>
      </c>
      <c r="P14" s="3">
        <f t="shared" si="6"/>
        <v>44117.647058823532</v>
      </c>
      <c r="Q14" s="3">
        <f t="shared" si="22"/>
        <v>37037.037037037036</v>
      </c>
      <c r="R14" s="3">
        <f t="shared" si="7"/>
        <v>95.741421568627459</v>
      </c>
      <c r="S14" s="3">
        <f t="shared" si="8"/>
        <v>80.375514403292172</v>
      </c>
      <c r="T14" s="3">
        <f t="shared" si="9"/>
        <v>175</v>
      </c>
      <c r="U14" s="158">
        <f t="shared" si="0"/>
        <v>172.22399999999999</v>
      </c>
      <c r="V14" s="229">
        <f t="shared" si="23"/>
        <v>171.99143999999998</v>
      </c>
      <c r="W14" s="234">
        <f t="shared" si="24"/>
        <v>0.23064430485168</v>
      </c>
      <c r="X14" s="230">
        <f t="shared" si="29"/>
        <v>2.7457128152503195E-2</v>
      </c>
      <c r="Y14" s="230">
        <f t="shared" si="30"/>
        <v>2.449421195804298E-2</v>
      </c>
      <c r="Z14" s="163">
        <f>C34/0.224</f>
        <v>4.4249528005034611</v>
      </c>
      <c r="AA14" s="229">
        <f t="shared" si="11"/>
        <v>91.297248929319878</v>
      </c>
      <c r="AB14" s="2">
        <f>AA14/U14*100</f>
        <v>53.010758622096731</v>
      </c>
      <c r="AC14" s="158">
        <f t="shared" si="12"/>
        <v>41.264733453849395</v>
      </c>
      <c r="AD14" s="175">
        <f t="shared" si="41"/>
        <v>92.845650271161119</v>
      </c>
      <c r="AE14" s="175">
        <f t="shared" si="14"/>
        <v>106.65900984409792</v>
      </c>
      <c r="AF14" s="165">
        <f t="shared" si="25"/>
        <v>2.5847497588560868</v>
      </c>
      <c r="AG14" s="151"/>
      <c r="AH14" s="228">
        <f t="shared" si="15"/>
        <v>4.8611111111111107</v>
      </c>
      <c r="AI14" s="228">
        <f t="shared" si="16"/>
        <v>174.99999999999997</v>
      </c>
      <c r="AJ14" s="229">
        <f t="shared" si="26"/>
        <v>39760.88529090982</v>
      </c>
      <c r="AK14" s="229">
        <f t="shared" si="17"/>
        <v>86.286643426453608</v>
      </c>
      <c r="AL14" s="229">
        <f t="shared" si="18"/>
        <v>71.773522078519733</v>
      </c>
      <c r="AM14" s="229">
        <f t="shared" si="19"/>
        <v>86.261414885464902</v>
      </c>
      <c r="AN14" s="2">
        <f t="shared" si="32"/>
        <v>71.773522078519733</v>
      </c>
      <c r="AO14" s="3">
        <f t="shared" si="20"/>
        <v>33073.238973781896</v>
      </c>
      <c r="AP14" s="227">
        <f t="shared" si="27"/>
        <v>2.0330798208909043E-2</v>
      </c>
      <c r="AQ14" s="227">
        <f t="shared" si="33"/>
        <v>0.15391670515176453</v>
      </c>
      <c r="AR14" s="231">
        <f t="shared" si="28"/>
        <v>9.3802432305584826E-7</v>
      </c>
      <c r="AS14" s="228">
        <f t="shared" si="34"/>
        <v>3.9899623692986053E-2</v>
      </c>
      <c r="AT14" s="232">
        <f t="shared" si="35"/>
        <v>-7.6322710064335212E-7</v>
      </c>
      <c r="AU14" s="165">
        <f t="shared" si="36"/>
        <v>4.9037589825161987E-2</v>
      </c>
      <c r="AV14">
        <f t="shared" si="21"/>
        <v>2.66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E26" s="61"/>
      <c r="F26" s="189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E27" s="61"/>
      <c r="F27" s="189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E28" s="61"/>
      <c r="F28" s="61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E29" s="61"/>
      <c r="F29" s="61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E30" s="61"/>
      <c r="F30" s="61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E31" s="61"/>
      <c r="F31" s="6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E32" s="61"/>
      <c r="F32" s="61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E33" s="61"/>
      <c r="F33" s="61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E34" s="61"/>
      <c r="F34" s="61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E35" s="61"/>
      <c r="F35" s="61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E36" s="61"/>
      <c r="F36" s="61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298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50">(I40*$Q$31*$R$44+$Q$44)/$Q$31</f>
        <v>82.678872733117615</v>
      </c>
      <c r="K40" s="242">
        <v>0</v>
      </c>
      <c r="L40" s="213"/>
      <c r="M40" s="216"/>
      <c r="P40" s="226" t="s">
        <v>302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50"/>
        <v>76.271286533659634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205">
        <f>INDEX(LINEST($Q$4:$Q$14,$E$4:$E$14^{1,2},FALSE,FALSE),2)</f>
        <v>12893.709749551415</v>
      </c>
      <c r="S41" s="205">
        <f>INDEX(LINEST($Q$4:$Q$14,$E$4:$E$14^{1,2},FALSE,FALSE),1)</f>
        <v>287.50205106228083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50"/>
        <v>61.961010688203459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291</v>
      </c>
      <c r="P42" s="65" t="s">
        <v>21</v>
      </c>
      <c r="Q42" s="205">
        <f>INDEX(LINEST($P$3:$P$14,$M$3:$M$14),2)</f>
        <v>-19172.11147995084</v>
      </c>
      <c r="R42" s="67">
        <f>INDEX(LINEST($P$3:$P$14,$M$3:$M$14),1)</f>
        <v>11410.539965916778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50"/>
        <v>38.451271799239713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-5795.4026336742536</v>
      </c>
      <c r="R43" s="69">
        <f>INDEX(LINEST($Q$4:$Q$14,$P$4:$P$14),1)</f>
        <v>0.97755976314597659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50"/>
        <v>29.251808755732167</v>
      </c>
      <c r="K44" s="243">
        <v>0.442</v>
      </c>
      <c r="L44" s="61"/>
      <c r="M44" s="250"/>
      <c r="P44" s="65" t="s">
        <v>123</v>
      </c>
      <c r="Q44" s="205">
        <f>INDEX(LINEST($P$4:$P$14,$Q$4:$Q$14),2)</f>
        <v>5943.0333494000006</v>
      </c>
      <c r="R44" s="69">
        <f>INDEX(LINEST($P$4:$P$14,$Q$4:$Q$14),1)</f>
        <v>1.0221625603897275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50"/>
        <v>25.809429036226117</v>
      </c>
      <c r="K45" s="246">
        <v>0.5</v>
      </c>
      <c r="L45" s="255"/>
      <c r="M45" s="256"/>
      <c r="P45" s="65" t="s">
        <v>180</v>
      </c>
      <c r="Q45" s="206">
        <f>AG11</f>
        <v>-0.7892387267497728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3.1605483382588102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1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-2.3104712629624284E-3</v>
      </c>
      <c r="K48" s="180">
        <f>INDEX(LINEST($Y$3:$Y$14,$P$3:$P$14^{1,2}),2)</f>
        <v>2.0084717370369411E-7</v>
      </c>
      <c r="L48" s="180">
        <f>INDEX(LINEST($Y$3:$Y$14,$P$3:$P$14^{1,2}),1)</f>
        <v>9.2701299777232133E-12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5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51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51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51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51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51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D1" zoomScale="90" zoomScaleNormal="90" workbookViewId="0">
      <selection activeCell="AJ3" sqref="AJ3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63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4" zoomScale="90" zoomScaleNormal="90" workbookViewId="0">
      <selection activeCell="P15" sqref="P1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295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291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topLeftCell="U1" zoomScale="70" zoomScaleNormal="70" workbookViewId="0">
      <pane ySplit="1" topLeftCell="A7" activePane="bottomLeft" state="frozen"/>
      <selection pane="bottomLeft" activeCell="AQ25" sqref="AQ25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2187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Ard1_Turn1x_ESC1_G1b_T1a!MeasNt</vt:lpstr>
      <vt:lpstr>Ard2_Turn2_ESC2_G2b_T2a!MeasNt</vt:lpstr>
      <vt:lpstr>Ard3_Turn3_ESC3_G3b_T3a!MeasNt</vt:lpstr>
      <vt:lpstr>Ard4_Turn4_ESC4_G4b_T4a!MeasNt</vt:lpstr>
      <vt:lpstr>Ard1_Turn1x_ESC1_G1b_T1a!MeasTauT</vt:lpstr>
      <vt:lpstr>Ard2_Turn2_ESC2_G2b_T2a!MeasTauT</vt:lpstr>
      <vt:lpstr>Ard3_Turn3_ESC3_G3b_T3a!MeasTauT</vt:lpstr>
      <vt:lpstr>Ard4_Turn4_ESC4_G4b_T4a!MeasTauT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2016-12-28T12:59:38Z</dcterms:modified>
</cp:coreProperties>
</file>