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0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2.xml" ContentType="application/vnd.openxmlformats-officedocument.drawing+xml"/>
  <Override PartName="/xl/charts/chart79.xml" ContentType="application/vnd.openxmlformats-officedocument.drawingml.chart+xml"/>
  <Override PartName="/xl/drawings/drawing13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4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970" windowHeight="8400" activeTab="2"/>
  </bookViews>
  <sheets>
    <sheet name="Gain Approx" sheetId="15" r:id="rId1"/>
    <sheet name="Time Const Comp" sheetId="11" r:id="rId2"/>
    <sheet name="tauFiddle" sheetId="18" r:id="rId3"/>
    <sheet name="Ard0_Turn0_ESC0_G0b_T0a" sheetId="14" r:id="rId4"/>
    <sheet name="Ard1_Turn1x_ESC1_G1b_T1a" sheetId="13" r:id="rId5"/>
    <sheet name="Ard2_Turn2_ESC2_G2b_T2a" sheetId="8" r:id="rId6"/>
    <sheet name="Ard3_Turn3_ESC3_G3b_T3a" sheetId="9" r:id="rId7"/>
    <sheet name="Ard4_Turn4_ESC4_G4b_T4a" sheetId="10" r:id="rId8"/>
    <sheet name="Ard_Turn_ESC_Gb_Ta" sheetId="17" r:id="rId9"/>
    <sheet name="Ardx_Turnx_ESCx_Gxb_Txa" sheetId="16" r:id="rId10"/>
    <sheet name="CalPhotonTurnigy" sheetId="4" r:id="rId11"/>
    <sheet name="TauPhotonTurnigy" sheetId="5" r:id="rId12"/>
    <sheet name="CalArduinoTurnigy" sheetId="3" r:id="rId13"/>
    <sheet name="CalArduinoHiTec" sheetId="1" r:id="rId14"/>
    <sheet name="CalPhotonHiTec" sheetId="2" r:id="rId15"/>
  </sheets>
  <definedNames>
    <definedName name="Meas_TauT__s" localSheetId="8">Ard_Turn_ESC_Gb_Ta!$K$37:$K$42</definedName>
    <definedName name="Meas_TauT__s" localSheetId="3">Ard0_Turn0_ESC0_G0b_T0a!$K$38:$K$43</definedName>
    <definedName name="Meas_TauT__s" localSheetId="4">Ard1_Turn1x_ESC1_G1b_T1a!$K$38:$K$43</definedName>
    <definedName name="Meas_TauT__s" localSheetId="5">Ard2_Turn2_ESC2_G2b_T2a!$K$38:$K$43</definedName>
    <definedName name="Meas_TauT__s" localSheetId="6">Ard3_Turn3_ESC3_G3b_T3a!$K$39:$K$44</definedName>
    <definedName name="Meas_TauT__s" localSheetId="7">Ard4_Turn4_ESC4_G4b_T4a!$K$37:$K$42</definedName>
    <definedName name="Meas_TauT__s" localSheetId="9">Ardx_Turnx_ESCx_Gxb_Txa!$K$39:$K$44</definedName>
    <definedName name="Meas_TauT__s">#REF!</definedName>
    <definedName name="MeasNt" localSheetId="8">Ard_Turn_ESC_Gb_Ta!$I$37:$I$42</definedName>
    <definedName name="MeasNt" localSheetId="3">Ard0_Turn0_ESC0_G0b_T0a!$I$38:$I$43</definedName>
    <definedName name="MeasNt" localSheetId="4">Ard1_Turn1x_ESC1_G1b_T1a!$I$38:$I$43</definedName>
    <definedName name="MeasNt" localSheetId="5">Ard2_Turn2_ESC2_G2b_T2a!$I$38:$I$43</definedName>
    <definedName name="MeasNt" localSheetId="6">Ard3_Turn3_ESC3_G3b_T3a!$I$39:$I$44</definedName>
    <definedName name="MeasNt" localSheetId="7">Ard4_Turn4_ESC4_G4b_T4a!$I$37:$I$42</definedName>
    <definedName name="MeasNt" localSheetId="9">Ardx_Turnx_ESCx_Gxb_Txa!$I$39:$I$44</definedName>
    <definedName name="MeasNt">#REF!</definedName>
    <definedName name="MeasTauT" localSheetId="8">Ard_Turn_ESC_Gb_Ta!$K$37:$K$42</definedName>
    <definedName name="MeasTauT" localSheetId="3">Ard0_Turn0_ESC0_G0b_T0a!$K$38:$K$43</definedName>
    <definedName name="MeasTauT" localSheetId="4">Ard1_Turn1x_ESC1_G1b_T1a!$K$38:$K$43</definedName>
    <definedName name="MeasTauT" localSheetId="5">Ard2_Turn2_ESC2_G2b_T2a!$K$38:$K$43</definedName>
    <definedName name="MeasTauT" localSheetId="6">Ard3_Turn3_ESC3_G3b_T3a!$K$39:$K$44</definedName>
    <definedName name="MeasTauT" localSheetId="7">Ard4_Turn4_ESC4_G4b_T4a!$K$37:$K$42</definedName>
    <definedName name="MeasTauT" localSheetId="9">Ardx_Turnx_ESCx_Gxb_Txa!$K$39:$K$44</definedName>
    <definedName name="MeasTauT">#REF!</definedName>
    <definedName name="Nt" localSheetId="8">Ard_Turn_ESC_Gb_Ta!$I$37:$I$42</definedName>
    <definedName name="Nt" localSheetId="3">Ard0_Turn0_ESC0_G0b_T0a!$I$38:$I$43</definedName>
    <definedName name="Nt" localSheetId="4">Ard1_Turn1x_ESC1_G1b_T1a!$I$38:$I$43</definedName>
    <definedName name="Nt" localSheetId="5">Ard2_Turn2_ESC2_G2b_T2a!$I$38:$I$43</definedName>
    <definedName name="Nt" localSheetId="6">Ard3_Turn3_ESC3_G3b_T3a!$I$39:$I$44</definedName>
    <definedName name="Nt" localSheetId="7">Ard4_Turn4_ESC4_G4b_T4a!$I$37:$I$42</definedName>
    <definedName name="Nt" localSheetId="9">Ardx_Turnx_ESCx_Gxb_Txa!$I$39:$I$44</definedName>
    <definedName name="Nt">#REF!</definedName>
    <definedName name="Nts">#REF!</definedName>
  </definedNames>
  <calcPr calcId="145621"/>
</workbook>
</file>

<file path=xl/calcChain.xml><?xml version="1.0" encoding="utf-8"?>
<calcChain xmlns="http://schemas.openxmlformats.org/spreadsheetml/2006/main">
  <c r="F3" i="18" l="1"/>
  <c r="F4" i="18"/>
  <c r="F5" i="18"/>
  <c r="F6" i="18"/>
  <c r="F2" i="18"/>
  <c r="T46" i="17"/>
  <c r="T46" i="10"/>
  <c r="T48" i="9"/>
  <c r="T47" i="8"/>
  <c r="T47" i="13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AH11" i="17" s="1"/>
  <c r="AI11" i="17" s="1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R11" i="17" s="1"/>
  <c r="M11" i="17"/>
  <c r="L11" i="17"/>
  <c r="T11" i="17" s="1"/>
  <c r="K11" i="17"/>
  <c r="U11" i="17" s="1"/>
  <c r="C11" i="17"/>
  <c r="O10" i="17"/>
  <c r="Q10" i="17" s="1"/>
  <c r="N10" i="17"/>
  <c r="P10" i="17" s="1"/>
  <c r="R10" i="17" s="1"/>
  <c r="L10" i="17"/>
  <c r="M10" i="17" s="1"/>
  <c r="K10" i="17"/>
  <c r="U10" i="17" s="1"/>
  <c r="C10" i="17"/>
  <c r="AH9" i="17"/>
  <c r="AI9" i="17" s="1"/>
  <c r="O9" i="17"/>
  <c r="Q9" i="17" s="1"/>
  <c r="AE9" i="17" s="1"/>
  <c r="N9" i="17"/>
  <c r="P9" i="17" s="1"/>
  <c r="R9" i="17" s="1"/>
  <c r="L9" i="17"/>
  <c r="T9" i="17" s="1"/>
  <c r="K9" i="17"/>
  <c r="U9" i="17" s="1"/>
  <c r="C9" i="17"/>
  <c r="O8" i="17"/>
  <c r="Q8" i="17" s="1"/>
  <c r="N8" i="17"/>
  <c r="P8" i="17" s="1"/>
  <c r="R8" i="17" s="1"/>
  <c r="L8" i="17"/>
  <c r="M8" i="17" s="1"/>
  <c r="K8" i="17"/>
  <c r="U8" i="17" s="1"/>
  <c r="C8" i="17"/>
  <c r="AH7" i="17"/>
  <c r="AI7" i="17" s="1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R6" i="17" s="1"/>
  <c r="L6" i="17"/>
  <c r="T6" i="17" s="1"/>
  <c r="K6" i="17"/>
  <c r="U6" i="17" s="1"/>
  <c r="C6" i="17"/>
  <c r="O5" i="17"/>
  <c r="Q5" i="17" s="1"/>
  <c r="N5" i="17"/>
  <c r="P5" i="17" s="1"/>
  <c r="M5" i="17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R4" i="17" s="1"/>
  <c r="L4" i="17"/>
  <c r="T4" i="17" s="1"/>
  <c r="K4" i="17"/>
  <c r="U4" i="17" s="1"/>
  <c r="C4" i="17"/>
  <c r="AH3" i="17"/>
  <c r="AI3" i="17" s="1"/>
  <c r="O3" i="17"/>
  <c r="Q3" i="17" s="1"/>
  <c r="N3" i="17"/>
  <c r="P3" i="17" s="1"/>
  <c r="L3" i="17"/>
  <c r="T3" i="17" s="1"/>
  <c r="K3" i="17"/>
  <c r="U3" i="17" s="1"/>
  <c r="C3" i="17"/>
  <c r="AE2" i="17"/>
  <c r="U2" i="17"/>
  <c r="S2" i="17"/>
  <c r="O2" i="17"/>
  <c r="N2" i="17"/>
  <c r="P2" i="17" s="1"/>
  <c r="R2" i="17" s="1"/>
  <c r="K2" i="17"/>
  <c r="U1" i="17"/>
  <c r="AH5" i="17" l="1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AA12" i="17"/>
  <c r="AB12" i="17" s="1"/>
  <c r="R41" i="17"/>
  <c r="Q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Y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AF12" i="17" l="1"/>
  <c r="Y9" i="17"/>
  <c r="J41" i="17"/>
  <c r="Y4" i="17"/>
  <c r="Y12" i="17"/>
  <c r="Y6" i="17"/>
  <c r="Y10" i="17"/>
  <c r="L46" i="17" s="1"/>
  <c r="Y7" i="17"/>
  <c r="Y8" i="17"/>
  <c r="J39" i="17"/>
  <c r="Z11" i="17"/>
  <c r="Z8" i="17"/>
  <c r="Z4" i="17"/>
  <c r="Z10" i="17"/>
  <c r="Z7" i="17"/>
  <c r="Z3" i="17"/>
  <c r="Z9" i="17"/>
  <c r="Z5" i="17"/>
  <c r="Z2" i="17"/>
  <c r="Z6" i="17"/>
  <c r="J40" i="17"/>
  <c r="J43" i="17"/>
  <c r="J42" i="17"/>
  <c r="Q40" i="17"/>
  <c r="J38" i="17"/>
  <c r="J34" i="17"/>
  <c r="Q34" i="17"/>
  <c r="J46" i="17" l="1"/>
  <c r="K46" i="17"/>
  <c r="AR4" i="17" s="1"/>
  <c r="AS4" i="17" s="1"/>
  <c r="AA5" i="17"/>
  <c r="AB5" i="17" s="1"/>
  <c r="AC5" i="17"/>
  <c r="AA10" i="17"/>
  <c r="AB10" i="17" s="1"/>
  <c r="AC10" i="17"/>
  <c r="L40" i="17"/>
  <c r="M40" i="17" s="1"/>
  <c r="AC9" i="17"/>
  <c r="AA9" i="17"/>
  <c r="AB9" i="17" s="1"/>
  <c r="AA4" i="17"/>
  <c r="AB4" i="17" s="1"/>
  <c r="AC4" i="17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A6" i="17"/>
  <c r="AB6" i="17" s="1"/>
  <c r="AA3" i="17"/>
  <c r="AB3" i="17" s="1"/>
  <c r="AC3" i="17"/>
  <c r="AC8" i="17"/>
  <c r="AA8" i="17"/>
  <c r="AB8" i="17" s="1"/>
  <c r="AA2" i="17"/>
  <c r="AC2" i="17"/>
  <c r="AA7" i="17"/>
  <c r="AB7" i="17" s="1"/>
  <c r="AC7" i="17"/>
  <c r="AC11" i="17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T4" i="16" l="1"/>
  <c r="AP9" i="17"/>
  <c r="AP6" i="17"/>
  <c r="AH11" i="16"/>
  <c r="AI11" i="16" s="1"/>
  <c r="AA14" i="16"/>
  <c r="AR12" i="17"/>
  <c r="AS12" i="17" s="1"/>
  <c r="AP3" i="17"/>
  <c r="AP8" i="17"/>
  <c r="AR5" i="17"/>
  <c r="AS5" i="17" s="1"/>
  <c r="AR10" i="17"/>
  <c r="AS10" i="17" s="1"/>
  <c r="AR6" i="17"/>
  <c r="AS6" i="17" s="1"/>
  <c r="AR9" i="17"/>
  <c r="AS9" i="17" s="1"/>
  <c r="AD3" i="17"/>
  <c r="AF3" i="17"/>
  <c r="AO11" i="17"/>
  <c r="AN11" i="17" s="1"/>
  <c r="AO13" i="17"/>
  <c r="AN13" i="17" s="1"/>
  <c r="AD4" i="17"/>
  <c r="AF4" i="17"/>
  <c r="AD10" i="17"/>
  <c r="AF10" i="17"/>
  <c r="AP13" i="17"/>
  <c r="AQ13" i="17" s="1"/>
  <c r="AF2" i="17"/>
  <c r="AD2" i="17"/>
  <c r="C2" i="17"/>
  <c r="L2" i="17"/>
  <c r="AH2" i="17"/>
  <c r="AI2" i="17" s="1"/>
  <c r="AQ9" i="17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F11" i="17"/>
  <c r="AQ6" i="17"/>
  <c r="AO6" i="17"/>
  <c r="AN6" i="17" s="1"/>
  <c r="AQ3" i="17"/>
  <c r="AO3" i="17"/>
  <c r="AR11" i="17"/>
  <c r="AS11" i="17" s="1"/>
  <c r="AD5" i="17"/>
  <c r="AF5" i="17"/>
  <c r="AP4" i="17"/>
  <c r="AQ4" i="17" s="1"/>
  <c r="AP7" i="17"/>
  <c r="AQ7" i="17" s="1"/>
  <c r="AP12" i="17"/>
  <c r="AQ12" i="17" s="1"/>
  <c r="AD7" i="17"/>
  <c r="AF7" i="17"/>
  <c r="AD8" i="17"/>
  <c r="AF8" i="17"/>
  <c r="Q44" i="17" s="1"/>
  <c r="AD6" i="17"/>
  <c r="AF6" i="17"/>
  <c r="AQ8" i="17"/>
  <c r="AO8" i="17"/>
  <c r="AN8" i="17" s="1"/>
  <c r="AO5" i="17"/>
  <c r="AN5" i="17" s="1"/>
  <c r="AO10" i="17"/>
  <c r="AN10" i="17" s="1"/>
  <c r="AR3" i="17"/>
  <c r="AD9" i="17"/>
  <c r="AF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J8" i="15" l="1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R41" i="9" l="1"/>
  <c r="V4" i="15"/>
  <c r="W4" i="15" s="1"/>
  <c r="Q43" i="9"/>
  <c r="AH3" i="9"/>
  <c r="AI3" i="9" s="1"/>
  <c r="AH6" i="9"/>
  <c r="AI6" i="9" s="1"/>
  <c r="AH14" i="9"/>
  <c r="AI14" i="9" s="1"/>
  <c r="AF57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AA4" i="14" s="1"/>
  <c r="AB4" i="14" s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<sst xmlns="http://schemas.openxmlformats.org/spreadsheetml/2006/main" count="2035" uniqueCount="352">
  <si>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</si>
  <si>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</si>
  <si>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</si>
  <si>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</si>
  <si>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</si>
  <si>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</si>
  <si>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</si>
  <si>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</si>
  <si>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</si>
  <si>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</si>
  <si>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</si>
  <si>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</si>
  <si>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</si>
  <si>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</si>
  <si>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</si>
  <si>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</si>
  <si>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</si>
  <si>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</si>
  <si>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</si>
  <si>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</si>
  <si>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</si>
  <si>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</si>
  <si>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</si>
  <si>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</si>
  <si>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</si>
  <si>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</si>
  <si>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</si>
  <si>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</si>
  <si>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</si>
  <si>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</si>
  <si>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</si>
  <si>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</si>
  <si>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</si>
  <si>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</si>
  <si>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</si>
  <si>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</si>
  <si>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</si>
  <si>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</si>
  <si>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</si>
  <si>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</si>
  <si>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</si>
  <si>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</si>
  <si>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</si>
  <si>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</si>
  <si>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</si>
  <si>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</si>
  <si>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</si>
  <si>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</si>
  <si>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</si>
  <si>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</si>
  <si>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</si>
  <si>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</si>
  <si>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</si>
  <si>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</si>
  <si>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</si>
  <si>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</si>
  <si>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</si>
  <si>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</si>
  <si>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</si>
  <si>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</si>
  <si>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</si>
  <si>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</si>
  <si>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</si>
  <si>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</si>
  <si>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</si>
  <si>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</si>
  <si>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</si>
  <si>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</si>
  <si>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</si>
  <si>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</si>
  <si>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</si>
  <si>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</si>
  <si>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</si>
  <si>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</si>
  <si>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</si>
  <si>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</si>
  <si>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</si>
  <si>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</si>
  <si>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</si>
  <si>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</si>
  <si>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</si>
  <si>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</si>
  <si>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</si>
  <si>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</si>
  <si>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</si>
  <si>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</si>
  <si>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</si>
  <si>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</si>
  <si>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</si>
  <si>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</si>
  <si>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</si>
  <si>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</si>
  <si>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</si>
  <si>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</si>
  <si>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</si>
  <si>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</si>
  <si>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</si>
  <si>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</si>
  <si>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</si>
  <si>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</si>
  <si>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</si>
  <si>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</si>
  <si>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</si>
  <si>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</si>
  <si>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</si>
  <si>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</si>
  <si>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</si>
  <si>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</si>
  <si>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</si>
  <si>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</si>
  <si>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</si>
  <si>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</si>
  <si>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</si>
  <si>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</si>
  <si>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</si>
  <si>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</si>
  <si>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</si>
  <si>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</si>
  <si>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</si>
  <si>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</si>
  <si>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</si>
  <si>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</si>
  <si>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</si>
  <si>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</si>
  <si>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</si>
  <si>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</si>
  <si>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</si>
  <si>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</si>
  <si>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</si>
  <si>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</si>
  <si>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</si>
  <si>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</si>
  <si>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</si>
  <si>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</si>
  <si>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</si>
  <si>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</si>
  <si>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</si>
  <si>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</si>
  <si>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</si>
  <si>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</si>
  <si>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</si>
  <si>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</si>
  <si>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</si>
  <si>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</si>
  <si>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</si>
  <si>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</si>
  <si>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</si>
  <si>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</si>
  <si>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</si>
  <si>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</si>
  <si>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</si>
  <si>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</si>
  <si>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</si>
  <si>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</si>
  <si>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</si>
  <si>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</si>
  <si>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</si>
  <si>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</si>
  <si>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</si>
  <si>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</si>
  <si>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</si>
  <si>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</si>
  <si>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</si>
  <si>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</si>
  <si>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</si>
  <si>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</si>
  <si>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</si>
  <si>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</si>
  <si>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</si>
  <si>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</si>
  <si>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</si>
  <si>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</si>
  <si>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</si>
  <si>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</si>
  <si>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</si>
  <si>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</si>
  <si>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</si>
  <si>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</si>
  <si>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</si>
  <si>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</si>
  <si>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</si>
  <si>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</si>
  <si>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</si>
  <si>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</si>
  <si>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</si>
  <si>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</si>
  <si>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</si>
  <si>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</si>
  <si>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</si>
  <si>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</si>
  <si>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</si>
  <si>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</si>
  <si>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</si>
  <si>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</si>
  <si>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</si>
  <si>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</si>
  <si>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</si>
  <si>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</si>
  <si>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</si>
  <si>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</si>
  <si>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</si>
  <si>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</si>
  <si>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</si>
  <si>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</si>
  <si>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</si>
  <si>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</si>
  <si>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</si>
  <si>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</si>
  <si>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</si>
  <si>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</si>
  <si>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</si>
  <si>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</si>
  <si>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</si>
  <si>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</si>
  <si>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</si>
  <si>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</si>
  <si>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</si>
  <si>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</si>
  <si>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</si>
  <si>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</si>
  <si>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</si>
  <si>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</si>
  <si>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</si>
  <si>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</si>
  <si>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</si>
  <si>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</si>
  <si>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</si>
  <si>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</si>
  <si>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</si>
  <si>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</si>
  <si>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</si>
  <si>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</si>
  <si>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</si>
  <si>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</si>
  <si>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</si>
  <si>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</si>
  <si>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</si>
  <si>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</si>
  <si>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</si>
  <si>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</si>
  <si>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</si>
  <si>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</si>
  <si>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</si>
  <si>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</si>
  <si>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</si>
  <si>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</si>
  <si>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</si>
  <si>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</si>
  <si>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</si>
  <si>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</si>
  <si>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</si>
  <si>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</si>
  <si>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</si>
  <si>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</si>
  <si>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</si>
  <si>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</si>
  <si>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</si>
  <si>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</si>
  <si>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</si>
  <si>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</si>
  <si>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</si>
  <si>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</si>
  <si>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</si>
  <si>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</si>
  <si>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</si>
  <si>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</si>
  <si>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</si>
  <si>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</si>
  <si>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</si>
  <si>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</si>
  <si>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</si>
  <si>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</si>
  <si>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</si>
  <si>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</si>
  <si>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</si>
  <si>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</si>
  <si>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</si>
  <si>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</si>
  <si>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</si>
  <si>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</si>
  <si>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</si>
  <si>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</si>
  <si>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</si>
  <si>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</si>
  <si>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</si>
  <si>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</si>
  <si>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</si>
  <si>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</si>
  <si>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</si>
  <si>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</si>
  <si>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</si>
  <si>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</si>
  <si>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</si>
  <si>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</si>
  <si>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</si>
  <si>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</si>
  <si>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</si>
  <si>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</si>
  <si>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</si>
  <si>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</si>
  <si>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</si>
  <si>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</si>
  <si>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</si>
  <si>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</si>
  <si>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</si>
  <si>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</si>
  <si>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</si>
  <si>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</si>
  <si>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</si>
  <si>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</si>
  <si>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</si>
  <si>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</si>
  <si>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</si>
  <si>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</si>
  <si>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</si>
  <si>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</si>
  <si>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</si>
  <si>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</si>
  <si>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</si>
  <si>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</si>
  <si>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</si>
  <si>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</si>
  <si>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</si>
  <si>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</si>
  <si>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</si>
  <si>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</si>
  <si>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</si>
  <si>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</si>
  <si>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</si>
  <si>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</si>
  <si>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</si>
  <si>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</si>
  <si>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</si>
  <si>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</si>
  <si>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</si>
  <si>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</si>
  <si>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</si>
  <si>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</si>
  <si>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</si>
  <si>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</si>
  <si>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</si>
  <si>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</si>
  <si>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</si>
  <si>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</si>
  <si>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From fr5_a_t_e_gb_ta.xlsx</t>
  </si>
  <si>
    <t>Meas TauT5, s</t>
  </si>
  <si>
    <t>// Ard_Turn_ESC_Gb_T5 - myCLAW.h KIT 5</t>
  </si>
  <si>
    <t>Kit</t>
  </si>
  <si>
    <t>dV, m/s</t>
  </si>
  <si>
    <t>TauT, s</t>
  </si>
  <si>
    <t>Ng-Nt, %</t>
  </si>
  <si>
    <t>Cal dN,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</si>
</sst>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20896"/>
        <c:axId val="353931264"/>
      </c:scatterChart>
      <c:valAx>
        <c:axId val="3539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931264"/>
        <c:crosses val="autoZero"/>
        <c:crossBetween val="midCat"/>
      </c:valAx>
      <c:valAx>
        <c:axId val="35393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5392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49696"/>
        <c:axId val="395805824"/>
      </c:scatterChart>
      <c:valAx>
        <c:axId val="3955496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95805824"/>
        <c:crosses val="autoZero"/>
        <c:crossBetween val="midCat"/>
      </c:valAx>
      <c:valAx>
        <c:axId val="39580582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5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37088"/>
        <c:axId val="406139648"/>
      </c:scatterChart>
      <c:valAx>
        <c:axId val="406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06139648"/>
        <c:crosses val="autoZero"/>
        <c:crossBetween val="midCat"/>
      </c:valAx>
      <c:valAx>
        <c:axId val="406139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0613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61280"/>
        <c:axId val="406323200"/>
      </c:scatterChart>
      <c:valAx>
        <c:axId val="4061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6323200"/>
        <c:crosses val="autoZero"/>
        <c:crossBetween val="midCat"/>
      </c:valAx>
      <c:valAx>
        <c:axId val="4063232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06161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40736"/>
        <c:axId val="406342656"/>
      </c:scatterChart>
      <c:valAx>
        <c:axId val="4063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342656"/>
        <c:crosses val="autoZero"/>
        <c:crossBetween val="midCat"/>
      </c:valAx>
      <c:valAx>
        <c:axId val="406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34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01120"/>
        <c:axId val="416103040"/>
      </c:scatterChart>
      <c:valAx>
        <c:axId val="4161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03040"/>
        <c:crosses val="autoZero"/>
        <c:crossBetween val="midCat"/>
      </c:valAx>
      <c:valAx>
        <c:axId val="41610304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61011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34656"/>
        <c:axId val="416136576"/>
      </c:scatterChart>
      <c:valAx>
        <c:axId val="4161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136576"/>
        <c:crosses val="autoZero"/>
        <c:crossBetween val="midCat"/>
      </c:valAx>
      <c:valAx>
        <c:axId val="4161365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6134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40384"/>
        <c:axId val="416241920"/>
      </c:scatterChart>
      <c:valAx>
        <c:axId val="4162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41920"/>
        <c:crosses val="autoZero"/>
        <c:crossBetween val="midCat"/>
      </c:valAx>
      <c:valAx>
        <c:axId val="416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55360"/>
        <c:axId val="416273920"/>
      </c:scatterChart>
      <c:valAx>
        <c:axId val="4162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6273920"/>
        <c:crosses val="autoZero"/>
        <c:crossBetween val="midCat"/>
      </c:valAx>
      <c:valAx>
        <c:axId val="4162739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62553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76096"/>
        <c:axId val="422278272"/>
      </c:scatterChart>
      <c:valAx>
        <c:axId val="4222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2278272"/>
        <c:crosses val="autoZero"/>
        <c:crossBetween val="midCat"/>
      </c:valAx>
      <c:valAx>
        <c:axId val="4222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22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28512"/>
        <c:axId val="422530432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42720"/>
        <c:axId val="422540800"/>
      </c:scatterChart>
      <c:valAx>
        <c:axId val="422528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2530432"/>
        <c:crossesAt val="-40"/>
        <c:crossBetween val="midCat"/>
        <c:majorUnit val="20"/>
      </c:valAx>
      <c:valAx>
        <c:axId val="4225304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2528512"/>
        <c:crosses val="autoZero"/>
        <c:crossBetween val="midCat"/>
      </c:valAx>
      <c:valAx>
        <c:axId val="4225408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2542720"/>
        <c:crosses val="max"/>
        <c:crossBetween val="midCat"/>
        <c:majorUnit val="40"/>
      </c:valAx>
      <c:valAx>
        <c:axId val="4225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5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74592"/>
        <c:axId val="382576896"/>
      </c:scatterChart>
      <c:valAx>
        <c:axId val="3825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576896"/>
        <c:crosses val="autoZero"/>
        <c:crossBetween val="midCat"/>
      </c:valAx>
      <c:valAx>
        <c:axId val="38257689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82574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23360"/>
        <c:axId val="435825280"/>
      </c:scatterChart>
      <c:valAx>
        <c:axId val="4358233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5825280"/>
        <c:crosses val="autoZero"/>
        <c:crossBetween val="midCat"/>
      </c:valAx>
      <c:valAx>
        <c:axId val="435825280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8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64704"/>
        <c:axId val="435866624"/>
      </c:scatterChart>
      <c:valAx>
        <c:axId val="4358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5866624"/>
        <c:crosses val="autoZero"/>
        <c:crossBetween val="midCat"/>
      </c:valAx>
      <c:valAx>
        <c:axId val="435866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58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05600"/>
        <c:axId val="423307520"/>
      </c:scatterChart>
      <c:valAx>
        <c:axId val="42330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23307520"/>
        <c:crosses val="autoZero"/>
        <c:crossBetween val="midCat"/>
      </c:valAx>
      <c:valAx>
        <c:axId val="4233075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2330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25056"/>
        <c:axId val="423355904"/>
      </c:scatterChart>
      <c:valAx>
        <c:axId val="4233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355904"/>
        <c:crosses val="autoZero"/>
        <c:crossBetween val="midCat"/>
      </c:valAx>
      <c:valAx>
        <c:axId val="4233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32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52064"/>
        <c:axId val="436958336"/>
      </c:scatterChart>
      <c:valAx>
        <c:axId val="4369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958336"/>
        <c:crosses val="autoZero"/>
        <c:crossBetween val="midCat"/>
      </c:valAx>
      <c:valAx>
        <c:axId val="436958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6952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94048"/>
        <c:axId val="436995968"/>
      </c:scatterChart>
      <c:valAx>
        <c:axId val="43699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995968"/>
        <c:crosses val="autoZero"/>
        <c:crossBetween val="midCat"/>
      </c:valAx>
      <c:valAx>
        <c:axId val="4369959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69940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13504"/>
        <c:axId val="437043968"/>
      </c:scatterChart>
      <c:valAx>
        <c:axId val="4370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43968"/>
        <c:crosses val="autoZero"/>
        <c:crossBetween val="midCat"/>
      </c:valAx>
      <c:valAx>
        <c:axId val="4370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4128"/>
        <c:axId val="437354496"/>
      </c:scatterChart>
      <c:valAx>
        <c:axId val="4373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354496"/>
        <c:crosses val="autoZero"/>
        <c:crossBetween val="midCat"/>
      </c:valAx>
      <c:valAx>
        <c:axId val="4373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3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31712"/>
        <c:axId val="43773363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41824"/>
        <c:axId val="437739904"/>
      </c:scatterChart>
      <c:valAx>
        <c:axId val="4377317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733632"/>
        <c:crossesAt val="-40"/>
        <c:crossBetween val="midCat"/>
        <c:majorUnit val="20"/>
      </c:valAx>
      <c:valAx>
        <c:axId val="437733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731712"/>
        <c:crosses val="autoZero"/>
        <c:crossBetween val="midCat"/>
      </c:valAx>
      <c:valAx>
        <c:axId val="4377399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741824"/>
        <c:crosses val="max"/>
        <c:crossBetween val="midCat"/>
        <c:majorUnit val="40"/>
      </c:valAx>
      <c:valAx>
        <c:axId val="4377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73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79840"/>
        <c:axId val="437786112"/>
      </c:scatterChart>
      <c:valAx>
        <c:axId val="4377798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786112"/>
        <c:crosses val="autoZero"/>
        <c:crossBetween val="midCat"/>
      </c:valAx>
      <c:valAx>
        <c:axId val="43778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77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58688"/>
        <c:axId val="385069056"/>
      </c:scatterChart>
      <c:valAx>
        <c:axId val="38505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69056"/>
        <c:crosses val="autoZero"/>
        <c:crossBetween val="midCat"/>
      </c:valAx>
      <c:valAx>
        <c:axId val="3850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29632"/>
        <c:axId val="437831552"/>
      </c:scatterChart>
      <c:valAx>
        <c:axId val="4378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831552"/>
        <c:crosses val="autoZero"/>
        <c:crossBetween val="midCat"/>
      </c:valAx>
      <c:valAx>
        <c:axId val="43783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782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18720"/>
        <c:axId val="437937280"/>
      </c:scatterChart>
      <c:valAx>
        <c:axId val="4379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7937280"/>
        <c:crosses val="autoZero"/>
        <c:crossBetween val="midCat"/>
      </c:valAx>
      <c:valAx>
        <c:axId val="4379372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3791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3008"/>
        <c:axId val="437969280"/>
      </c:scatterChart>
      <c:valAx>
        <c:axId val="4379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969280"/>
        <c:crosses val="autoZero"/>
        <c:crossBetween val="midCat"/>
      </c:valAx>
      <c:valAx>
        <c:axId val="437969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37963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18400"/>
        <c:axId val="439328768"/>
      </c:scatterChart>
      <c:valAx>
        <c:axId val="4393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328768"/>
        <c:crosses val="autoZero"/>
        <c:crossBetween val="midCat"/>
      </c:valAx>
      <c:valAx>
        <c:axId val="4393287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93184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47840"/>
        <c:axId val="439882496"/>
      </c:scatterChart>
      <c:valAx>
        <c:axId val="4393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882496"/>
        <c:crosses val="autoZero"/>
        <c:crossBetween val="midCat"/>
      </c:valAx>
      <c:valAx>
        <c:axId val="4398824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393478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11552"/>
        <c:axId val="439913088"/>
      </c:scatterChart>
      <c:valAx>
        <c:axId val="439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13088"/>
        <c:crosses val="autoZero"/>
        <c:crossBetween val="midCat"/>
        <c:majorUnit val="20"/>
      </c:valAx>
      <c:valAx>
        <c:axId val="4399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9776"/>
        <c:axId val="439101312"/>
      </c:scatterChart>
      <c:valAx>
        <c:axId val="43909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9101312"/>
        <c:crosses val="autoZero"/>
        <c:crossBetween val="midCat"/>
      </c:valAx>
      <c:valAx>
        <c:axId val="4391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909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42656"/>
        <c:axId val="43915712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9408"/>
        <c:axId val="439159040"/>
      </c:scatterChart>
      <c:valAx>
        <c:axId val="4391426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9157120"/>
        <c:crossesAt val="-40"/>
        <c:crossBetween val="midCat"/>
        <c:majorUnit val="20"/>
      </c:valAx>
      <c:valAx>
        <c:axId val="4391571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9142656"/>
        <c:crosses val="autoZero"/>
        <c:crossBetween val="midCat"/>
      </c:valAx>
      <c:valAx>
        <c:axId val="4391590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39169408"/>
        <c:crosses val="max"/>
        <c:crossBetween val="midCat"/>
        <c:majorUnit val="40"/>
      </c:valAx>
      <c:valAx>
        <c:axId val="4391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1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26624"/>
        <c:axId val="440028544"/>
      </c:scatterChart>
      <c:valAx>
        <c:axId val="4400266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0028544"/>
        <c:crosses val="autoZero"/>
        <c:crossBetween val="midCat"/>
      </c:valAx>
      <c:valAx>
        <c:axId val="44002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4002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63872"/>
        <c:axId val="440070144"/>
      </c:scatterChart>
      <c:valAx>
        <c:axId val="4400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0070144"/>
        <c:crosses val="autoZero"/>
        <c:crossBetween val="midCat"/>
      </c:valAx>
      <c:valAx>
        <c:axId val="440070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006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tauFiddle!$G$1</c:f>
              <c:strCache>
                <c:ptCount val="1"/>
                <c:pt idx="0">
                  <c:v>Cal dN, %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tauFiddle!$F$2:$F$6</c:f>
              <c:numCache>
                <c:formatCode>General</c:formatCode>
                <c:ptCount val="5"/>
                <c:pt idx="0">
                  <c:v>13.299999999999997</c:v>
                </c:pt>
                <c:pt idx="1">
                  <c:v>14.899999999999999</c:v>
                </c:pt>
                <c:pt idx="2">
                  <c:v>14.899999999999999</c:v>
                </c:pt>
                <c:pt idx="3">
                  <c:v>14.999999999999996</c:v>
                </c:pt>
                <c:pt idx="4">
                  <c:v>19.5</c:v>
                </c:pt>
              </c:numCache>
            </c:numRef>
          </c:xVal>
          <c:yVal>
            <c:numRef>
              <c:f>tauFiddle!$G$2:$G$6</c:f>
              <c:numCache>
                <c:formatCode>General</c:formatCode>
                <c:ptCount val="5"/>
                <c:pt idx="0">
                  <c:v>12.6</c:v>
                </c:pt>
                <c:pt idx="1">
                  <c:v>12.99</c:v>
                </c:pt>
                <c:pt idx="2">
                  <c:v>13.9</c:v>
                </c:pt>
                <c:pt idx="3">
                  <c:v>14.36</c:v>
                </c:pt>
                <c:pt idx="4">
                  <c:v>19.239999999999998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90752"/>
        <c:axId val="354029568"/>
      </c:scatterChart>
      <c:valAx>
        <c:axId val="3812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029568"/>
        <c:crosses val="autoZero"/>
        <c:crossBetween val="midCat"/>
      </c:valAx>
      <c:valAx>
        <c:axId val="3540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29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97280"/>
        <c:axId val="440499200"/>
      </c:scatterChart>
      <c:valAx>
        <c:axId val="4404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0499200"/>
        <c:crosses val="autoZero"/>
        <c:crossBetween val="midCat"/>
      </c:valAx>
      <c:valAx>
        <c:axId val="44049920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049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29280"/>
        <c:axId val="440531200"/>
      </c:scatterChart>
      <c:valAx>
        <c:axId val="4405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31200"/>
        <c:crosses val="autoZero"/>
        <c:crossBetween val="midCat"/>
      </c:valAx>
      <c:valAx>
        <c:axId val="440531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052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98240"/>
        <c:axId val="441100160"/>
      </c:scatterChart>
      <c:valAx>
        <c:axId val="441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100160"/>
        <c:crosses val="autoZero"/>
        <c:crossBetween val="midCat"/>
      </c:valAx>
      <c:valAx>
        <c:axId val="4411001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10982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89824"/>
        <c:axId val="441391744"/>
      </c:scatterChart>
      <c:valAx>
        <c:axId val="4413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391744"/>
        <c:crosses val="autoZero"/>
        <c:crossBetween val="midCat"/>
      </c:valAx>
      <c:valAx>
        <c:axId val="4413917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13898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51520"/>
        <c:axId val="447453440"/>
      </c:scatterChart>
      <c:valAx>
        <c:axId val="44745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453440"/>
        <c:crosses val="autoZero"/>
        <c:crossBetween val="midCat"/>
      </c:valAx>
      <c:valAx>
        <c:axId val="4474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45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00288"/>
        <c:axId val="447910656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31136"/>
        <c:axId val="447912576"/>
      </c:scatterChart>
      <c:valAx>
        <c:axId val="4479002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10656"/>
        <c:crossesAt val="-40"/>
        <c:crossBetween val="midCat"/>
        <c:majorUnit val="20"/>
      </c:valAx>
      <c:valAx>
        <c:axId val="4479106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00288"/>
        <c:crosses val="autoZero"/>
        <c:crossBetween val="midCat"/>
      </c:valAx>
      <c:valAx>
        <c:axId val="4479125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31136"/>
        <c:crosses val="max"/>
        <c:crossBetween val="midCat"/>
        <c:majorUnit val="40"/>
      </c:valAx>
      <c:valAx>
        <c:axId val="4479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91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8848"/>
        <c:axId val="447373312"/>
      </c:scatterChart>
      <c:valAx>
        <c:axId val="44735884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7373312"/>
        <c:crosses val="autoZero"/>
        <c:crossBetween val="midCat"/>
      </c:valAx>
      <c:valAx>
        <c:axId val="447373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4735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82112"/>
        <c:axId val="447496576"/>
      </c:scatterChart>
      <c:valAx>
        <c:axId val="4474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496576"/>
        <c:crosses val="autoZero"/>
        <c:crossBetween val="midCat"/>
      </c:valAx>
      <c:valAx>
        <c:axId val="44749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4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26400"/>
        <c:axId val="447528320"/>
      </c:scatterChart>
      <c:valAx>
        <c:axId val="44752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7528320"/>
        <c:crosses val="autoZero"/>
        <c:crossBetween val="midCat"/>
      </c:valAx>
      <c:valAx>
        <c:axId val="4475283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7526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69120"/>
        <c:axId val="448871040"/>
      </c:scatterChart>
      <c:valAx>
        <c:axId val="44886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871040"/>
        <c:crosses val="autoZero"/>
        <c:crossBetween val="midCat"/>
      </c:valAx>
      <c:valAx>
        <c:axId val="4488710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88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tauFiddle!$D$2:$D$6</c:f>
              <c:numCache>
                <c:formatCode>General</c:formatCode>
                <c:ptCount val="5"/>
                <c:pt idx="0">
                  <c:v>20.6</c:v>
                </c:pt>
                <c:pt idx="1">
                  <c:v>26.6</c:v>
                </c:pt>
                <c:pt idx="2">
                  <c:v>24</c:v>
                </c:pt>
                <c:pt idx="3">
                  <c:v>28.8</c:v>
                </c:pt>
                <c:pt idx="4">
                  <c:v>16.600000000000001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24032"/>
        <c:axId val="454560384"/>
      </c:scatterChart>
      <c:valAx>
        <c:axId val="4553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4560384"/>
        <c:crosses val="autoZero"/>
        <c:crossBetween val="midCat"/>
      </c:valAx>
      <c:valAx>
        <c:axId val="4545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32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1504"/>
        <c:axId val="448903424"/>
      </c:scatterChart>
      <c:valAx>
        <c:axId val="44890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903424"/>
        <c:crosses val="autoZero"/>
        <c:crossBetween val="midCat"/>
      </c:valAx>
      <c:valAx>
        <c:axId val="4489034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89015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16256"/>
        <c:axId val="448818176"/>
      </c:scatterChart>
      <c:valAx>
        <c:axId val="4488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818176"/>
        <c:crosses val="autoZero"/>
        <c:crossBetween val="midCat"/>
      </c:valAx>
      <c:valAx>
        <c:axId val="4488181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88162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66688"/>
        <c:axId val="448068224"/>
      </c:scatterChart>
      <c:valAx>
        <c:axId val="4480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068224"/>
        <c:crosses val="autoZero"/>
        <c:crossBetween val="midCat"/>
      </c:valAx>
      <c:valAx>
        <c:axId val="4480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0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2592"/>
        <c:axId val="447992960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01152"/>
        <c:axId val="447994880"/>
      </c:scatterChart>
      <c:valAx>
        <c:axId val="4479825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92960"/>
        <c:crossesAt val="-40"/>
        <c:crossBetween val="midCat"/>
        <c:majorUnit val="20"/>
      </c:valAx>
      <c:valAx>
        <c:axId val="4479929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82592"/>
        <c:crosses val="autoZero"/>
        <c:crossBetween val="midCat"/>
      </c:valAx>
      <c:valAx>
        <c:axId val="4479948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001152"/>
        <c:crosses val="max"/>
        <c:crossBetween val="midCat"/>
        <c:majorUnit val="40"/>
      </c:valAx>
      <c:valAx>
        <c:axId val="4480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9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38304"/>
        <c:axId val="449548672"/>
      </c:scatterChart>
      <c:valAx>
        <c:axId val="449538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9548672"/>
        <c:crosses val="autoZero"/>
        <c:crossBetween val="midCat"/>
      </c:valAx>
      <c:valAx>
        <c:axId val="4495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4953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41952"/>
        <c:axId val="448144128"/>
      </c:scatterChart>
      <c:valAx>
        <c:axId val="4481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144128"/>
        <c:crosses val="autoZero"/>
        <c:crossBetween val="midCat"/>
      </c:valAx>
      <c:valAx>
        <c:axId val="448144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14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98528"/>
        <c:axId val="449527808"/>
      </c:scatterChart>
      <c:valAx>
        <c:axId val="4481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9527808"/>
        <c:crosses val="autoZero"/>
        <c:crossBetween val="midCat"/>
      </c:valAx>
      <c:valAx>
        <c:axId val="4495278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819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58624"/>
        <c:axId val="449260544"/>
      </c:scatterChart>
      <c:valAx>
        <c:axId val="4492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260544"/>
        <c:crosses val="autoZero"/>
        <c:crossBetween val="midCat"/>
      </c:valAx>
      <c:valAx>
        <c:axId val="449260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925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Ard5_Turn5_ESC5_G5b_T5a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0.3248623736862859</c:v>
                </c:pt>
                <c:pt idx="1">
                  <c:v>0.22349259111516021</c:v>
                </c:pt>
                <c:pt idx="2">
                  <c:v>0.13367641163480984</c:v>
                </c:pt>
                <c:pt idx="3">
                  <c:v>8.5000000000000006E-2</c:v>
                </c:pt>
                <c:pt idx="4">
                  <c:v>7.394637015433686E-2</c:v>
                </c:pt>
                <c:pt idx="5">
                  <c:v>6.7384633787076362E-2</c:v>
                </c:pt>
                <c:pt idx="6">
                  <c:v>5.5414374319019744E-2</c:v>
                </c:pt>
                <c:pt idx="7">
                  <c:v>3.9087988505800683E-2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1488"/>
        <c:axId val="449313408"/>
      </c:scatterChart>
      <c:valAx>
        <c:axId val="44931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13408"/>
        <c:crosses val="autoZero"/>
        <c:crossBetween val="midCat"/>
      </c:valAx>
      <c:valAx>
        <c:axId val="449313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93114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Ard_Turn_ESC_Gb_Ta!$K$37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Ard_Turn_ESC_Gb_Ta!$AN$6:$AN$12</c:f>
              <c:numCache>
                <c:formatCode>0.0</c:formatCode>
                <c:ptCount val="7"/>
                <c:pt idx="0">
                  <c:v>23.940349199014673</c:v>
                </c:pt>
                <c:pt idx="1">
                  <c:v>35.02851083535257</c:v>
                </c:pt>
                <c:pt idx="2">
                  <c:v>45.937348737746348</c:v>
                </c:pt>
                <c:pt idx="3">
                  <c:v>50.863217835131309</c:v>
                </c:pt>
                <c:pt idx="4">
                  <c:v>55.03577694275797</c:v>
                </c:pt>
                <c:pt idx="5">
                  <c:v>61.034642074399542</c:v>
                </c:pt>
                <c:pt idx="6">
                  <c:v>69.516378008191268</c:v>
                </c:pt>
              </c:numCache>
            </c:numRef>
          </c:xVal>
          <c:yVal>
            <c:numRef>
              <c:f>Ard_Turn_ESC_Gb_Ta!$AU$6:$AU$12</c:f>
              <c:numCache>
                <c:formatCode>0.000</c:formatCode>
                <c:ptCount val="7"/>
                <c:pt idx="0">
                  <c:v>0.22349259111516021</c:v>
                </c:pt>
                <c:pt idx="1">
                  <c:v>0.13367641163480984</c:v>
                </c:pt>
                <c:pt idx="2">
                  <c:v>8.5000000000000006E-2</c:v>
                </c:pt>
                <c:pt idx="3">
                  <c:v>7.394637015433686E-2</c:v>
                </c:pt>
                <c:pt idx="4">
                  <c:v>6.7384633787076362E-2</c:v>
                </c:pt>
                <c:pt idx="5">
                  <c:v>5.5414374319019744E-2</c:v>
                </c:pt>
                <c:pt idx="6">
                  <c:v>3.9087988505800683E-2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57312"/>
        <c:axId val="449359232"/>
      </c:scatterChart>
      <c:valAx>
        <c:axId val="44935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359232"/>
        <c:crosses val="autoZero"/>
        <c:crossBetween val="midCat"/>
      </c:valAx>
      <c:valAx>
        <c:axId val="4493592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93573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196850393700793E-2"/>
          <c:y val="5.5914625255176424E-2"/>
          <c:w val="0.726415354330708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39328"/>
        <c:axId val="464185216"/>
      </c:scatterChart>
      <c:valAx>
        <c:axId val="4643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185216"/>
        <c:crosses val="autoZero"/>
        <c:crossBetween val="midCat"/>
      </c:valAx>
      <c:valAx>
        <c:axId val="4641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92096"/>
        <c:axId val="449494016"/>
      </c:scatterChart>
      <c:valAx>
        <c:axId val="4494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9494016"/>
        <c:crosses val="autoZero"/>
        <c:crossBetween val="midCat"/>
      </c:valAx>
      <c:valAx>
        <c:axId val="449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94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98368"/>
        <c:axId val="448304640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12832"/>
        <c:axId val="448306560"/>
      </c:scatterChart>
      <c:valAx>
        <c:axId val="4482983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304640"/>
        <c:crossesAt val="-40"/>
        <c:crossBetween val="midCat"/>
        <c:majorUnit val="20"/>
      </c:valAx>
      <c:valAx>
        <c:axId val="4483046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298368"/>
        <c:crosses val="autoZero"/>
        <c:crossBetween val="midCat"/>
      </c:valAx>
      <c:valAx>
        <c:axId val="448306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312832"/>
        <c:crosses val="max"/>
        <c:crossBetween val="midCat"/>
        <c:majorUnit val="40"/>
      </c:valAx>
      <c:valAx>
        <c:axId val="4483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3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59040"/>
        <c:axId val="448361216"/>
      </c:scatterChart>
      <c:valAx>
        <c:axId val="4483590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8361216"/>
        <c:crosses val="autoZero"/>
        <c:crossBetween val="midCat"/>
      </c:valAx>
      <c:valAx>
        <c:axId val="448361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44835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388096"/>
        <c:axId val="448468096"/>
      </c:scatterChart>
      <c:valAx>
        <c:axId val="44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468096"/>
        <c:crosses val="autoZero"/>
        <c:crossBetween val="midCat"/>
      </c:valAx>
      <c:valAx>
        <c:axId val="448468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38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7920"/>
        <c:axId val="448504192"/>
      </c:scatterChart>
      <c:valAx>
        <c:axId val="448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8504192"/>
        <c:crosses val="autoZero"/>
        <c:crossBetween val="midCat"/>
      </c:valAx>
      <c:valAx>
        <c:axId val="4485041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849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22240"/>
        <c:axId val="453324160"/>
      </c:scatterChart>
      <c:valAx>
        <c:axId val="4533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324160"/>
        <c:crosses val="autoZero"/>
        <c:crossBetween val="midCat"/>
      </c:valAx>
      <c:valAx>
        <c:axId val="4533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32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62816"/>
        <c:axId val="453364736"/>
      </c:scatterChart>
      <c:valAx>
        <c:axId val="4533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364736"/>
        <c:crosses val="autoZero"/>
        <c:crossBetween val="midCat"/>
      </c:valAx>
      <c:valAx>
        <c:axId val="4533647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3362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27040"/>
        <c:axId val="449941504"/>
      </c:scatterChart>
      <c:valAx>
        <c:axId val="4499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9941504"/>
        <c:crosses val="autoZero"/>
        <c:crossBetween val="midCat"/>
      </c:valAx>
      <c:valAx>
        <c:axId val="4499415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99270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15456"/>
        <c:axId val="453717376"/>
      </c:scatterChart>
      <c:valAx>
        <c:axId val="4537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7376"/>
        <c:crosses val="autoZero"/>
        <c:crossBetween val="midCat"/>
      </c:valAx>
      <c:valAx>
        <c:axId val="453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16032"/>
        <c:axId val="454317952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22048"/>
        <c:axId val="454320128"/>
      </c:scatterChart>
      <c:valAx>
        <c:axId val="4543160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7952"/>
        <c:crossesAt val="-40"/>
        <c:crossBetween val="midCat"/>
        <c:majorUnit val="20"/>
      </c:valAx>
      <c:valAx>
        <c:axId val="4543179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6032"/>
        <c:crosses val="autoZero"/>
        <c:crossBetween val="midCat"/>
      </c:valAx>
      <c:valAx>
        <c:axId val="4543201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22048"/>
        <c:crosses val="max"/>
        <c:crossBetween val="midCat"/>
        <c:majorUnit val="40"/>
      </c:valAx>
      <c:valAx>
        <c:axId val="4543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tauFiddle!$E$1</c:f>
              <c:strCache>
                <c:ptCount val="1"/>
                <c:pt idx="0">
                  <c:v>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tauFiddle!$C$2:$C$6</c:f>
              <c:numCache>
                <c:formatCode>General</c:formatCode>
                <c:ptCount val="5"/>
                <c:pt idx="0">
                  <c:v>33.9</c:v>
                </c:pt>
                <c:pt idx="1">
                  <c:v>41.5</c:v>
                </c:pt>
                <c:pt idx="2">
                  <c:v>38.9</c:v>
                </c:pt>
                <c:pt idx="3">
                  <c:v>43.8</c:v>
                </c:pt>
                <c:pt idx="4">
                  <c:v>36.1</c:v>
                </c:pt>
              </c:numCache>
            </c:numRef>
          </c:xVal>
          <c:yVal>
            <c:numRef>
              <c:f>tauFiddle!$E$2:$E$6</c:f>
              <c:numCache>
                <c:formatCode>General</c:formatCode>
                <c:ptCount val="5"/>
                <c:pt idx="0">
                  <c:v>0.36299999999999999</c:v>
                </c:pt>
                <c:pt idx="1">
                  <c:v>0.28699999999999998</c:v>
                </c:pt>
                <c:pt idx="2">
                  <c:v>0.32</c:v>
                </c:pt>
                <c:pt idx="3">
                  <c:v>0.24099999999999999</c:v>
                </c:pt>
                <c:pt idx="4">
                  <c:v>0.32500000000000001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77024"/>
        <c:axId val="425775488"/>
      </c:scatterChart>
      <c:valAx>
        <c:axId val="425777024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775488"/>
        <c:crosses val="autoZero"/>
        <c:crossBetween val="midCat"/>
      </c:valAx>
      <c:valAx>
        <c:axId val="425775488"/>
        <c:scaling>
          <c:orientation val="minMax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777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51872"/>
        <c:axId val="454354048"/>
      </c:scatterChart>
      <c:valAx>
        <c:axId val="4543518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54354048"/>
        <c:crosses val="autoZero"/>
        <c:crossBetween val="midCat"/>
      </c:valAx>
      <c:valAx>
        <c:axId val="45435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435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72864"/>
        <c:axId val="455587328"/>
      </c:scatterChart>
      <c:valAx>
        <c:axId val="455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87328"/>
        <c:crosses val="autoZero"/>
        <c:crossBetween val="midCat"/>
      </c:valAx>
      <c:valAx>
        <c:axId val="455587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19328"/>
        <c:axId val="455620864"/>
      </c:scatterChart>
      <c:valAx>
        <c:axId val="4556193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5620864"/>
        <c:crosses val="autoZero"/>
        <c:crossBetween val="midCat"/>
      </c:valAx>
      <c:valAx>
        <c:axId val="4556208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55619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5152"/>
        <c:axId val="455667072"/>
      </c:scatterChart>
      <c:valAx>
        <c:axId val="45566515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5667072"/>
        <c:crosses val="autoZero"/>
        <c:crossBetween val="midCat"/>
      </c:valAx>
      <c:valAx>
        <c:axId val="45566707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566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10592"/>
        <c:axId val="455712768"/>
      </c:scatterChart>
      <c:valAx>
        <c:axId val="4557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2768"/>
        <c:crosses val="autoZero"/>
        <c:crossBetween val="midCat"/>
      </c:valAx>
      <c:valAx>
        <c:axId val="455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13888"/>
        <c:axId val="457024256"/>
      </c:scatterChart>
      <c:valAx>
        <c:axId val="4570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4256"/>
        <c:crosses val="autoZero"/>
        <c:crossBetween val="midCat"/>
      </c:valAx>
      <c:valAx>
        <c:axId val="457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18784"/>
        <c:axId val="457320704"/>
      </c:scatterChart>
      <c:valAx>
        <c:axId val="4573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0704"/>
        <c:crosses val="autoZero"/>
        <c:crossBetween val="midCat"/>
      </c:valAx>
      <c:valAx>
        <c:axId val="45732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7568"/>
        <c:axId val="457363456"/>
      </c:scatterChart>
      <c:valAx>
        <c:axId val="457357568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457363456"/>
        <c:crosses val="autoZero"/>
        <c:crossBetween val="midCat"/>
        <c:minorUnit val="2"/>
      </c:valAx>
      <c:valAx>
        <c:axId val="45736345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45735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51328"/>
        <c:axId val="457652864"/>
      </c:scatterChart>
      <c:valAx>
        <c:axId val="4576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2864"/>
        <c:crosses val="autoZero"/>
        <c:crossBetween val="midCat"/>
      </c:valAx>
      <c:valAx>
        <c:axId val="457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17184"/>
        <c:axId val="456655232"/>
      </c:scatterChart>
      <c:valAx>
        <c:axId val="4563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55232"/>
        <c:crosses val="autoZero"/>
        <c:crossBetween val="midCat"/>
      </c:valAx>
      <c:valAx>
        <c:axId val="4566552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41632"/>
        <c:axId val="385543552"/>
      </c:scatterChart>
      <c:valAx>
        <c:axId val="3855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5543552"/>
        <c:crosses val="autoZero"/>
        <c:crossBetween val="midCat"/>
      </c:valAx>
      <c:valAx>
        <c:axId val="385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855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05536"/>
        <c:axId val="456707072"/>
      </c:scatterChart>
      <c:valAx>
        <c:axId val="45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7072"/>
        <c:crosses val="autoZero"/>
        <c:crossBetween val="midCat"/>
      </c:valAx>
      <c:valAx>
        <c:axId val="4567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69696"/>
        <c:axId val="439084160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67584"/>
        <c:axId val="439086080"/>
      </c:scatterChart>
      <c:valAx>
        <c:axId val="4390696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4160"/>
        <c:crossesAt val="-40"/>
        <c:crossBetween val="midCat"/>
        <c:majorUnit val="20"/>
      </c:valAx>
      <c:valAx>
        <c:axId val="4390841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9696"/>
        <c:crosses val="autoZero"/>
        <c:crossBetween val="midCat"/>
      </c:valAx>
      <c:valAx>
        <c:axId val="4390860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7584"/>
        <c:crosses val="max"/>
        <c:crossBetween val="midCat"/>
        <c:majorUnit val="40"/>
      </c:valAx>
      <c:valAx>
        <c:axId val="4564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0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93312"/>
        <c:axId val="456503680"/>
      </c:scatterChart>
      <c:valAx>
        <c:axId val="4564933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6503680"/>
        <c:crosses val="autoZero"/>
        <c:crossBetween val="midCat"/>
      </c:valAx>
      <c:valAx>
        <c:axId val="456503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49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046080"/>
        <c:axId val="458056448"/>
      </c:scatterChart>
      <c:valAx>
        <c:axId val="4580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6448"/>
        <c:crosses val="autoZero"/>
        <c:crossBetween val="midCat"/>
      </c:valAx>
      <c:valAx>
        <c:axId val="45805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06752"/>
        <c:axId val="458108288"/>
      </c:scatterChart>
      <c:valAx>
        <c:axId val="4581067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58108288"/>
        <c:crosses val="autoZero"/>
        <c:crossBetween val="midCat"/>
      </c:valAx>
      <c:valAx>
        <c:axId val="4581082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5810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37600"/>
        <c:axId val="458139520"/>
      </c:scatterChart>
      <c:valAx>
        <c:axId val="458137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813952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458139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5813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9728"/>
        <c:axId val="458171904"/>
      </c:scatterChart>
      <c:valAx>
        <c:axId val="4581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171904"/>
        <c:crosses val="autoZero"/>
        <c:crossBetween val="midCat"/>
      </c:valAx>
      <c:valAx>
        <c:axId val="4581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169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05056"/>
        <c:axId val="458206592"/>
      </c:scatterChart>
      <c:valAx>
        <c:axId val="458205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58206592"/>
        <c:crosses val="autoZero"/>
        <c:crossBetween val="midCat"/>
      </c:valAx>
      <c:valAx>
        <c:axId val="458206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58205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3360"/>
        <c:axId val="456785280"/>
      </c:scatterChart>
      <c:valAx>
        <c:axId val="4567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85280"/>
        <c:crosses val="autoZero"/>
        <c:crossBetween val="midCat"/>
      </c:valAx>
      <c:valAx>
        <c:axId val="4567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8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39936"/>
        <c:axId val="456841472"/>
      </c:scatterChart>
      <c:valAx>
        <c:axId val="4568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1472"/>
        <c:crosses val="autoZero"/>
        <c:crossBetween val="midCat"/>
      </c:valAx>
      <c:valAx>
        <c:axId val="456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66400"/>
        <c:axId val="395368320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32160"/>
        <c:axId val="395530240"/>
      </c:scatterChart>
      <c:valAx>
        <c:axId val="3953664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368320"/>
        <c:crossesAt val="-40"/>
        <c:crossBetween val="midCat"/>
        <c:majorUnit val="20"/>
      </c:valAx>
      <c:valAx>
        <c:axId val="395368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366400"/>
        <c:crosses val="autoZero"/>
        <c:crossBetween val="midCat"/>
      </c:valAx>
      <c:valAx>
        <c:axId val="3955302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95532160"/>
        <c:crosses val="max"/>
        <c:crossBetween val="midCat"/>
        <c:majorUnit val="40"/>
      </c:valAx>
      <c:valAx>
        <c:axId val="39553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553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68448"/>
        <c:axId val="45697881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80384"/>
        <c:axId val="456980736"/>
      </c:scatterChart>
      <c:valAx>
        <c:axId val="4569684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78816"/>
        <c:crosses val="autoZero"/>
        <c:crossBetween val="midCat"/>
      </c:valAx>
      <c:valAx>
        <c:axId val="456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8448"/>
        <c:crosses val="autoZero"/>
        <c:crossBetween val="midCat"/>
      </c:valAx>
      <c:valAx>
        <c:axId val="45698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0384"/>
        <c:crosses val="max"/>
        <c:crossBetween val="midCat"/>
      </c:valAx>
      <c:valAx>
        <c:axId val="45928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9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14304"/>
        <c:axId val="459316224"/>
      </c:scatterChart>
      <c:valAx>
        <c:axId val="4593143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9316224"/>
        <c:crosses val="autoZero"/>
        <c:crossBetween val="midCat"/>
      </c:valAx>
      <c:valAx>
        <c:axId val="45931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31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08448"/>
        <c:axId val="459610368"/>
      </c:scatterChart>
      <c:valAx>
        <c:axId val="4596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59610368"/>
        <c:crosses val="autoZero"/>
        <c:crossBetween val="midCat"/>
      </c:valAx>
      <c:valAx>
        <c:axId val="45961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60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49024"/>
        <c:axId val="459650560"/>
      </c:scatterChart>
      <c:valAx>
        <c:axId val="4596490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50560"/>
        <c:crosses val="autoZero"/>
        <c:crossBetween val="midCat"/>
      </c:valAx>
      <c:valAx>
        <c:axId val="459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490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67840"/>
        <c:axId val="460877824"/>
      </c:scatterChart>
      <c:valAx>
        <c:axId val="4608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7824"/>
        <c:crosses val="autoZero"/>
        <c:crossBetween val="midCat"/>
      </c:valAx>
      <c:valAx>
        <c:axId val="4608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6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07264"/>
        <c:axId val="460908800"/>
      </c:scatterChart>
      <c:valAx>
        <c:axId val="4609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8800"/>
        <c:crosses val="autoZero"/>
        <c:crossBetween val="midCat"/>
      </c:valAx>
      <c:valAx>
        <c:axId val="4609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36864"/>
        <c:axId val="460838784"/>
      </c:scatterChart>
      <c:valAx>
        <c:axId val="4608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8784"/>
        <c:crosses val="autoZero"/>
        <c:crossBetween val="midCat"/>
      </c:valAx>
      <c:valAx>
        <c:axId val="460838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3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22</xdr:row>
      <xdr:rowOff>138112</xdr:rowOff>
    </xdr:from>
    <xdr:to>
      <xdr:col>17</xdr:col>
      <xdr:colOff>261937</xdr:colOff>
      <xdr:row>37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6</xdr:row>
      <xdr:rowOff>128587</xdr:rowOff>
    </xdr:from>
    <xdr:to>
      <xdr:col>7</xdr:col>
      <xdr:colOff>452437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</xdr:colOff>
      <xdr:row>6</xdr:row>
      <xdr:rowOff>33337</xdr:rowOff>
    </xdr:from>
    <xdr:to>
      <xdr:col>16</xdr:col>
      <xdr:colOff>376237</xdr:colOff>
      <xdr:row>20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71437</xdr:rowOff>
    </xdr:from>
    <xdr:to>
      <xdr:col>7</xdr:col>
      <xdr:colOff>304800</xdr:colOff>
      <xdr:row>35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25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6.7090339239286205</v>
      </c>
      <c r="AA2" s="174">
        <f>Ard4_Turn4_ESC4_G4b_T4a!P2</f>
        <v>5.9999999999999995E-25</v>
      </c>
      <c r="AB2" s="174">
        <f>AB3</f>
        <v>2477.137024388659</v>
      </c>
      <c r="AC2" s="174">
        <f t="shared" ref="AC2:AC5" si="5">LN(Z2)*$C$21+$B$21</f>
        <v>-592.97470150013032</v>
      </c>
      <c r="AD2" s="174">
        <f>AD3</f>
        <v>1584.045073876445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25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10</v>
      </c>
      <c r="AA3" s="174">
        <f>Ard4_Turn4_ESC4_G4b_T4a!P3</f>
        <v>8152.1739130434789</v>
      </c>
      <c r="AB3" s="174">
        <f>(AA3-AA2)/(Z3-Z2)</f>
        <v>2477.137024388659</v>
      </c>
      <c r="AC3" s="174">
        <f t="shared" si="5"/>
        <v>4620.0638995952322</v>
      </c>
      <c r="AD3" s="174">
        <f>(AC3-AC2)/(Z3-Z2)</f>
        <v>1584.045073876445</v>
      </c>
      <c r="AE3">
        <f t="shared" si="6"/>
        <v>15</v>
      </c>
      <c r="AF3" s="174">
        <f t="shared" si="7"/>
        <v>8287.2928176795576</v>
      </c>
    </row>
    <row r="4" spans="1:32" x14ac:dyDescent="0.25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14</v>
      </c>
      <c r="AA4" s="174">
        <f>Ard4_Turn4_ESC4_G4b_T4a!P4</f>
        <v>11029.411764705883</v>
      </c>
      <c r="AB4" s="174">
        <f t="shared" ref="AB4:AB5" si="18">(AA4-AA3)/(Z4-Z3)</f>
        <v>719.30946291560099</v>
      </c>
      <c r="AC4" s="174">
        <f t="shared" si="5"/>
        <v>9014.727782104892</v>
      </c>
      <c r="AD4" s="174">
        <f t="shared" ref="AD4:AD5" si="19">(AC4-AC3)/(Z4-Z3)</f>
        <v>1098.6659706274149</v>
      </c>
      <c r="AE4">
        <f t="shared" si="6"/>
        <v>17</v>
      </c>
      <c r="AF4" s="174">
        <f t="shared" si="7"/>
        <v>9375</v>
      </c>
    </row>
    <row r="5" spans="1:32" x14ac:dyDescent="0.25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16620.498614958451</v>
      </c>
      <c r="AB5" s="174">
        <f t="shared" si="18"/>
        <v>465.92390418771402</v>
      </c>
      <c r="AC5" s="174">
        <f t="shared" si="5"/>
        <v>17099.998883098575</v>
      </c>
      <c r="AD5" s="174">
        <f t="shared" si="19"/>
        <v>673.77259174947358</v>
      </c>
      <c r="AE5">
        <f t="shared" si="6"/>
        <v>20</v>
      </c>
      <c r="AF5" s="174">
        <f t="shared" si="7"/>
        <v>11811.023622047245</v>
      </c>
    </row>
    <row r="6" spans="1:32" x14ac:dyDescent="0.25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19480.519480519481</v>
      </c>
      <c r="AB6" s="174">
        <f t="shared" ref="AB6:AB12" si="20">(AA6-AA5)/(Z6-Z5)</f>
        <v>357.50260819512869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25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24096.385542168679</v>
      </c>
      <c r="AB7" s="174">
        <f t="shared" si="20"/>
        <v>271.52153303818812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25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28985.507246376812</v>
      </c>
      <c r="AB8" s="174">
        <f t="shared" si="20"/>
        <v>195.56486816832535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25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31746.031746031746</v>
      </c>
      <c r="AB9" s="174">
        <f t="shared" si="20"/>
        <v>184.03496664366224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25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33333.333333333336</v>
      </c>
      <c r="AB10" s="174">
        <f t="shared" si="20"/>
        <v>105.82010582010601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25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36809.815950920245</v>
      </c>
      <c r="AB11" s="174">
        <f t="shared" si="20"/>
        <v>133.71086990718882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25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180</v>
      </c>
      <c r="AA12" s="174">
        <f>Ard4_Turn4_ESC4_G4b_T4a!P12</f>
        <v>43795.620437956204</v>
      </c>
      <c r="AB12" s="174">
        <f t="shared" si="20"/>
        <v>145.53759347991581</v>
      </c>
      <c r="AC12" s="174">
        <f t="shared" si="21"/>
        <v>42371.209429477036</v>
      </c>
      <c r="AD12" s="174">
        <f t="shared" si="22"/>
        <v>84.394448303676043</v>
      </c>
      <c r="AE12">
        <f t="shared" si="6"/>
        <v>125</v>
      </c>
      <c r="AF12" s="174">
        <f t="shared" si="7"/>
        <v>37500</v>
      </c>
    </row>
    <row r="13" spans="1:32" x14ac:dyDescent="0.25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25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25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25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25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25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25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25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25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25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25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25">
      <c r="AE24" s="96">
        <f t="shared" si="26"/>
        <v>54</v>
      </c>
      <c r="AF24" s="174">
        <f t="shared" si="27"/>
        <v>25104.602510460249</v>
      </c>
    </row>
    <row r="25" spans="1:32" x14ac:dyDescent="0.25">
      <c r="AE25" s="96">
        <f t="shared" si="26"/>
        <v>64</v>
      </c>
      <c r="AF25" s="174">
        <f t="shared" si="27"/>
        <v>27649.76958525346</v>
      </c>
    </row>
    <row r="26" spans="1:32" x14ac:dyDescent="0.25">
      <c r="AE26" s="96">
        <f t="shared" si="26"/>
        <v>90</v>
      </c>
      <c r="AF26" s="174">
        <f t="shared" si="27"/>
        <v>32258.06451612903</v>
      </c>
    </row>
    <row r="27" spans="1:32" x14ac:dyDescent="0.25">
      <c r="AE27" s="96">
        <f t="shared" si="26"/>
        <v>125</v>
      </c>
      <c r="AF27" s="174">
        <f t="shared" si="27"/>
        <v>37037.037037037036</v>
      </c>
    </row>
    <row r="28" spans="1:32" x14ac:dyDescent="0.25">
      <c r="AE28" s="96">
        <f t="shared" si="26"/>
        <v>155</v>
      </c>
      <c r="AF28" s="174">
        <f t="shared" si="27"/>
        <v>41958.041958041955</v>
      </c>
    </row>
    <row r="29" spans="1:32" x14ac:dyDescent="0.25">
      <c r="AE29" s="96">
        <f t="shared" si="26"/>
        <v>180</v>
      </c>
      <c r="AF29" s="174">
        <f t="shared" si="27"/>
        <v>43859.649122807015</v>
      </c>
    </row>
    <row r="30" spans="1:32" x14ac:dyDescent="0.25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25">
      <c r="AE31" s="96">
        <f t="shared" si="28"/>
        <v>8</v>
      </c>
      <c r="AF31" s="174">
        <f t="shared" si="29"/>
        <v>7500.0000000000009</v>
      </c>
    </row>
    <row r="32" spans="1:32" x14ac:dyDescent="0.25">
      <c r="AE32" s="96">
        <f t="shared" si="28"/>
        <v>12</v>
      </c>
      <c r="AF32" s="174">
        <f t="shared" si="29"/>
        <v>10830.324909747293</v>
      </c>
    </row>
    <row r="33" spans="31:32" x14ac:dyDescent="0.25">
      <c r="AE33" s="96">
        <f t="shared" si="28"/>
        <v>17</v>
      </c>
      <c r="AF33" s="174">
        <f t="shared" si="29"/>
        <v>12244.897959183674</v>
      </c>
    </row>
    <row r="34" spans="31:32" x14ac:dyDescent="0.25">
      <c r="AE34" s="96">
        <f t="shared" si="28"/>
        <v>21</v>
      </c>
      <c r="AF34" s="174">
        <f t="shared" si="29"/>
        <v>14354.066985645934</v>
      </c>
    </row>
    <row r="35" spans="31:32" x14ac:dyDescent="0.25">
      <c r="AE35" s="96">
        <f t="shared" si="28"/>
        <v>27</v>
      </c>
      <c r="AF35" s="174">
        <f t="shared" si="29"/>
        <v>16949.152542372882</v>
      </c>
    </row>
    <row r="36" spans="31:32" x14ac:dyDescent="0.25">
      <c r="AE36" s="96">
        <f t="shared" si="28"/>
        <v>42</v>
      </c>
      <c r="AF36" s="174">
        <f t="shared" si="29"/>
        <v>21660.649819494585</v>
      </c>
    </row>
    <row r="37" spans="31:32" x14ac:dyDescent="0.25">
      <c r="AE37" s="96">
        <f t="shared" si="28"/>
        <v>67</v>
      </c>
      <c r="AF37" s="174">
        <f t="shared" si="29"/>
        <v>27649.76958525346</v>
      </c>
    </row>
    <row r="38" spans="31:32" x14ac:dyDescent="0.25">
      <c r="AE38" s="96">
        <f t="shared" si="28"/>
        <v>79</v>
      </c>
      <c r="AF38" s="174">
        <f t="shared" si="29"/>
        <v>29702.970297029704</v>
      </c>
    </row>
    <row r="39" spans="31:32" x14ac:dyDescent="0.25">
      <c r="AE39" s="96">
        <f t="shared" si="28"/>
        <v>84</v>
      </c>
      <c r="AF39" s="174">
        <f t="shared" si="29"/>
        <v>30456.852791878177</v>
      </c>
    </row>
    <row r="40" spans="31:32" x14ac:dyDescent="0.25">
      <c r="AE40" s="96">
        <f t="shared" si="28"/>
        <v>121</v>
      </c>
      <c r="AF40" s="174">
        <f t="shared" si="29"/>
        <v>36363.636363636368</v>
      </c>
    </row>
    <row r="41" spans="31:32" x14ac:dyDescent="0.25">
      <c r="AE41" s="96">
        <f t="shared" si="28"/>
        <v>175</v>
      </c>
      <c r="AF41" s="174">
        <f t="shared" si="29"/>
        <v>44117.647058823532</v>
      </c>
    </row>
    <row r="42" spans="31:32" x14ac:dyDescent="0.25">
      <c r="AE42" s="96">
        <f t="shared" si="28"/>
        <v>0</v>
      </c>
      <c r="AF42" s="174">
        <f t="shared" si="29"/>
        <v>0</v>
      </c>
    </row>
    <row r="43" spans="31:32" x14ac:dyDescent="0.25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25">
      <c r="AE44" s="96">
        <f t="shared" si="30"/>
        <v>9</v>
      </c>
      <c r="AF44" s="174">
        <f t="shared" si="31"/>
        <v>8571.4285714285725</v>
      </c>
    </row>
    <row r="45" spans="31:32" x14ac:dyDescent="0.25">
      <c r="AE45" s="96">
        <f t="shared" si="30"/>
        <v>12</v>
      </c>
      <c r="AF45" s="174">
        <f t="shared" si="31"/>
        <v>9933.7748344370866</v>
      </c>
    </row>
    <row r="46" spans="31:32" x14ac:dyDescent="0.25">
      <c r="AE46" s="96">
        <f t="shared" si="30"/>
        <v>24</v>
      </c>
      <c r="AF46" s="174">
        <f t="shared" si="31"/>
        <v>16129.032258064515</v>
      </c>
    </row>
    <row r="47" spans="31:32" x14ac:dyDescent="0.25">
      <c r="AE47" s="96">
        <f t="shared" si="30"/>
        <v>28</v>
      </c>
      <c r="AF47" s="174">
        <f t="shared" si="31"/>
        <v>17341.040462427747</v>
      </c>
    </row>
    <row r="48" spans="31:32" x14ac:dyDescent="0.25">
      <c r="AE48" s="96">
        <f t="shared" si="30"/>
        <v>32</v>
      </c>
      <c r="AF48" s="174">
        <f t="shared" si="31"/>
        <v>18867.92452830189</v>
      </c>
    </row>
    <row r="49" spans="31:32" x14ac:dyDescent="0.25">
      <c r="AE49" s="96">
        <f t="shared" si="30"/>
        <v>50</v>
      </c>
      <c r="AF49" s="174">
        <f t="shared" si="31"/>
        <v>24193.548387096776</v>
      </c>
    </row>
    <row r="50" spans="31:32" x14ac:dyDescent="0.25">
      <c r="AE50" s="96">
        <f t="shared" si="30"/>
        <v>78</v>
      </c>
      <c r="AF50" s="174">
        <f t="shared" si="31"/>
        <v>30150.753768844224</v>
      </c>
    </row>
    <row r="51" spans="31:32" x14ac:dyDescent="0.25">
      <c r="AE51" s="96">
        <f t="shared" si="30"/>
        <v>115</v>
      </c>
      <c r="AF51" s="174">
        <f t="shared" si="31"/>
        <v>35294.117647058825</v>
      </c>
    </row>
    <row r="52" spans="31:32" x14ac:dyDescent="0.25">
      <c r="AE52" s="96">
        <f t="shared" si="30"/>
        <v>140</v>
      </c>
      <c r="AF52" s="174">
        <f t="shared" si="31"/>
        <v>38709.677419354841</v>
      </c>
    </row>
    <row r="53" spans="31:32" x14ac:dyDescent="0.25">
      <c r="AE53" s="96">
        <f t="shared" si="30"/>
        <v>155</v>
      </c>
      <c r="AF53" s="174">
        <f t="shared" si="31"/>
        <v>41958.041958041955</v>
      </c>
    </row>
    <row r="54" spans="31:32" x14ac:dyDescent="0.25">
      <c r="AE54" s="96">
        <f t="shared" si="30"/>
        <v>180</v>
      </c>
      <c r="AF54" s="174">
        <f t="shared" si="31"/>
        <v>44444.444444444445</v>
      </c>
    </row>
    <row r="55" spans="31:32" x14ac:dyDescent="0.25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25">
      <c r="AE56" s="96">
        <f t="shared" si="32"/>
        <v>9</v>
      </c>
      <c r="AF56" s="174">
        <f t="shared" si="33"/>
        <v>8174.3869209809272</v>
      </c>
    </row>
    <row r="57" spans="31:32" x14ac:dyDescent="0.25">
      <c r="AE57" s="96">
        <f t="shared" si="32"/>
        <v>13</v>
      </c>
      <c r="AF57" s="174">
        <f t="shared" si="33"/>
        <v>10309.278350515466</v>
      </c>
    </row>
    <row r="58" spans="31:32" x14ac:dyDescent="0.25">
      <c r="AE58" s="96">
        <f t="shared" si="32"/>
        <v>24</v>
      </c>
      <c r="AF58" s="174">
        <f t="shared" si="33"/>
        <v>16042.780748663101</v>
      </c>
    </row>
    <row r="59" spans="31:32" x14ac:dyDescent="0.25">
      <c r="AE59" s="96">
        <f t="shared" si="32"/>
        <v>28</v>
      </c>
      <c r="AF59" s="174">
        <f t="shared" si="33"/>
        <v>17341.040462427747</v>
      </c>
    </row>
    <row r="60" spans="31:32" x14ac:dyDescent="0.25">
      <c r="AE60" s="96">
        <f t="shared" si="32"/>
        <v>36</v>
      </c>
      <c r="AF60" s="174">
        <f t="shared" si="33"/>
        <v>20134.228187919463</v>
      </c>
    </row>
    <row r="61" spans="31:32" x14ac:dyDescent="0.25">
      <c r="AE61" s="96">
        <f t="shared" si="32"/>
        <v>52</v>
      </c>
      <c r="AF61" s="174">
        <f t="shared" si="33"/>
        <v>24691.358024691359</v>
      </c>
    </row>
    <row r="62" spans="31:32" x14ac:dyDescent="0.25">
      <c r="AE62" s="96">
        <f t="shared" si="32"/>
        <v>73</v>
      </c>
      <c r="AF62" s="174">
        <f t="shared" si="33"/>
        <v>29411.764705882353</v>
      </c>
    </row>
    <row r="63" spans="31:32" x14ac:dyDescent="0.25">
      <c r="AE63" s="96">
        <f t="shared" si="32"/>
        <v>94</v>
      </c>
      <c r="AF63" s="174">
        <f t="shared" si="33"/>
        <v>32432.43243243243</v>
      </c>
    </row>
    <row r="64" spans="31:32" x14ac:dyDescent="0.25">
      <c r="AE64" s="96">
        <f t="shared" si="32"/>
        <v>99</v>
      </c>
      <c r="AF64" s="174">
        <f t="shared" si="33"/>
        <v>32967.032967032967</v>
      </c>
    </row>
    <row r="65" spans="31:32" x14ac:dyDescent="0.25">
      <c r="AE65" s="96">
        <f t="shared" si="32"/>
        <v>110</v>
      </c>
      <c r="AF65" s="174">
        <f t="shared" si="33"/>
        <v>35087.719298245618</v>
      </c>
    </row>
    <row r="66" spans="31:32" x14ac:dyDescent="0.25">
      <c r="AE66" s="96">
        <f t="shared" si="32"/>
        <v>132</v>
      </c>
      <c r="AF66" s="174">
        <f t="shared" si="33"/>
        <v>37267.080745341613</v>
      </c>
    </row>
    <row r="67" spans="31:32" x14ac:dyDescent="0.25">
      <c r="AE67" s="96">
        <f t="shared" si="32"/>
        <v>180</v>
      </c>
      <c r="AF67" s="174">
        <f t="shared" si="33"/>
        <v>43795.620437956204</v>
      </c>
    </row>
    <row r="68" spans="31:32" x14ac:dyDescent="0.25">
      <c r="AE68" s="96">
        <f t="shared" ref="AE68:AE80" si="34">Z2</f>
        <v>6.7090339239286205</v>
      </c>
      <c r="AF68" s="174">
        <f t="shared" ref="AF68:AF80" si="35">AA2</f>
        <v>5.9999999999999995E-25</v>
      </c>
    </row>
    <row r="69" spans="31:32" x14ac:dyDescent="0.25">
      <c r="AE69" s="96">
        <f t="shared" si="34"/>
        <v>10</v>
      </c>
      <c r="AF69" s="174">
        <f t="shared" si="35"/>
        <v>8152.1739130434789</v>
      </c>
    </row>
    <row r="70" spans="31:32" x14ac:dyDescent="0.25">
      <c r="AE70" s="96">
        <f t="shared" si="34"/>
        <v>14</v>
      </c>
      <c r="AF70" s="174">
        <f t="shared" si="35"/>
        <v>11029.411764705883</v>
      </c>
    </row>
    <row r="71" spans="31:32" x14ac:dyDescent="0.25">
      <c r="AE71" s="96">
        <f t="shared" si="34"/>
        <v>26</v>
      </c>
      <c r="AF71" s="174">
        <f t="shared" si="35"/>
        <v>16620.498614958451</v>
      </c>
    </row>
    <row r="72" spans="31:32" x14ac:dyDescent="0.25">
      <c r="AE72" s="96">
        <f t="shared" si="34"/>
        <v>34</v>
      </c>
      <c r="AF72" s="174">
        <f t="shared" si="35"/>
        <v>19480.519480519481</v>
      </c>
    </row>
    <row r="73" spans="31:32" x14ac:dyDescent="0.25">
      <c r="AE73" s="96">
        <f t="shared" si="34"/>
        <v>51</v>
      </c>
      <c r="AF73" s="174">
        <f t="shared" si="35"/>
        <v>24096.385542168679</v>
      </c>
    </row>
    <row r="74" spans="31:32" x14ac:dyDescent="0.25">
      <c r="AE74" s="96">
        <f t="shared" si="34"/>
        <v>76</v>
      </c>
      <c r="AF74" s="174">
        <f t="shared" si="35"/>
        <v>28985.507246376812</v>
      </c>
    </row>
    <row r="75" spans="31:32" x14ac:dyDescent="0.25">
      <c r="AE75" s="96">
        <f t="shared" si="34"/>
        <v>91</v>
      </c>
      <c r="AF75" s="174">
        <f t="shared" si="35"/>
        <v>31746.031746031746</v>
      </c>
    </row>
    <row r="76" spans="31:32" x14ac:dyDescent="0.25">
      <c r="AE76" s="96">
        <f t="shared" si="34"/>
        <v>106</v>
      </c>
      <c r="AF76" s="174">
        <f t="shared" si="35"/>
        <v>33333.333333333336</v>
      </c>
    </row>
    <row r="77" spans="31:32" x14ac:dyDescent="0.25">
      <c r="AE77" s="96">
        <f t="shared" si="34"/>
        <v>132</v>
      </c>
      <c r="AF77" s="174">
        <f t="shared" si="35"/>
        <v>36809.815950920245</v>
      </c>
    </row>
    <row r="78" spans="31:32" x14ac:dyDescent="0.25">
      <c r="AE78" s="96">
        <f t="shared" si="34"/>
        <v>180</v>
      </c>
      <c r="AF78" s="174">
        <f t="shared" si="35"/>
        <v>43795.620437956204</v>
      </c>
    </row>
    <row r="79" spans="31:32" x14ac:dyDescent="0.25">
      <c r="AE79" s="96">
        <f t="shared" si="34"/>
        <v>0</v>
      </c>
      <c r="AF79" s="174">
        <f t="shared" si="35"/>
        <v>0</v>
      </c>
    </row>
    <row r="80" spans="31:32" x14ac:dyDescent="0.25">
      <c r="AE80" s="96">
        <f t="shared" si="34"/>
        <v>0</v>
      </c>
      <c r="AF80" s="174">
        <f t="shared" si="35"/>
        <v>0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25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25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25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25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25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25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25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25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25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25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25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25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25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25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25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25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25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25"/>
    <row r="22" spans="1:50" ht="13.9" customHeight="1" x14ac:dyDescent="0.25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25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25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25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25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25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25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25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25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25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.75" thickBot="1" x14ac:dyDescent="0.3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.75" thickBot="1" x14ac:dyDescent="0.3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25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25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25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25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25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25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25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25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25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25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25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25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25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25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5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25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25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25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25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25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25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25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25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25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25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25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25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25"/>
    <row r="16" spans="1:49" ht="13.9" customHeight="1" x14ac:dyDescent="0.25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25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25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25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25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25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25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25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25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2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25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25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60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25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25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25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25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25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25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25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25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25">
      <c r="V11" s="3">
        <f>D11*D11*$AA$35+D11*$AA$36+$AA$37</f>
        <v>0</v>
      </c>
      <c r="W11" s="3"/>
    </row>
    <row r="12" spans="1:32" ht="13.9" customHeight="1" x14ac:dyDescent="0.25"/>
    <row r="13" spans="1:32" ht="13.9" customHeight="1" x14ac:dyDescent="0.25"/>
    <row r="14" spans="1:32" ht="13.9" customHeight="1" x14ac:dyDescent="0.25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25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25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60.75" thickBot="1" x14ac:dyDescent="0.3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.75" thickBot="1" x14ac:dyDescent="0.3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25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25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25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25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25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25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25"/>
    <row r="11" spans="1:39" ht="13.9" customHeight="1" x14ac:dyDescent="0.25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25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25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25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4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I29" sqref="I29"/>
    </sheetView>
  </sheetViews>
  <sheetFormatPr defaultRowHeight="15" x14ac:dyDescent="0.25"/>
  <sheetData>
    <row r="1" spans="1:7" x14ac:dyDescent="0.25">
      <c r="A1" t="s">
        <v>347</v>
      </c>
      <c r="B1" t="s">
        <v>348</v>
      </c>
      <c r="C1" t="s">
        <v>26</v>
      </c>
      <c r="D1" t="s">
        <v>100</v>
      </c>
      <c r="E1" t="s">
        <v>349</v>
      </c>
      <c r="F1" t="s">
        <v>350</v>
      </c>
      <c r="G1" t="s">
        <v>351</v>
      </c>
    </row>
    <row r="2" spans="1:7" x14ac:dyDescent="0.25">
      <c r="A2">
        <v>1</v>
      </c>
      <c r="B2">
        <v>2</v>
      </c>
      <c r="C2">
        <v>33.9</v>
      </c>
      <c r="D2">
        <v>20.6</v>
      </c>
      <c r="E2">
        <v>0.36299999999999999</v>
      </c>
      <c r="F2">
        <f>C2-D2</f>
        <v>13.299999999999997</v>
      </c>
      <c r="G2">
        <v>12.6</v>
      </c>
    </row>
    <row r="3" spans="1:7" x14ac:dyDescent="0.25">
      <c r="A3">
        <v>2</v>
      </c>
      <c r="B3">
        <v>4</v>
      </c>
      <c r="C3">
        <v>41.5</v>
      </c>
      <c r="D3">
        <v>26.6</v>
      </c>
      <c r="E3">
        <v>0.28699999999999998</v>
      </c>
      <c r="F3">
        <f t="shared" ref="F3:F6" si="0">C3-D3</f>
        <v>14.899999999999999</v>
      </c>
      <c r="G3">
        <v>12.99</v>
      </c>
    </row>
    <row r="4" spans="1:7" x14ac:dyDescent="0.25">
      <c r="A4">
        <v>3</v>
      </c>
      <c r="B4">
        <v>3</v>
      </c>
      <c r="C4">
        <v>38.9</v>
      </c>
      <c r="D4">
        <v>24</v>
      </c>
      <c r="E4">
        <v>0.32</v>
      </c>
      <c r="F4">
        <f t="shared" si="0"/>
        <v>14.899999999999999</v>
      </c>
      <c r="G4">
        <v>13.9</v>
      </c>
    </row>
    <row r="5" spans="1:7" x14ac:dyDescent="0.25">
      <c r="A5">
        <v>4</v>
      </c>
      <c r="B5">
        <v>5</v>
      </c>
      <c r="C5">
        <v>43.8</v>
      </c>
      <c r="D5">
        <v>28.8</v>
      </c>
      <c r="E5">
        <v>0.24099999999999999</v>
      </c>
      <c r="F5">
        <f t="shared" si="0"/>
        <v>14.999999999999996</v>
      </c>
      <c r="G5">
        <v>14.36</v>
      </c>
    </row>
    <row r="6" spans="1:7" x14ac:dyDescent="0.25">
      <c r="A6">
        <v>5</v>
      </c>
      <c r="B6">
        <v>5</v>
      </c>
      <c r="C6">
        <v>36.1</v>
      </c>
      <c r="D6">
        <v>16.600000000000001</v>
      </c>
      <c r="E6">
        <v>0.32500000000000001</v>
      </c>
      <c r="F6">
        <f t="shared" si="0"/>
        <v>19.5</v>
      </c>
      <c r="G6">
        <v>19.239999999999998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" customHeight="1" x14ac:dyDescent="0.25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" customHeight="1" x14ac:dyDescent="0.25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I10" zoomScale="80" zoomScaleNormal="80" workbookViewId="0">
      <selection activeCell="T47" sqref="T47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" customHeight="1" x14ac:dyDescent="0.25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" customHeight="1" x14ac:dyDescent="0.25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" customHeight="1" x14ac:dyDescent="0.25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T47" s="229">
        <f>5800/Q30</f>
        <v>12.586805555555555</v>
      </c>
      <c r="U47" s="10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C22" zoomScale="80" zoomScaleNormal="80" workbookViewId="0">
      <selection activeCell="T47" sqref="T47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T47" s="229">
        <f>Q43/Q30</f>
        <v>12.990064180938026</v>
      </c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31" zoomScaleNormal="100" workbookViewId="0">
      <selection activeCell="T48" sqref="T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T48" s="229">
        <f>Q44/Q31</f>
        <v>13.89657380629883</v>
      </c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K16" zoomScale="90" zoomScaleNormal="90" workbookViewId="0">
      <selection activeCell="T46" sqref="T4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1.0372724106884923</v>
      </c>
      <c r="D2" s="262">
        <f>EXP((0-$Q$40)/$R$40)</f>
        <v>6.7090339239286205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6.7090339239286205</v>
      </c>
      <c r="M2" s="23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0.18636205344246171</v>
      </c>
      <c r="AI2" s="228">
        <f t="shared" ref="AI2:AI13" si="16">AH2/$Q$22*$Q$30</f>
        <v>6.7090339239286205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-13.964544696589824</v>
      </c>
      <c r="AM2" s="229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1.0555555555555556</v>
      </c>
      <c r="D3" s="73">
        <v>10</v>
      </c>
      <c r="E3" s="109">
        <v>7.0000000000000007E-2</v>
      </c>
      <c r="F3" s="73">
        <v>12.22</v>
      </c>
      <c r="G3" s="106">
        <v>0.35699999999999998</v>
      </c>
      <c r="H3" s="73">
        <v>7360</v>
      </c>
      <c r="I3" s="191">
        <v>1.0000000000000001E+32</v>
      </c>
      <c r="J3" s="61"/>
      <c r="K3" s="2">
        <f t="shared" si="2"/>
        <v>4.3625400000000001</v>
      </c>
      <c r="L3" s="1">
        <f t="shared" si="3"/>
        <v>10</v>
      </c>
      <c r="M3" s="23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58">
        <f>K3</f>
        <v>4.3625400000000001</v>
      </c>
      <c r="V3" s="1">
        <f t="shared" ref="V3:V12" si="23">($U3-$U$2)</f>
        <v>3.4330600000000002</v>
      </c>
      <c r="W3" s="234">
        <f t="shared" ref="W3:W12" si="24">($U3-$U$2)*0.001341022</f>
        <v>4.603808987320001E-3</v>
      </c>
      <c r="X3" s="230">
        <f>$W3/$P3*5252</f>
        <v>2.9659824556389695E-3</v>
      </c>
      <c r="Y3" s="230">
        <f>X3-$X$3</f>
        <v>0</v>
      </c>
      <c r="Z3" s="228">
        <f t="shared" si="10"/>
        <v>2.4501436049868833E-2</v>
      </c>
      <c r="AA3" s="229">
        <f t="shared" si="11"/>
        <v>3.7616816315326256E-2</v>
      </c>
      <c r="AB3" s="2">
        <f>AA3/U3*100</f>
        <v>0.86226868556680858</v>
      </c>
      <c r="AC3" s="158">
        <f t="shared" si="12"/>
        <v>3.0705805356684497</v>
      </c>
      <c r="AD3" s="175">
        <f t="shared" si="13"/>
        <v>6.9088062052540122</v>
      </c>
      <c r="AE3" s="4">
        <f t="shared" si="14"/>
        <v>1.7278759594743859E-27</v>
      </c>
      <c r="AF3" s="158">
        <f t="shared" ref="AF3:AF12" si="25">AE3/AC3</f>
        <v>5.627196353924116E-28</v>
      </c>
      <c r="AH3" s="228">
        <f t="shared" si="15"/>
        <v>0.27777777777777779</v>
      </c>
      <c r="AI3" s="228">
        <f t="shared" si="16"/>
        <v>10</v>
      </c>
      <c r="AJ3" s="229">
        <f t="shared" si="17"/>
        <v>4955.5552609427614</v>
      </c>
      <c r="AK3" s="229">
        <f t="shared" si="18"/>
        <v>10.754243187809811</v>
      </c>
      <c r="AL3" s="229">
        <f t="shared" si="19"/>
        <v>-3.4566594209835877</v>
      </c>
      <c r="AM3" s="229">
        <f t="shared" si="20"/>
        <v>10.830615370281183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2.4215538624094316E-7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</v>
      </c>
      <c r="F4" s="73">
        <v>12.22</v>
      </c>
      <c r="G4" s="106">
        <v>0.54700000000000004</v>
      </c>
      <c r="H4" s="73">
        <v>5440</v>
      </c>
      <c r="I4" s="78">
        <v>80000</v>
      </c>
      <c r="J4" s="61"/>
      <c r="K4" s="2">
        <f t="shared" si="2"/>
        <v>6.6843400000000006</v>
      </c>
      <c r="L4" s="1">
        <f t="shared" si="3"/>
        <v>14</v>
      </c>
      <c r="M4" s="23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2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58">
        <f t="shared" si="0"/>
        <v>6.6843400000000006</v>
      </c>
      <c r="V4" s="229">
        <f t="shared" si="23"/>
        <v>5.7548600000000008</v>
      </c>
      <c r="W4" s="234">
        <f t="shared" si="24"/>
        <v>7.7173938669200014E-3</v>
      </c>
      <c r="X4" s="230">
        <f t="shared" ref="X4:X12" si="28">$W4/$P4*5252</f>
        <v>3.6748789014084552E-3</v>
      </c>
      <c r="Y4" s="230">
        <f t="shared" ref="Y4:Y12" si="29">X4-$X$3</f>
        <v>7.0889644576948565E-4</v>
      </c>
      <c r="Z4" s="228">
        <f t="shared" si="10"/>
        <v>6.0677584453237142E-2</v>
      </c>
      <c r="AA4" s="229">
        <f t="shared" si="11"/>
        <v>0.14660107411535164</v>
      </c>
      <c r="AB4" s="2">
        <f t="shared" ref="AB4:AB11" si="30">AA4/U4*100</f>
        <v>2.1932019334048181</v>
      </c>
      <c r="AC4" s="158">
        <f t="shared" si="12"/>
        <v>4.8321328357536641</v>
      </c>
      <c r="AD4" s="175">
        <f t="shared" si="13"/>
        <v>10.872298880445744</v>
      </c>
      <c r="AE4" s="175">
        <f t="shared" si="14"/>
        <v>2.1598449493429834</v>
      </c>
      <c r="AF4" s="158">
        <f t="shared" si="25"/>
        <v>0.44697549151835642</v>
      </c>
      <c r="AG4" s="151"/>
      <c r="AH4" s="228">
        <f t="shared" si="15"/>
        <v>0.3888888888888889</v>
      </c>
      <c r="AI4" s="228">
        <f t="shared" si="16"/>
        <v>14</v>
      </c>
      <c r="AJ4" s="229">
        <f t="shared" si="17"/>
        <v>9133.1571145852577</v>
      </c>
      <c r="AK4" s="229">
        <f t="shared" si="18"/>
        <v>19.820219432693701</v>
      </c>
      <c r="AL4" s="229">
        <f t="shared" si="19"/>
        <v>5.4016336851826967</v>
      </c>
      <c r="AM4" s="229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227">
        <f t="shared" si="26"/>
        <v>4.7406206488910443E-5</v>
      </c>
      <c r="AQ4" s="227">
        <f t="shared" ref="AQ4:AQ13" si="32">AJ4*AP4/5252</f>
        <v>8.2438753250131417E-5</v>
      </c>
      <c r="AR4" s="231">
        <f t="shared" si="27"/>
        <v>3.298719185561271E-7</v>
      </c>
      <c r="AS4" s="228">
        <f t="shared" ref="AS4:AS13" si="33">$Q$34/AR4</f>
        <v>0.11345863469863143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0.72</v>
      </c>
      <c r="F5" s="73">
        <v>12.18</v>
      </c>
      <c r="G5" s="73">
        <v>1.21</v>
      </c>
      <c r="H5" s="73">
        <v>3610</v>
      </c>
      <c r="I5" s="78">
        <v>6240</v>
      </c>
      <c r="J5" s="61"/>
      <c r="K5" s="2">
        <f t="shared" si="2"/>
        <v>14.7378</v>
      </c>
      <c r="L5" s="1">
        <f t="shared" si="3"/>
        <v>26</v>
      </c>
      <c r="M5" s="23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58">
        <f t="shared" si="0"/>
        <v>14.7378</v>
      </c>
      <c r="V5" s="229">
        <f t="shared" si="23"/>
        <v>13.80832</v>
      </c>
      <c r="W5" s="234">
        <f t="shared" si="24"/>
        <v>1.8517260903040001E-2</v>
      </c>
      <c r="X5" s="230">
        <f t="shared" si="28"/>
        <v>5.8513680314764257E-3</v>
      </c>
      <c r="Y5" s="230">
        <f t="shared" si="29"/>
        <v>2.8853855758374561E-3</v>
      </c>
      <c r="Z5" s="228">
        <f t="shared" si="10"/>
        <v>0.20763634563922254</v>
      </c>
      <c r="AA5" s="229">
        <f t="shared" si="11"/>
        <v>0.92800388075325091</v>
      </c>
      <c r="AB5" s="2">
        <f t="shared" si="30"/>
        <v>6.2967599014320381</v>
      </c>
      <c r="AC5" s="158">
        <f t="shared" si="12"/>
        <v>8.9387421830829101</v>
      </c>
      <c r="AD5" s="175">
        <f t="shared" si="13"/>
        <v>20.112169911936547</v>
      </c>
      <c r="AE5" s="175">
        <f t="shared" si="14"/>
        <v>27.690319863371577</v>
      </c>
      <c r="AF5" s="158">
        <f t="shared" si="25"/>
        <v>3.0977870595459303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16819.07905121908</v>
      </c>
      <c r="AK5" s="229">
        <f t="shared" si="18"/>
        <v>36.499737524346962</v>
      </c>
      <c r="AL5" s="229">
        <f t="shared" si="19"/>
        <v>21.699057827325941</v>
      </c>
      <c r="AM5" s="229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227">
        <f t="shared" si="26"/>
        <v>3.2029540127219589E-3</v>
      </c>
      <c r="AQ5" s="227">
        <f t="shared" si="32"/>
        <v>1.0257185212755138E-2</v>
      </c>
      <c r="AR5" s="231">
        <f t="shared" si="27"/>
        <v>4.9125216577592726E-7</v>
      </c>
      <c r="AS5" s="228">
        <f t="shared" si="33"/>
        <v>7.6186569978131474E-2</v>
      </c>
      <c r="AT5" s="232"/>
      <c r="AU5" s="165"/>
      <c r="AX5" s="127"/>
      <c r="AY5" s="96"/>
    </row>
    <row r="6" spans="1:51" ht="13.9" customHeight="1" x14ac:dyDescent="0.25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0.97</v>
      </c>
      <c r="F6" s="73">
        <v>12.16</v>
      </c>
      <c r="G6" s="73">
        <v>1.74</v>
      </c>
      <c r="H6" s="73">
        <v>3080</v>
      </c>
      <c r="I6" s="78">
        <v>4780</v>
      </c>
      <c r="J6" s="61"/>
      <c r="K6" s="2">
        <f t="shared" si="2"/>
        <v>21.1584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58">
        <f t="shared" si="0"/>
        <v>21.1584</v>
      </c>
      <c r="V6" s="229">
        <f t="shared" si="23"/>
        <v>20.228919999999999</v>
      </c>
      <c r="W6" s="234">
        <f t="shared" si="24"/>
        <v>2.7127426756240001E-2</v>
      </c>
      <c r="X6" s="230">
        <f t="shared" si="28"/>
        <v>7.3136265932869874E-3</v>
      </c>
      <c r="Y6" s="230">
        <f t="shared" si="29"/>
        <v>4.3476441376480175E-3</v>
      </c>
      <c r="Z6" s="228">
        <f t="shared" si="10"/>
        <v>0.33432806364140599</v>
      </c>
      <c r="AA6" s="229">
        <f t="shared" si="11"/>
        <v>1.8960682969048819</v>
      </c>
      <c r="AB6" s="2">
        <f t="shared" si="30"/>
        <v>8.9613028249058626</v>
      </c>
      <c r="AC6" s="158">
        <f t="shared" si="12"/>
        <v>11.342561412604413</v>
      </c>
      <c r="AD6" s="175">
        <f t="shared" si="13"/>
        <v>25.520763178359928</v>
      </c>
      <c r="AE6" s="175">
        <f t="shared" si="14"/>
        <v>36.14803262498716</v>
      </c>
      <c r="AF6" s="158">
        <f t="shared" si="25"/>
        <v>3.1869373512774359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20149.814861452069</v>
      </c>
      <c r="AK6" s="233">
        <f t="shared" si="18"/>
        <v>43.727896834748414</v>
      </c>
      <c r="AL6" s="233">
        <f t="shared" si="19"/>
        <v>28.761634659659219</v>
      </c>
      <c r="AM6" s="233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230">
        <f t="shared" si="26"/>
        <v>4.9556527014363687E-3</v>
      </c>
      <c r="AQ6" s="230">
        <f t="shared" si="32"/>
        <v>1.9012849286290486E-2</v>
      </c>
      <c r="AR6" s="232">
        <f t="shared" si="27"/>
        <v>5.6118716809715231E-7</v>
      </c>
      <c r="AS6" s="228">
        <f t="shared" si="33"/>
        <v>6.6692218982307566E-2</v>
      </c>
      <c r="AT6" s="232">
        <f t="shared" ref="AT6:AT12" si="34">$Q$43*$Q$26*$Q$35^2*$Q$32*PI()/240*($AC6-$Q$45)/$Q$44*$Q$33</f>
        <v>-1.5540821955235065E-7</v>
      </c>
      <c r="AU6" s="165">
        <f t="shared" ref="AU6:AU12" si="35">-$Q$34/AT6</f>
        <v>0.24082907334376075</v>
      </c>
      <c r="AX6" s="127"/>
      <c r="AY6" s="96"/>
    </row>
    <row r="7" spans="1:51" ht="13.9" customHeight="1" x14ac:dyDescent="0.25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1.3149999999999999</v>
      </c>
      <c r="F7" s="73">
        <v>12.05</v>
      </c>
      <c r="G7" s="73">
        <v>2.92</v>
      </c>
      <c r="H7" s="73">
        <v>2490</v>
      </c>
      <c r="I7" s="78">
        <v>3500</v>
      </c>
      <c r="J7" s="61"/>
      <c r="K7" s="2">
        <f t="shared" si="2"/>
        <v>35.186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58">
        <f t="shared" si="0"/>
        <v>35.186</v>
      </c>
      <c r="V7" s="229">
        <f t="shared" si="23"/>
        <v>34.256520000000002</v>
      </c>
      <c r="W7" s="234">
        <f t="shared" si="24"/>
        <v>4.5938746963440004E-2</v>
      </c>
      <c r="X7" s="230">
        <f t="shared" si="28"/>
        <v>1.0012717410657455E-2</v>
      </c>
      <c r="Y7" s="230">
        <f t="shared" si="29"/>
        <v>7.0467349550184851E-3</v>
      </c>
      <c r="Z7" s="228">
        <f t="shared" si="10"/>
        <v>0.63274240545140414</v>
      </c>
      <c r="AA7" s="229">
        <f t="shared" si="11"/>
        <v>4.9366818441590627</v>
      </c>
      <c r="AB7" s="2">
        <f t="shared" si="30"/>
        <v>14.030244540894286</v>
      </c>
      <c r="AC7" s="158">
        <f t="shared" si="12"/>
        <v>15.60408090757625</v>
      </c>
      <c r="AD7" s="175">
        <f t="shared" si="13"/>
        <v>35.109182042046562</v>
      </c>
      <c r="AE7" s="175">
        <f t="shared" si="14"/>
        <v>49.367884556411035</v>
      </c>
      <c r="AF7" s="158">
        <f t="shared" si="25"/>
        <v>3.1637803500776163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25184.024531258845</v>
      </c>
      <c r="AK7" s="229">
        <f t="shared" si="18"/>
        <v>54.652831014016591</v>
      </c>
      <c r="AL7" s="229">
        <f t="shared" si="19"/>
        <v>39.436300742106155</v>
      </c>
      <c r="AM7" s="229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227">
        <f t="shared" si="26"/>
        <v>8.0468511177519183E-3</v>
      </c>
      <c r="AQ7" s="227">
        <f t="shared" si="32"/>
        <v>3.8585699914099769E-2</v>
      </c>
      <c r="AR7" s="231">
        <f t="shared" si="27"/>
        <v>6.6688977707076621E-7</v>
      </c>
      <c r="AS7" s="228">
        <f t="shared" si="33"/>
        <v>5.6121444340006467E-2</v>
      </c>
      <c r="AT7" s="232">
        <f t="shared" si="34"/>
        <v>-2.5982583795886433E-7</v>
      </c>
      <c r="AU7" s="165">
        <f t="shared" si="35"/>
        <v>0.14404578774310253</v>
      </c>
      <c r="AX7" s="127"/>
      <c r="AY7" s="96"/>
    </row>
    <row r="8" spans="1:51" ht="13.9" customHeight="1" x14ac:dyDescent="0.25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1.68</v>
      </c>
      <c r="F8" s="73">
        <v>11.97</v>
      </c>
      <c r="G8" s="73">
        <v>4.82</v>
      </c>
      <c r="H8" s="73">
        <v>2070</v>
      </c>
      <c r="I8" s="78">
        <v>2720</v>
      </c>
      <c r="J8" s="61"/>
      <c r="K8" s="2">
        <f t="shared" si="2"/>
        <v>57.695400000000006</v>
      </c>
      <c r="L8" s="1">
        <f t="shared" si="3"/>
        <v>76</v>
      </c>
      <c r="M8" s="23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58">
        <f t="shared" si="0"/>
        <v>57.695400000000006</v>
      </c>
      <c r="V8" s="229">
        <f t="shared" si="23"/>
        <v>56.765920000000008</v>
      </c>
      <c r="W8" s="234">
        <f t="shared" si="24"/>
        <v>7.6124347570240017E-2</v>
      </c>
      <c r="X8" s="230">
        <f t="shared" si="28"/>
        <v>1.3793275033642069E-2</v>
      </c>
      <c r="Y8" s="230">
        <f t="shared" si="29"/>
        <v>1.0827292578003099E-2</v>
      </c>
      <c r="Z8" s="228">
        <f t="shared" si="10"/>
        <v>1.1013210651331984</v>
      </c>
      <c r="AA8" s="229">
        <f t="shared" si="11"/>
        <v>11.336151631995348</v>
      </c>
      <c r="AB8" s="2">
        <f t="shared" si="30"/>
        <v>19.648276347846355</v>
      </c>
      <c r="AC8" s="158">
        <f t="shared" si="12"/>
        <v>20.586461098198111</v>
      </c>
      <c r="AD8" s="175">
        <f t="shared" si="13"/>
        <v>46.319537470945747</v>
      </c>
      <c r="AE8" s="175">
        <f t="shared" si="14"/>
        <v>63.524851451264198</v>
      </c>
      <c r="AF8" s="163">
        <f t="shared" si="25"/>
        <v>3.0857587007426153</v>
      </c>
      <c r="AG8" s="159">
        <f>$M$40/($Q$26*$Q$35*$Q$32*($AC8-$Q$45)^2/4/$AF8)/(PI()*$Q$35/60/($AC8-$Q$45))</f>
        <v>-0.99606633499190611</v>
      </c>
      <c r="AH8" s="228">
        <f t="shared" si="15"/>
        <v>2.1111111111111112</v>
      </c>
      <c r="AI8" s="228">
        <f t="shared" si="16"/>
        <v>76</v>
      </c>
      <c r="AJ8" s="229">
        <f t="shared" si="17"/>
        <v>30136.818245467628</v>
      </c>
      <c r="AK8" s="229">
        <f t="shared" si="18"/>
        <v>65.401081261865514</v>
      </c>
      <c r="AL8" s="229">
        <f t="shared" si="19"/>
        <v>49.938330363858107</v>
      </c>
      <c r="AM8" s="229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227">
        <f t="shared" si="26"/>
        <v>1.1607346872347815E-2</v>
      </c>
      <c r="AQ8" s="227">
        <f t="shared" si="32"/>
        <v>6.660481778447129E-2</v>
      </c>
      <c r="AR8" s="231">
        <f t="shared" si="27"/>
        <v>7.70882906407407E-7</v>
      </c>
      <c r="AS8" s="228">
        <f t="shared" si="33"/>
        <v>4.855058685789107E-2</v>
      </c>
      <c r="AT8" s="232">
        <f t="shared" si="34"/>
        <v>-3.8190630106935023E-7</v>
      </c>
      <c r="AU8" s="165">
        <f t="shared" si="35"/>
        <v>9.8000000000000004E-2</v>
      </c>
      <c r="AX8" s="127"/>
      <c r="AY8" s="96"/>
    </row>
    <row r="9" spans="1:51" ht="13.9" customHeight="1" x14ac:dyDescent="0.25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1.86</v>
      </c>
      <c r="F9" s="73">
        <v>11.92</v>
      </c>
      <c r="G9" s="73">
        <v>5.99</v>
      </c>
      <c r="H9" s="73">
        <v>1890</v>
      </c>
      <c r="I9" s="78">
        <v>2480</v>
      </c>
      <c r="J9" s="61"/>
      <c r="K9" s="2">
        <f t="shared" si="2"/>
        <v>71.400800000000004</v>
      </c>
      <c r="L9" s="1">
        <f t="shared" si="3"/>
        <v>91</v>
      </c>
      <c r="M9" s="23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58">
        <f t="shared" si="0"/>
        <v>71.400800000000004</v>
      </c>
      <c r="V9" s="229">
        <f t="shared" si="23"/>
        <v>70.471320000000006</v>
      </c>
      <c r="W9" s="234">
        <f t="shared" si="24"/>
        <v>9.4503590489040015E-2</v>
      </c>
      <c r="X9" s="230">
        <f t="shared" si="28"/>
        <v>1.5634485003325801E-2</v>
      </c>
      <c r="Y9" s="230">
        <f t="shared" si="29"/>
        <v>1.2668502547686832E-2</v>
      </c>
      <c r="Z9" s="228">
        <f t="shared" si="10"/>
        <v>1.446903509283622</v>
      </c>
      <c r="AA9" s="229">
        <f t="shared" si="11"/>
        <v>17.070808173780513</v>
      </c>
      <c r="AB9" s="2">
        <f t="shared" si="30"/>
        <v>23.908427039725762</v>
      </c>
      <c r="AC9" s="158">
        <f t="shared" si="12"/>
        <v>23.596332532543876</v>
      </c>
      <c r="AD9" s="175">
        <f t="shared" si="13"/>
        <v>53.091748198223712</v>
      </c>
      <c r="AE9" s="175">
        <f t="shared" si="14"/>
        <v>69.672417720741393</v>
      </c>
      <c r="AF9" s="165">
        <f t="shared" si="25"/>
        <v>2.9526799397596952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32373.24468436357</v>
      </c>
      <c r="AK9" s="229">
        <f t="shared" si="18"/>
        <v>70.254437249052884</v>
      </c>
      <c r="AL9" s="229">
        <f t="shared" si="19"/>
        <v>54.680505803302282</v>
      </c>
      <c r="AM9" s="229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227">
        <f t="shared" si="26"/>
        <v>1.3383878773407323E-2</v>
      </c>
      <c r="AQ9" s="227">
        <f t="shared" si="32"/>
        <v>8.2498016442759906E-2</v>
      </c>
      <c r="AR9" s="231">
        <f t="shared" si="27"/>
        <v>8.1784084516523852E-7</v>
      </c>
      <c r="AS9" s="228">
        <f t="shared" si="33"/>
        <v>4.5762959536747666E-2</v>
      </c>
      <c r="AT9" s="232">
        <f t="shared" si="34"/>
        <v>-4.5565549012151931E-7</v>
      </c>
      <c r="AU9" s="165">
        <f t="shared" si="35"/>
        <v>8.2138410084370811E-2</v>
      </c>
      <c r="AX9" s="150"/>
      <c r="AY9" s="152"/>
    </row>
    <row r="10" spans="1:51" ht="13.9" customHeight="1" x14ac:dyDescent="0.25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2.02</v>
      </c>
      <c r="F10" s="73">
        <v>11.87</v>
      </c>
      <c r="G10" s="73">
        <v>7.18</v>
      </c>
      <c r="H10" s="73">
        <v>1800</v>
      </c>
      <c r="I10" s="78">
        <v>2250</v>
      </c>
      <c r="J10" s="61"/>
      <c r="K10" s="2">
        <f t="shared" si="2"/>
        <v>85.226599999999991</v>
      </c>
      <c r="L10" s="1">
        <f t="shared" si="3"/>
        <v>106</v>
      </c>
      <c r="M10" s="23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58">
        <f t="shared" si="0"/>
        <v>85.226599999999991</v>
      </c>
      <c r="V10" s="229">
        <f t="shared" si="23"/>
        <v>84.297119999999993</v>
      </c>
      <c r="W10" s="234">
        <f t="shared" si="24"/>
        <v>0.11304429245663999</v>
      </c>
      <c r="X10" s="230">
        <f t="shared" si="28"/>
        <v>1.7811258719468197E-2</v>
      </c>
      <c r="Y10" s="230">
        <f t="shared" si="29"/>
        <v>1.4845276263829227E-2</v>
      </c>
      <c r="Z10" s="228">
        <f t="shared" si="10"/>
        <v>1.6749716749344534</v>
      </c>
      <c r="AA10" s="229">
        <f t="shared" si="11"/>
        <v>21.26208881723857</v>
      </c>
      <c r="AB10" s="2">
        <f t="shared" si="30"/>
        <v>24.94771446618611</v>
      </c>
      <c r="AC10" s="158">
        <f t="shared" si="12"/>
        <v>25.387998060409728</v>
      </c>
      <c r="AD10" s="175">
        <f t="shared" si="13"/>
        <v>57.122995635921889</v>
      </c>
      <c r="AE10" s="175">
        <f t="shared" si="14"/>
        <v>76.794487087750511</v>
      </c>
      <c r="AF10" s="165">
        <f t="shared" si="25"/>
        <v>3.0248342900066834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34267.655867784233</v>
      </c>
      <c r="AK10" s="229">
        <f t="shared" si="18"/>
        <v>74.365572629740086</v>
      </c>
      <c r="AL10" s="229">
        <f t="shared" si="19"/>
        <v>58.697463405833936</v>
      </c>
      <c r="AM10" s="229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227">
        <f t="shared" si="26"/>
        <v>1.4970882321274965E-2</v>
      </c>
      <c r="AQ10" s="227">
        <f t="shared" si="32"/>
        <v>9.7680320529806797E-2</v>
      </c>
      <c r="AR10" s="231">
        <f t="shared" si="27"/>
        <v>8.5761753658064419E-7</v>
      </c>
      <c r="AS10" s="228">
        <f t="shared" si="33"/>
        <v>4.364045265914053E-2</v>
      </c>
      <c r="AT10" s="232">
        <f t="shared" si="34"/>
        <v>-4.9955566413727561E-7</v>
      </c>
      <c r="AU10" s="165">
        <f t="shared" si="35"/>
        <v>7.4920214485870801E-2</v>
      </c>
      <c r="AX10" s="127"/>
      <c r="AY10" s="96"/>
    </row>
    <row r="11" spans="1:51" ht="13.9" customHeight="1" x14ac:dyDescent="0.25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2.2599999999999998</v>
      </c>
      <c r="F11" s="73">
        <v>11.83</v>
      </c>
      <c r="G11" s="73">
        <v>9.1300000000000008</v>
      </c>
      <c r="H11" s="73">
        <v>1630</v>
      </c>
      <c r="I11" s="78">
        <v>2010</v>
      </c>
      <c r="J11" s="61"/>
      <c r="K11" s="2">
        <f t="shared" si="2"/>
        <v>108.00790000000001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58">
        <f t="shared" si="0"/>
        <v>108.00790000000001</v>
      </c>
      <c r="V11" s="229">
        <f t="shared" si="23"/>
        <v>107.07842000000001</v>
      </c>
      <c r="W11" s="234">
        <f t="shared" si="24"/>
        <v>0.14359451694524003</v>
      </c>
      <c r="X11" s="230">
        <f t="shared" si="28"/>
        <v>2.0487969948068882E-2</v>
      </c>
      <c r="Y11" s="230">
        <f t="shared" si="29"/>
        <v>1.7521987492429912E-2</v>
      </c>
      <c r="Z11" s="228">
        <f t="shared" si="10"/>
        <v>2.2556004329548065</v>
      </c>
      <c r="AA11" s="229">
        <f t="shared" si="11"/>
        <v>33.226758975060008</v>
      </c>
      <c r="AB11" s="2">
        <f t="shared" si="30"/>
        <v>30.763267293466502</v>
      </c>
      <c r="AC11" s="158">
        <f t="shared" si="12"/>
        <v>29.461564636723708</v>
      </c>
      <c r="AD11" s="175">
        <f t="shared" si="13"/>
        <v>66.288520432628331</v>
      </c>
      <c r="AE11" s="175">
        <f t="shared" si="14"/>
        <v>85.963978083302791</v>
      </c>
      <c r="AF11" s="165">
        <f t="shared" si="25"/>
        <v>2.9178347838372805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36991.240339587683</v>
      </c>
      <c r="AK11" s="229">
        <f t="shared" si="18"/>
        <v>80.276129209174655</v>
      </c>
      <c r="AL11" s="229">
        <f t="shared" si="19"/>
        <v>64.472621114939727</v>
      </c>
      <c r="AM11" s="229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227">
        <f t="shared" si="26"/>
        <v>1.7384552570285879E-2</v>
      </c>
      <c r="AQ11" s="227">
        <f t="shared" si="32"/>
        <v>0.12244405223222424</v>
      </c>
      <c r="AR11" s="231">
        <f t="shared" si="27"/>
        <v>9.1480426564286394E-7</v>
      </c>
      <c r="AS11" s="228">
        <f t="shared" si="33"/>
        <v>4.0912377554880808E-2</v>
      </c>
      <c r="AT11" s="232">
        <f t="shared" si="34"/>
        <v>-5.9936797775474322E-7</v>
      </c>
      <c r="AU11" s="165">
        <f t="shared" si="35"/>
        <v>6.2443805631723442E-2</v>
      </c>
      <c r="AX11" s="127"/>
      <c r="AY11" s="96"/>
    </row>
    <row r="12" spans="1:51" ht="13.9" customHeight="1" thickBot="1" x14ac:dyDescent="0.3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2.75</v>
      </c>
      <c r="F12" s="80">
        <v>11.5</v>
      </c>
      <c r="G12" s="80">
        <v>14.51</v>
      </c>
      <c r="H12" s="80">
        <v>1370</v>
      </c>
      <c r="I12" s="81">
        <v>1670</v>
      </c>
      <c r="J12" s="61"/>
      <c r="K12" s="2">
        <f t="shared" si="2"/>
        <v>166.86500000000001</v>
      </c>
      <c r="L12" s="1">
        <f t="shared" si="3"/>
        <v>180</v>
      </c>
      <c r="M12" s="23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58">
        <f t="shared" si="0"/>
        <v>166.86500000000001</v>
      </c>
      <c r="V12" s="229">
        <f t="shared" si="23"/>
        <v>165.93552</v>
      </c>
      <c r="W12" s="234">
        <f t="shared" si="24"/>
        <v>0.22252318290144002</v>
      </c>
      <c r="X12" s="230">
        <f t="shared" si="28"/>
        <v>2.6685128442329287E-2</v>
      </c>
      <c r="Y12" s="230">
        <f t="shared" si="29"/>
        <v>2.3719145986690317E-2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54.713240601276404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103.4656263158315</v>
      </c>
      <c r="AF12" s="165">
        <f t="shared" si="25"/>
        <v>2.5073620415250657</v>
      </c>
      <c r="AG12" s="151"/>
      <c r="AH12" s="228">
        <f t="shared" si="15"/>
        <v>5</v>
      </c>
      <c r="AI12" s="228">
        <f t="shared" si="16"/>
        <v>180</v>
      </c>
      <c r="AJ12" s="229">
        <f t="shared" si="17"/>
        <v>40842.089421252422</v>
      </c>
      <c r="AK12" s="229">
        <f t="shared" si="18"/>
        <v>88.633006556537367</v>
      </c>
      <c r="AL12" s="229">
        <f t="shared" si="19"/>
        <v>72.638059341958609</v>
      </c>
      <c r="AM12" s="229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227">
        <f t="shared" si="26"/>
        <v>2.1063007380398409E-2</v>
      </c>
      <c r="AQ12" s="227">
        <f t="shared" si="32"/>
        <v>0.16379612165093899</v>
      </c>
      <c r="AR12" s="231">
        <f t="shared" si="27"/>
        <v>9.9566001488527295E-7</v>
      </c>
      <c r="AS12" s="228">
        <f t="shared" si="33"/>
        <v>3.7589957360202833E-2</v>
      </c>
      <c r="AT12" s="232">
        <f t="shared" si="34"/>
        <v>-8.8857439321018542E-7</v>
      </c>
      <c r="AU12" s="165">
        <f t="shared" si="35"/>
        <v>4.2120072096139397E-2</v>
      </c>
      <c r="AX12" s="127"/>
      <c r="AY12" s="96"/>
    </row>
    <row r="13" spans="1:51" ht="13.9" customHeight="1" x14ac:dyDescent="0.25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88.911215408699249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77.725299021912619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13114.624315320485</v>
      </c>
      <c r="S39" s="205">
        <f>INDEX(LINEST($Q$5:$Q$12,$E$5:$E$12^{1,2},FALSE,FALSE),1)</f>
        <v>-0.8433621525460272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6"/>
        <v>63.41773155044131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-23633.085065689971</v>
      </c>
      <c r="R40" s="67">
        <f>INDEX(LINEST($P$4:$P$12,$M$4:$M$12),1)</f>
        <v>12415.888738973374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39.912442133024179</v>
      </c>
      <c r="K41" s="243">
        <v>0.28899999999999998</v>
      </c>
      <c r="L41" s="61"/>
      <c r="M41" s="250"/>
      <c r="P41" s="65" t="s">
        <v>122</v>
      </c>
      <c r="Q41" s="205">
        <f>INDEX(LINEST($Q$5:$Q$12,$P$5:$P$12),2)</f>
        <v>-6434.862196188591</v>
      </c>
      <c r="R41" s="69">
        <f>INDEX(LINEST($Q$5:$Q$12,$P$5:$P$12),1)</f>
        <v>0.97709202703516818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6"/>
        <v>30.714720187078346</v>
      </c>
      <c r="K42" s="243">
        <v>0.436</v>
      </c>
      <c r="L42" s="61"/>
      <c r="M42" s="250"/>
      <c r="P42" s="65" t="s">
        <v>123</v>
      </c>
      <c r="Q42" s="205">
        <f>INDEX(LINEST($P$5:$P$12,$Q$5:$Q$12),2)</f>
        <v>6618.569244086877</v>
      </c>
      <c r="R42" s="69">
        <f>INDEX(LINEST($P$5:$P$12,$Q$5:$Q$12),1)</f>
        <v>1.0219691051050925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26.710269816054311</v>
      </c>
      <c r="K43" s="246">
        <v>0.5</v>
      </c>
      <c r="L43" s="255"/>
      <c r="M43" s="256"/>
      <c r="P43" s="65" t="s">
        <v>180</v>
      </c>
      <c r="Q43" s="206">
        <f>AG8</f>
        <v>-0.99606633499190611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3.0857587007426153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-2.0896438355913084E-3</v>
      </c>
      <c r="K46" s="180">
        <f>INDEX(LINEST($Y$3:$Y$12,$P$3:$P$12^{1,2}),2)</f>
        <v>1.381042730868355E-7</v>
      </c>
      <c r="L46" s="180">
        <f>INDEX(LINEST($Y$3:$Y$12,$P$3:$P$12^{1,2}),1)</f>
        <v>1.0498431323547851E-11</v>
      </c>
      <c r="M46" s="44" t="s">
        <v>268</v>
      </c>
      <c r="N46" s="10"/>
      <c r="O46" s="10"/>
      <c r="T46" s="229">
        <f>Q42/Q29</f>
        <v>14.363214505396869</v>
      </c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D34" zoomScaleNormal="100" workbookViewId="0">
      <selection activeCell="T46" sqref="T4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1.0396468619615136</v>
      </c>
      <c r="D2" s="262">
        <f>EXP((0-$Q$40)/$R$40)</f>
        <v>7.1364351530724619</v>
      </c>
      <c r="E2" s="109">
        <v>0</v>
      </c>
      <c r="F2" s="109">
        <v>12.15</v>
      </c>
      <c r="G2" s="109">
        <v>0.105</v>
      </c>
      <c r="H2" s="148">
        <v>1.0000000000000001E+32</v>
      </c>
      <c r="I2" s="191">
        <v>1.0000000000000001E+32</v>
      </c>
      <c r="J2" s="189"/>
      <c r="K2" s="2">
        <f t="shared" ref="K2:K12" si="2">F2*G2</f>
        <v>1.2757499999999999</v>
      </c>
      <c r="L2" s="229">
        <f t="shared" ref="L2:L12" si="3">D2</f>
        <v>7.1364351530724619</v>
      </c>
      <c r="M2" s="234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58">
        <f t="shared" si="0"/>
        <v>1.2757499999999999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9">$Q$36*(P2/$Q$29/100)^3</f>
        <v>9.76843480821773E-87</v>
      </c>
      <c r="AA2" s="229">
        <f t="shared" ref="AA2:AA12" si="10">SQRT(Z2^3/4/$Q$26/$Q$32)</f>
        <v>9.469612348787209E-129</v>
      </c>
      <c r="AB2" s="1"/>
      <c r="AC2" s="158">
        <f t="shared" ref="AC2:AC12" si="11">SQRT(Z2/$Q$32/$Q$26)</f>
        <v>1.9388187636407961E-42</v>
      </c>
      <c r="AD2" s="175">
        <f t="shared" ref="AD2:AD11" si="12">AC2*1/1.6/1000*3600</f>
        <v>4.3623422181917907E-42</v>
      </c>
      <c r="AE2" s="4">
        <f t="shared" ref="AE2:AE12" si="13">Q2/60*PI()*$C$38/1000</f>
        <v>0</v>
      </c>
      <c r="AF2" s="158">
        <f>AE2/AC2</f>
        <v>0</v>
      </c>
      <c r="AH2" s="228">
        <f t="shared" ref="AH2:AH13" si="14">D2/$Q$30*$Q$22</f>
        <v>0.1982343098075684</v>
      </c>
      <c r="AI2" s="228">
        <f t="shared" ref="AI2:AI13" si="15">AH2/$Q$22*$Q$30</f>
        <v>7.1364351530724619</v>
      </c>
      <c r="AJ2" s="229">
        <f t="shared" ref="AJ2:AJ13" si="16">MAX(($Q$40+$R$40*LN($AI2)),0)</f>
        <v>0</v>
      </c>
      <c r="AK2" s="229">
        <f t="shared" ref="AK2:AK13" si="17">MAX(($Q$40+$R$40*LN(AI2))/$Q$29,0)</f>
        <v>0</v>
      </c>
      <c r="AL2" s="229">
        <f t="shared" ref="AL2:AL13" si="18">($Q$41+$R$41*AK2*$Q$29)/$Q$29</f>
        <v>-18.751985122124399</v>
      </c>
      <c r="AM2" s="229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9.2999999999999999E-2</v>
      </c>
      <c r="F3" s="73">
        <v>12.18</v>
      </c>
      <c r="G3" s="106">
        <v>0.37</v>
      </c>
      <c r="H3" s="73">
        <v>7720</v>
      </c>
      <c r="I3" s="191">
        <v>1.0000000000000001E+32</v>
      </c>
      <c r="J3" s="61"/>
      <c r="K3" s="2">
        <f t="shared" si="2"/>
        <v>4.5065999999999997</v>
      </c>
      <c r="L3" s="1">
        <f t="shared" si="3"/>
        <v>9</v>
      </c>
      <c r="M3" s="234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58">
        <f>K3</f>
        <v>4.5065999999999997</v>
      </c>
      <c r="V3" s="1">
        <f t="shared" ref="V3:V12" si="21">($U3-$U$2)</f>
        <v>3.2308499999999998</v>
      </c>
      <c r="W3" s="234">
        <f t="shared" ref="W3:W12" si="22">($U3-$U$2)*0.001341022</f>
        <v>4.3326409287000002E-3</v>
      </c>
      <c r="X3" s="230">
        <f>$W3/$P3*5252</f>
        <v>2.9278138802691688E-3</v>
      </c>
      <c r="Y3" s="230">
        <f>X3-$X$3</f>
        <v>0</v>
      </c>
      <c r="Z3" s="228">
        <f t="shared" si="9"/>
        <v>2.1231128627635317E-2</v>
      </c>
      <c r="AA3" s="229">
        <f t="shared" si="10"/>
        <v>3.0342708818159283E-2</v>
      </c>
      <c r="AB3" s="2">
        <f>AA3/U3*100</f>
        <v>0.67329491896683269</v>
      </c>
      <c r="AC3" s="158">
        <f t="shared" si="11"/>
        <v>2.8583227345402595</v>
      </c>
      <c r="AD3" s="175">
        <f t="shared" si="12"/>
        <v>6.4312261527155838</v>
      </c>
      <c r="AE3" s="4">
        <f t="shared" si="13"/>
        <v>1.7278759594743859E-27</v>
      </c>
      <c r="AF3" s="158">
        <f t="shared" ref="AF3:AF12" si="23">AE3/AC3</f>
        <v>6.0450695038546867E-28</v>
      </c>
      <c r="AH3" s="228">
        <f t="shared" si="14"/>
        <v>0.25</v>
      </c>
      <c r="AI3" s="228">
        <f t="shared" si="15"/>
        <v>9</v>
      </c>
      <c r="AJ3" s="229">
        <f t="shared" si="16"/>
        <v>2981.8312148311707</v>
      </c>
      <c r="AK3" s="229">
        <f t="shared" si="17"/>
        <v>6.4709878794079225</v>
      </c>
      <c r="AL3" s="229">
        <f t="shared" si="18"/>
        <v>-12.407227757411349</v>
      </c>
      <c r="AM3" s="229">
        <f t="shared" si="19"/>
        <v>6.6224962219812253</v>
      </c>
      <c r="AN3" s="1"/>
      <c r="AO3" s="1">
        <f t="shared" si="20"/>
        <v>0</v>
      </c>
      <c r="AP3" s="227">
        <f t="shared" ref="AP3:AP13" si="24">MAX($J$46+$AJ3*($K$46+$AJ3*$L$46), 0)</f>
        <v>5.1529933095557717E-5</v>
      </c>
      <c r="AQ3" s="227">
        <f>AJ3*AP3/5252</f>
        <v>2.9256200114717402E-5</v>
      </c>
      <c r="AR3" s="231">
        <f t="shared" ref="AR3:AR13" si="25">MAX($K$46+$L$46*2*AJ3,1E-32)</f>
        <v>1.0000000000000001E-32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0.37</v>
      </c>
      <c r="F4" s="73">
        <v>12.17</v>
      </c>
      <c r="G4" s="106">
        <v>0.86</v>
      </c>
      <c r="H4" s="73">
        <v>4180</v>
      </c>
      <c r="I4" s="78">
        <v>11300</v>
      </c>
      <c r="J4" s="61"/>
      <c r="K4" s="2">
        <f t="shared" si="2"/>
        <v>10.466200000000001</v>
      </c>
      <c r="L4" s="1">
        <f t="shared" si="3"/>
        <v>20</v>
      </c>
      <c r="M4" s="234">
        <f t="shared" si="4"/>
        <v>2.9957322735539909</v>
      </c>
      <c r="N4" s="3">
        <f t="shared" si="5"/>
        <v>239.23444976076556</v>
      </c>
      <c r="O4" s="3">
        <f t="shared" si="5"/>
        <v>88.495575221238937</v>
      </c>
      <c r="P4" s="3">
        <f t="shared" si="6"/>
        <v>14354.066985645934</v>
      </c>
      <c r="Q4" s="3">
        <f t="shared" si="6"/>
        <v>5309.7345132743358</v>
      </c>
      <c r="R4" s="3">
        <f t="shared" si="7"/>
        <v>31.150318979266348</v>
      </c>
      <c r="S4" s="3">
        <f t="shared" si="7"/>
        <v>11.522861356932152</v>
      </c>
      <c r="T4" s="3">
        <f t="shared" si="8"/>
        <v>20</v>
      </c>
      <c r="U4" s="158">
        <f t="shared" si="0"/>
        <v>10.466200000000001</v>
      </c>
      <c r="V4" s="229">
        <f t="shared" si="21"/>
        <v>9.1904500000000002</v>
      </c>
      <c r="W4" s="234">
        <f t="shared" si="22"/>
        <v>1.2324595639900002E-2</v>
      </c>
      <c r="X4" s="230">
        <f t="shared" ref="X4:X12" si="26">$W4/$P4*5252</f>
        <v>4.5094380822859187E-3</v>
      </c>
      <c r="Y4" s="230">
        <f t="shared" ref="Y4:Y12" si="27">X4-$X$3</f>
        <v>1.5816242020167499E-3</v>
      </c>
      <c r="Z4" s="228">
        <f t="shared" si="9"/>
        <v>0.13375072264645263</v>
      </c>
      <c r="AA4" s="229">
        <f t="shared" si="10"/>
        <v>0.47977645696176557</v>
      </c>
      <c r="AB4" s="2">
        <f t="shared" ref="AB4:AB11" si="28">AA4/U4*100</f>
        <v>4.5840558842919643</v>
      </c>
      <c r="AC4" s="158">
        <f t="shared" si="11"/>
        <v>7.1741886319369401</v>
      </c>
      <c r="AD4" s="175">
        <f t="shared" si="12"/>
        <v>16.141924421858114</v>
      </c>
      <c r="AE4" s="175">
        <f t="shared" si="13"/>
        <v>15.290937694463592</v>
      </c>
      <c r="AF4" s="158">
        <f t="shared" si="23"/>
        <v>2.1313821644434841</v>
      </c>
      <c r="AG4" s="151"/>
      <c r="AH4" s="228">
        <f t="shared" si="14"/>
        <v>0.55555555555555558</v>
      </c>
      <c r="AI4" s="228">
        <f t="shared" si="15"/>
        <v>20</v>
      </c>
      <c r="AJ4" s="229">
        <f t="shared" si="16"/>
        <v>13244.332048243799</v>
      </c>
      <c r="AK4" s="229">
        <f t="shared" si="17"/>
        <v>28.7420400352513</v>
      </c>
      <c r="AL4" s="229">
        <f t="shared" si="18"/>
        <v>9.4293797002160833</v>
      </c>
      <c r="AM4" s="229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227">
        <f t="shared" si="24"/>
        <v>1.3887632875471301E-3</v>
      </c>
      <c r="AQ4" s="227">
        <f t="shared" ref="AQ4:AQ13" si="30">AJ4*AP4/5252</f>
        <v>3.5021405401151704E-3</v>
      </c>
      <c r="AR4" s="231">
        <f t="shared" si="25"/>
        <v>3.0121380334644088E-7</v>
      </c>
      <c r="AS4" s="228">
        <f t="shared" ref="AS4:AS13" si="31">$Q$34/AR4</f>
        <v>0.12425332799821891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0.56999999999999995</v>
      </c>
      <c r="F5" s="73">
        <v>12.15</v>
      </c>
      <c r="G5" s="73">
        <v>1.29</v>
      </c>
      <c r="H5" s="73">
        <v>3500</v>
      </c>
      <c r="I5" s="78">
        <v>8100</v>
      </c>
      <c r="J5" s="61"/>
      <c r="K5" s="2">
        <f t="shared" si="2"/>
        <v>15.673500000000001</v>
      </c>
      <c r="L5" s="1">
        <f t="shared" si="3"/>
        <v>26</v>
      </c>
      <c r="M5" s="234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58">
        <f t="shared" si="0"/>
        <v>15.673500000000001</v>
      </c>
      <c r="V5" s="229">
        <f t="shared" si="21"/>
        <v>14.39775</v>
      </c>
      <c r="W5" s="234">
        <f t="shared" si="22"/>
        <v>1.93076995005E-2</v>
      </c>
      <c r="X5" s="230">
        <f t="shared" si="26"/>
        <v>5.9152355369698493E-3</v>
      </c>
      <c r="Y5" s="230">
        <f t="shared" si="27"/>
        <v>2.9874216567006805E-3</v>
      </c>
      <c r="Z5" s="228">
        <f t="shared" si="9"/>
        <v>0.2278352141858363</v>
      </c>
      <c r="AA5" s="229">
        <f t="shared" si="10"/>
        <v>1.0666599806356969</v>
      </c>
      <c r="AB5" s="2">
        <f t="shared" si="28"/>
        <v>6.8054996052936287</v>
      </c>
      <c r="AC5" s="158">
        <f t="shared" si="11"/>
        <v>9.3634338699342923</v>
      </c>
      <c r="AD5" s="175">
        <f t="shared" si="12"/>
        <v>21.067726207352155</v>
      </c>
      <c r="AE5" s="175">
        <f t="shared" si="13"/>
        <v>21.331801968819587</v>
      </c>
      <c r="AF5" s="158">
        <f t="shared" si="23"/>
        <v>2.2782028756902282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16616.263834886224</v>
      </c>
      <c r="AK5" s="229">
        <f t="shared" si="17"/>
        <v>36.059600336124618</v>
      </c>
      <c r="AL5" s="229">
        <f t="shared" si="18"/>
        <v>16.604195273343986</v>
      </c>
      <c r="AM5" s="229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227">
        <f t="shared" si="24"/>
        <v>2.5937895578369828E-3</v>
      </c>
      <c r="AQ5" s="227">
        <f t="shared" si="30"/>
        <v>8.2062246049490074E-3</v>
      </c>
      <c r="AR5" s="231">
        <f t="shared" si="25"/>
        <v>4.1352560808735247E-7</v>
      </c>
      <c r="AS5" s="228">
        <f t="shared" si="31"/>
        <v>9.0506650066736249E-2</v>
      </c>
      <c r="AT5" s="232">
        <f t="shared" ref="AT5:AT12" si="32">$Q$43*$Q$26*$Q$35^2*$Q$32*PI()/240*($AC5-$Q$45)/$Q$44*$Q$33</f>
        <v>-1.1520822519427494E-7</v>
      </c>
      <c r="AU5" s="165">
        <f t="shared" ref="AU5" si="33">-$Q$34/AT5</f>
        <v>0.3248623736862859</v>
      </c>
      <c r="AX5" s="127"/>
      <c r="AY5" s="96"/>
    </row>
    <row r="6" spans="1:51" ht="13.9" customHeight="1" x14ac:dyDescent="0.25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0.77</v>
      </c>
      <c r="F6" s="73">
        <v>12.13</v>
      </c>
      <c r="G6" s="73">
        <v>1.77</v>
      </c>
      <c r="H6" s="73">
        <v>3080</v>
      </c>
      <c r="I6" s="78">
        <v>5540</v>
      </c>
      <c r="J6" s="61"/>
      <c r="K6" s="2">
        <f t="shared" si="2"/>
        <v>21.470100000000002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58">
        <f t="shared" si="0"/>
        <v>21.470100000000002</v>
      </c>
      <c r="V6" s="229">
        <f t="shared" si="21"/>
        <v>20.194350000000004</v>
      </c>
      <c r="W6" s="234">
        <f t="shared" si="22"/>
        <v>2.7081067625700006E-2</v>
      </c>
      <c r="X6" s="230">
        <f t="shared" si="26"/>
        <v>7.301128048069057E-3</v>
      </c>
      <c r="Y6" s="230">
        <f t="shared" si="27"/>
        <v>4.3733141677998882E-3</v>
      </c>
      <c r="Z6" s="228">
        <f t="shared" si="9"/>
        <v>0.33432806364140599</v>
      </c>
      <c r="AA6" s="229">
        <f t="shared" si="10"/>
        <v>1.8960682969048819</v>
      </c>
      <c r="AB6" s="2">
        <f t="shared" si="28"/>
        <v>8.8312038458362174</v>
      </c>
      <c r="AC6" s="158">
        <f t="shared" si="11"/>
        <v>11.342561412604413</v>
      </c>
      <c r="AD6" s="175">
        <f t="shared" si="12"/>
        <v>25.520763178359928</v>
      </c>
      <c r="AE6" s="175">
        <f t="shared" si="13"/>
        <v>31.189096741414918</v>
      </c>
      <c r="AF6" s="158">
        <f t="shared" si="23"/>
        <v>2.7497401695137449</v>
      </c>
      <c r="AG6" s="151"/>
      <c r="AH6" s="228">
        <f t="shared" si="14"/>
        <v>0.94444444444444442</v>
      </c>
      <c r="AI6" s="228">
        <f t="shared" si="15"/>
        <v>34</v>
      </c>
      <c r="AJ6" s="233">
        <f t="shared" si="16"/>
        <v>20064.019440802986</v>
      </c>
      <c r="AK6" s="233">
        <f t="shared" si="17"/>
        <v>43.541708855909256</v>
      </c>
      <c r="AL6" s="233">
        <f t="shared" si="18"/>
        <v>23.940349199014673</v>
      </c>
      <c r="AM6" s="233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230">
        <f t="shared" si="24"/>
        <v>4.2174903211159211E-3</v>
      </c>
      <c r="AQ6" s="230">
        <f t="shared" si="30"/>
        <v>1.6111920752907134E-2</v>
      </c>
      <c r="AR6" s="232">
        <f t="shared" si="25"/>
        <v>5.2836294137507056E-7</v>
      </c>
      <c r="AS6" s="228">
        <f t="shared" si="31"/>
        <v>7.0835432567228518E-2</v>
      </c>
      <c r="AT6" s="232">
        <f t="shared" si="32"/>
        <v>-1.6746334774700075E-7</v>
      </c>
      <c r="AU6" s="165">
        <f t="shared" ref="AU6:AU12" si="34">-$Q$34/AT6</f>
        <v>0.22349259111516021</v>
      </c>
      <c r="AX6" s="127"/>
      <c r="AY6" s="96"/>
    </row>
    <row r="7" spans="1:51" ht="13.9" customHeight="1" x14ac:dyDescent="0.25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1.1100000000000001</v>
      </c>
      <c r="F7" s="73">
        <v>12.08</v>
      </c>
      <c r="G7" s="73">
        <v>2.94</v>
      </c>
      <c r="H7" s="73">
        <v>2490</v>
      </c>
      <c r="I7" s="78">
        <v>3830</v>
      </c>
      <c r="J7" s="61"/>
      <c r="K7" s="2">
        <f t="shared" si="2"/>
        <v>35.5152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58">
        <f t="shared" si="0"/>
        <v>35.5152</v>
      </c>
      <c r="V7" s="229">
        <f t="shared" si="21"/>
        <v>34.239449999999998</v>
      </c>
      <c r="W7" s="234">
        <f t="shared" si="22"/>
        <v>4.5915855717900002E-2</v>
      </c>
      <c r="X7" s="230">
        <f t="shared" si="26"/>
        <v>1.0007728080562047E-2</v>
      </c>
      <c r="Y7" s="230">
        <f t="shared" si="27"/>
        <v>7.0799142002928783E-3</v>
      </c>
      <c r="Z7" s="228">
        <f t="shared" si="9"/>
        <v>0.63274240545140414</v>
      </c>
      <c r="AA7" s="229">
        <f t="shared" si="10"/>
        <v>4.9366818441590627</v>
      </c>
      <c r="AB7" s="2">
        <f t="shared" si="28"/>
        <v>13.900194407349705</v>
      </c>
      <c r="AC7" s="158">
        <f t="shared" si="11"/>
        <v>15.60408090757625</v>
      </c>
      <c r="AD7" s="175">
        <f t="shared" si="12"/>
        <v>35.109182042046562</v>
      </c>
      <c r="AE7" s="175">
        <f t="shared" si="13"/>
        <v>45.114254816563609</v>
      </c>
      <c r="AF7" s="158">
        <f t="shared" si="23"/>
        <v>2.8911830875382916</v>
      </c>
      <c r="AG7" s="151"/>
      <c r="AH7" s="228">
        <f t="shared" si="14"/>
        <v>1.4166666666666665</v>
      </c>
      <c r="AI7" s="228">
        <f t="shared" si="15"/>
        <v>51</v>
      </c>
      <c r="AJ7" s="229">
        <f t="shared" si="16"/>
        <v>25275.097592697159</v>
      </c>
      <c r="AK7" s="229">
        <f t="shared" si="17"/>
        <v>54.850472206374043</v>
      </c>
      <c r="AL7" s="229">
        <f t="shared" si="18"/>
        <v>35.02851083535257</v>
      </c>
      <c r="AM7" s="229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227">
        <f t="shared" si="24"/>
        <v>7.4230738485389948E-3</v>
      </c>
      <c r="AQ7" s="227">
        <f t="shared" si="30"/>
        <v>3.5723327486599614E-2</v>
      </c>
      <c r="AR7" s="231">
        <f t="shared" si="25"/>
        <v>7.0193276096740061E-7</v>
      </c>
      <c r="AS7" s="228">
        <f t="shared" si="31"/>
        <v>5.3319661919205556E-2</v>
      </c>
      <c r="AT7" s="232">
        <f t="shared" si="32"/>
        <v>-2.7998071647107441E-7</v>
      </c>
      <c r="AU7" s="165">
        <f t="shared" si="34"/>
        <v>0.13367641163480984</v>
      </c>
      <c r="AX7" s="127"/>
      <c r="AY7" s="96"/>
    </row>
    <row r="8" spans="1:51" ht="13.9" customHeight="1" x14ac:dyDescent="0.25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1.47</v>
      </c>
      <c r="F8" s="73">
        <v>12</v>
      </c>
      <c r="G8" s="73">
        <v>4.96</v>
      </c>
      <c r="H8" s="73">
        <v>2000</v>
      </c>
      <c r="I8" s="78">
        <v>2900</v>
      </c>
      <c r="J8" s="61"/>
      <c r="K8" s="2">
        <f t="shared" si="2"/>
        <v>59.519999999999996</v>
      </c>
      <c r="L8" s="1">
        <f t="shared" si="3"/>
        <v>76</v>
      </c>
      <c r="M8" s="234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58">
        <f t="shared" si="0"/>
        <v>59.519999999999996</v>
      </c>
      <c r="V8" s="229">
        <f t="shared" si="21"/>
        <v>58.244249999999994</v>
      </c>
      <c r="W8" s="234">
        <f t="shared" si="22"/>
        <v>7.8106820623499995E-2</v>
      </c>
      <c r="X8" s="230">
        <f t="shared" si="26"/>
        <v>1.3673900730487397E-2</v>
      </c>
      <c r="Y8" s="230">
        <f t="shared" si="27"/>
        <v>1.0746086850218228E-2</v>
      </c>
      <c r="Z8" s="228">
        <f t="shared" si="9"/>
        <v>1.2210543510272169</v>
      </c>
      <c r="AA8" s="229">
        <f t="shared" si="10"/>
        <v>13.234185582787292</v>
      </c>
      <c r="AB8" s="2">
        <f t="shared" si="28"/>
        <v>22.23485480979048</v>
      </c>
      <c r="AC8" s="158">
        <f t="shared" si="11"/>
        <v>21.676652757764597</v>
      </c>
      <c r="AD8" s="175">
        <f t="shared" si="12"/>
        <v>48.772468704970336</v>
      </c>
      <c r="AE8" s="175">
        <f t="shared" si="13"/>
        <v>59.5819296370478</v>
      </c>
      <c r="AF8" s="163">
        <f t="shared" si="23"/>
        <v>2.748668362356153</v>
      </c>
      <c r="AG8" s="159">
        <f>$M$40/($Q$26*$Q$35*$Q$32*($AC8-$Q$45)^2/4/$AF8)/(PI()*$Q$35/60/($AC8-$Q$45))</f>
        <v>-0.95608042730848575</v>
      </c>
      <c r="AH8" s="228">
        <f t="shared" si="14"/>
        <v>2.1111111111111112</v>
      </c>
      <c r="AI8" s="228">
        <f t="shared" si="15"/>
        <v>76</v>
      </c>
      <c r="AJ8" s="229">
        <f t="shared" si="16"/>
        <v>30401.899376450201</v>
      </c>
      <c r="AK8" s="229">
        <f t="shared" si="17"/>
        <v>65.97634413292144</v>
      </c>
      <c r="AL8" s="229">
        <f t="shared" si="18"/>
        <v>45.937348737746348</v>
      </c>
      <c r="AM8" s="229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227">
        <f t="shared" si="24"/>
        <v>1.145947737749306E-2</v>
      </c>
      <c r="AQ8" s="227">
        <f t="shared" si="30"/>
        <v>6.6334706423696016E-2</v>
      </c>
      <c r="AR8" s="231">
        <f t="shared" si="25"/>
        <v>8.7269551576665403E-7</v>
      </c>
      <c r="AS8" s="228">
        <f t="shared" si="31"/>
        <v>4.2886455617819064E-2</v>
      </c>
      <c r="AT8" s="232">
        <f t="shared" si="32"/>
        <v>-4.4031550005642732E-7</v>
      </c>
      <c r="AU8" s="165">
        <f t="shared" si="34"/>
        <v>8.5000000000000006E-2</v>
      </c>
      <c r="AX8" s="127"/>
      <c r="AY8" s="96"/>
    </row>
    <row r="9" spans="1:51" ht="13.9" customHeight="1" x14ac:dyDescent="0.25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1.65</v>
      </c>
      <c r="F9" s="73">
        <v>11.95</v>
      </c>
      <c r="G9" s="73">
        <v>6.19</v>
      </c>
      <c r="H9" s="73">
        <v>1860</v>
      </c>
      <c r="I9" s="78">
        <v>2630</v>
      </c>
      <c r="J9" s="61"/>
      <c r="K9" s="2">
        <f t="shared" si="2"/>
        <v>73.970500000000001</v>
      </c>
      <c r="L9" s="1">
        <f t="shared" si="3"/>
        <v>91</v>
      </c>
      <c r="M9" s="234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58">
        <f t="shared" si="0"/>
        <v>73.970500000000001</v>
      </c>
      <c r="V9" s="229">
        <f t="shared" si="21"/>
        <v>72.694749999999999</v>
      </c>
      <c r="W9" s="234">
        <f t="shared" si="22"/>
        <v>9.7485259034500005E-2</v>
      </c>
      <c r="X9" s="230">
        <f t="shared" si="26"/>
        <v>1.5871769993925016E-2</v>
      </c>
      <c r="Y9" s="230">
        <f t="shared" si="27"/>
        <v>1.2943956113655848E-2</v>
      </c>
      <c r="Z9" s="228">
        <f t="shared" si="9"/>
        <v>1.5180502575687365</v>
      </c>
      <c r="AA9" s="229">
        <f t="shared" si="10"/>
        <v>18.345263410826512</v>
      </c>
      <c r="AB9" s="2">
        <f t="shared" si="28"/>
        <v>24.800783299864825</v>
      </c>
      <c r="AC9" s="158">
        <f t="shared" si="11"/>
        <v>24.169507326071976</v>
      </c>
      <c r="AD9" s="175">
        <f t="shared" si="12"/>
        <v>54.381391483661943</v>
      </c>
      <c r="AE9" s="175">
        <f t="shared" si="13"/>
        <v>65.698705683436742</v>
      </c>
      <c r="AF9" s="165">
        <f t="shared" si="23"/>
        <v>2.7182476165977389</v>
      </c>
      <c r="AG9" s="151"/>
      <c r="AH9" s="228">
        <f t="shared" si="14"/>
        <v>2.5277777777777777</v>
      </c>
      <c r="AI9" s="228">
        <f t="shared" si="15"/>
        <v>91</v>
      </c>
      <c r="AJ9" s="229">
        <f t="shared" si="16"/>
        <v>32716.898893444188</v>
      </c>
      <c r="AK9" s="229">
        <f t="shared" si="17"/>
        <v>71.000214612509083</v>
      </c>
      <c r="AL9" s="229">
        <f t="shared" si="18"/>
        <v>50.863217835131302</v>
      </c>
      <c r="AM9" s="229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227">
        <f t="shared" si="24"/>
        <v>1.3569019174170294E-2</v>
      </c>
      <c r="AQ9" s="227">
        <f t="shared" si="30"/>
        <v>8.4527080808175004E-2</v>
      </c>
      <c r="AR9" s="231">
        <f t="shared" si="25"/>
        <v>9.4980317694708032E-7</v>
      </c>
      <c r="AS9" s="228">
        <f t="shared" si="31"/>
        <v>3.9404813979561595E-2</v>
      </c>
      <c r="AT9" s="232">
        <f t="shared" si="32"/>
        <v>-5.0613461386517141E-7</v>
      </c>
      <c r="AU9" s="165">
        <f t="shared" si="34"/>
        <v>7.394637015433686E-2</v>
      </c>
      <c r="AX9" s="150"/>
      <c r="AY9" s="152"/>
    </row>
    <row r="10" spans="1:51" ht="13.9" customHeight="1" x14ac:dyDescent="0.25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1.77</v>
      </c>
      <c r="F10" s="73">
        <v>11.91</v>
      </c>
      <c r="G10" s="73">
        <v>7.26</v>
      </c>
      <c r="H10" s="73">
        <v>1770</v>
      </c>
      <c r="I10" s="78">
        <v>2410</v>
      </c>
      <c r="J10" s="61"/>
      <c r="K10" s="2">
        <f t="shared" si="2"/>
        <v>86.4666</v>
      </c>
      <c r="L10" s="1">
        <f t="shared" si="3"/>
        <v>106</v>
      </c>
      <c r="M10" s="234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58">
        <f t="shared" si="0"/>
        <v>86.4666</v>
      </c>
      <c r="V10" s="229">
        <f t="shared" si="21"/>
        <v>85.190849999999998</v>
      </c>
      <c r="W10" s="234">
        <f t="shared" si="22"/>
        <v>0.11424280404870001</v>
      </c>
      <c r="X10" s="230">
        <f t="shared" si="26"/>
        <v>1.7700094602481287E-2</v>
      </c>
      <c r="Y10" s="230">
        <f t="shared" si="27"/>
        <v>1.4772280722212119E-2</v>
      </c>
      <c r="Z10" s="228">
        <f t="shared" si="9"/>
        <v>1.7615914080107602</v>
      </c>
      <c r="AA10" s="229">
        <f t="shared" si="10"/>
        <v>22.932558091663331</v>
      </c>
      <c r="AB10" s="2">
        <f t="shared" si="28"/>
        <v>26.521868665662033</v>
      </c>
      <c r="AC10" s="158">
        <f t="shared" si="11"/>
        <v>26.036182950687113</v>
      </c>
      <c r="AD10" s="175">
        <f t="shared" si="12"/>
        <v>58.58141163904601</v>
      </c>
      <c r="AE10" s="175">
        <f t="shared" si="13"/>
        <v>71.69609790350151</v>
      </c>
      <c r="AF10" s="165">
        <f t="shared" si="23"/>
        <v>2.7537100211384633</v>
      </c>
      <c r="AG10" s="151"/>
      <c r="AH10" s="228">
        <f t="shared" si="14"/>
        <v>2.9444444444444446</v>
      </c>
      <c r="AI10" s="228">
        <f t="shared" si="15"/>
        <v>106</v>
      </c>
      <c r="AJ10" s="229">
        <f t="shared" si="16"/>
        <v>34677.867024715182</v>
      </c>
      <c r="AK10" s="229">
        <f t="shared" si="17"/>
        <v>75.255787814052042</v>
      </c>
      <c r="AL10" s="229">
        <f t="shared" si="18"/>
        <v>55.035776942757948</v>
      </c>
      <c r="AM10" s="229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227">
        <f t="shared" si="24"/>
        <v>1.5495593875672928E-2</v>
      </c>
      <c r="AQ10" s="227">
        <f t="shared" si="30"/>
        <v>0.10231419342908926</v>
      </c>
      <c r="AR10" s="231">
        <f t="shared" si="25"/>
        <v>1.0151188131455696E-6</v>
      </c>
      <c r="AS10" s="228">
        <f t="shared" si="31"/>
        <v>3.6869395995943639E-2</v>
      </c>
      <c r="AT10" s="232">
        <f t="shared" si="32"/>
        <v>-5.5542065603648613E-7</v>
      </c>
      <c r="AU10" s="165">
        <f t="shared" si="34"/>
        <v>6.7384633787076362E-2</v>
      </c>
      <c r="AX10" s="127"/>
      <c r="AY10" s="96"/>
    </row>
    <row r="11" spans="1:51" ht="13.9" customHeight="1" x14ac:dyDescent="0.25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</v>
      </c>
      <c r="F11" s="73">
        <v>11.8</v>
      </c>
      <c r="G11" s="73">
        <v>9.56</v>
      </c>
      <c r="H11" s="73">
        <v>1590</v>
      </c>
      <c r="I11" s="78">
        <v>2140</v>
      </c>
      <c r="J11" s="61"/>
      <c r="K11" s="2">
        <f t="shared" si="2"/>
        <v>112.80800000000001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58">
        <f t="shared" si="0"/>
        <v>112.80800000000001</v>
      </c>
      <c r="V11" s="229">
        <f t="shared" si="21"/>
        <v>111.53225</v>
      </c>
      <c r="W11" s="234">
        <f t="shared" si="22"/>
        <v>0.14956720095950002</v>
      </c>
      <c r="X11" s="230">
        <f t="shared" si="26"/>
        <v>2.0816463895141291E-2</v>
      </c>
      <c r="Y11" s="230">
        <f t="shared" si="27"/>
        <v>1.7888650014872123E-2</v>
      </c>
      <c r="Z11" s="228">
        <f t="shared" si="9"/>
        <v>2.4301529570440161</v>
      </c>
      <c r="AA11" s="229">
        <f t="shared" si="10"/>
        <v>37.157384927395292</v>
      </c>
      <c r="AB11" s="2">
        <f t="shared" si="28"/>
        <v>32.93860801308</v>
      </c>
      <c r="AC11" s="158">
        <f t="shared" si="11"/>
        <v>30.580284932017367</v>
      </c>
      <c r="AD11" s="175">
        <f t="shared" si="12"/>
        <v>68.805641097039071</v>
      </c>
      <c r="AE11" s="175">
        <f t="shared" si="13"/>
        <v>80.741867265158248</v>
      </c>
      <c r="AF11" s="165">
        <f t="shared" si="23"/>
        <v>2.6403242299623577</v>
      </c>
      <c r="AG11" s="151"/>
      <c r="AH11" s="228">
        <f t="shared" si="14"/>
        <v>3.6666666666666665</v>
      </c>
      <c r="AI11" s="228">
        <f t="shared" si="15"/>
        <v>132</v>
      </c>
      <c r="AJ11" s="229">
        <f t="shared" si="16"/>
        <v>37497.140052014016</v>
      </c>
      <c r="AK11" s="229">
        <f t="shared" si="17"/>
        <v>81.374001848988755</v>
      </c>
      <c r="AL11" s="229">
        <f t="shared" si="18"/>
        <v>61.034642074399542</v>
      </c>
      <c r="AM11" s="229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227">
        <f t="shared" si="24"/>
        <v>1.8489861371614368E-2</v>
      </c>
      <c r="AQ11" s="227">
        <f t="shared" si="30"/>
        <v>0.13201007642683699</v>
      </c>
      <c r="AR11" s="231">
        <f t="shared" si="25"/>
        <v>1.1090227417504228E-6</v>
      </c>
      <c r="AS11" s="228">
        <f t="shared" si="31"/>
        <v>3.37475653977337E-2</v>
      </c>
      <c r="AT11" s="232">
        <f t="shared" si="32"/>
        <v>-6.7539908128043967E-7</v>
      </c>
      <c r="AU11" s="165">
        <f t="shared" si="34"/>
        <v>5.5414374319019744E-2</v>
      </c>
      <c r="AX11" s="127"/>
      <c r="AY11" s="96"/>
    </row>
    <row r="12" spans="1:51" ht="13.9" customHeight="1" thickBot="1" x14ac:dyDescent="0.3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2.42</v>
      </c>
      <c r="F12" s="80">
        <v>11.5</v>
      </c>
      <c r="G12" s="80">
        <v>15.36</v>
      </c>
      <c r="H12" s="80">
        <v>1395</v>
      </c>
      <c r="I12" s="81">
        <v>1790</v>
      </c>
      <c r="J12" s="61"/>
      <c r="K12" s="2">
        <f t="shared" si="2"/>
        <v>176.64</v>
      </c>
      <c r="L12" s="1">
        <f t="shared" si="3"/>
        <v>180</v>
      </c>
      <c r="M12" s="234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58">
        <f t="shared" si="0"/>
        <v>176.64</v>
      </c>
      <c r="V12" s="229">
        <f t="shared" si="21"/>
        <v>175.36425</v>
      </c>
      <c r="W12" s="234">
        <f t="shared" si="22"/>
        <v>0.23516731726350001</v>
      </c>
      <c r="X12" s="230">
        <f t="shared" si="26"/>
        <v>2.8716045943728719E-2</v>
      </c>
      <c r="Y12" s="230">
        <f t="shared" si="27"/>
        <v>2.5788232063459551E-2</v>
      </c>
      <c r="Z12" s="163">
        <f>C32/0.224</f>
        <v>4.4249528005034611</v>
      </c>
      <c r="AA12" s="229">
        <f t="shared" si="10"/>
        <v>91.297248929319878</v>
      </c>
      <c r="AB12" s="2">
        <f>AA12/U12*100</f>
        <v>51.685489656544313</v>
      </c>
      <c r="AC12" s="158">
        <f t="shared" si="11"/>
        <v>41.264733453849395</v>
      </c>
      <c r="AD12" s="175">
        <f>AC12*1/1.6/1000*3600</f>
        <v>92.845650271161119</v>
      </c>
      <c r="AE12" s="175">
        <f t="shared" si="13"/>
        <v>96.529383210859564</v>
      </c>
      <c r="AF12" s="165">
        <f t="shared" si="23"/>
        <v>2.3392707314786927</v>
      </c>
      <c r="AG12" s="151"/>
      <c r="AH12" s="228">
        <f t="shared" si="14"/>
        <v>5</v>
      </c>
      <c r="AI12" s="228">
        <f t="shared" si="15"/>
        <v>180</v>
      </c>
      <c r="AJ12" s="229">
        <f t="shared" si="16"/>
        <v>41483.282233588077</v>
      </c>
      <c r="AK12" s="229">
        <f t="shared" si="17"/>
        <v>90.024484013863017</v>
      </c>
      <c r="AL12" s="229">
        <f t="shared" si="18"/>
        <v>69.516378008191268</v>
      </c>
      <c r="AM12" s="229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227">
        <f t="shared" si="24"/>
        <v>2.3175203419992164E-2</v>
      </c>
      <c r="AQ12" s="227">
        <f t="shared" si="30"/>
        <v>0.18305093379519241</v>
      </c>
      <c r="AR12" s="231">
        <f t="shared" si="25"/>
        <v>1.2417925753929479E-6</v>
      </c>
      <c r="AS12" s="228">
        <f t="shared" si="31"/>
        <v>3.0139347139318443E-2</v>
      </c>
      <c r="AT12" s="232">
        <f t="shared" si="32"/>
        <v>-9.5750175272493648E-7</v>
      </c>
      <c r="AU12" s="165">
        <f t="shared" si="34"/>
        <v>3.9087988505800683E-2</v>
      </c>
      <c r="AX12" s="127"/>
      <c r="AY12" s="96"/>
    </row>
    <row r="13" spans="1:51" ht="13.9" customHeight="1" x14ac:dyDescent="0.25">
      <c r="C13" s="267"/>
      <c r="AE13" s="45"/>
      <c r="AF13" s="30"/>
      <c r="AH13" s="228">
        <f t="shared" si="14"/>
        <v>0</v>
      </c>
      <c r="AI13" s="228">
        <f t="shared" si="15"/>
        <v>0</v>
      </c>
      <c r="AJ13" s="229" t="e">
        <f t="shared" si="16"/>
        <v>#NUM!</v>
      </c>
      <c r="AK13" s="229" t="e">
        <f t="shared" si="17"/>
        <v>#NUM!</v>
      </c>
      <c r="AL13" s="229" t="e">
        <f t="shared" si="18"/>
        <v>#NUM!</v>
      </c>
      <c r="AM13" s="229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227" t="e">
        <f t="shared" si="24"/>
        <v>#NUM!</v>
      </c>
      <c r="AQ13" s="227" t="e">
        <f t="shared" si="30"/>
        <v>#NUM!</v>
      </c>
      <c r="AR13" s="231" t="e">
        <f t="shared" si="25"/>
        <v>#NUM!</v>
      </c>
      <c r="AS13" s="228" t="e">
        <f t="shared" si="31"/>
        <v>#NUM!</v>
      </c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I36" s="208" t="s">
        <v>344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92" t="s">
        <v>345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76.333333333333329</v>
      </c>
      <c r="J38" s="253">
        <f t="shared" ref="J38:J43" si="35">(I38*$Q$29*$R$42+$Q$42)/$Q$29</f>
        <v>96.892103874369454</v>
      </c>
      <c r="K38" s="242">
        <v>0</v>
      </c>
      <c r="L38" s="213"/>
      <c r="M38" s="216"/>
      <c r="P38" s="226" t="s">
        <v>346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5"/>
        <v>82.311799665701983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14024.385281523566</v>
      </c>
      <c r="S39" s="205">
        <f>INDEX(LINEST($Q$5:$Q$12,$E$5:$E$12^{1,2},FALSE,FALSE),1)</f>
        <v>-41.159701121464188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5"/>
        <v>68.07057229909654</v>
      </c>
      <c r="K40" s="243">
        <v>8.5000000000000006E-2</v>
      </c>
      <c r="L40" s="251">
        <f>$Q$34/K40</f>
        <v>4.4031550005642732E-7</v>
      </c>
      <c r="M40" s="252">
        <f>-L40/$Q$33</f>
        <v>-5.9689169187649285E-7</v>
      </c>
      <c r="N40" s="265" t="s">
        <v>291</v>
      </c>
      <c r="P40" s="65" t="s">
        <v>21</v>
      </c>
      <c r="Q40" s="205">
        <f>INDEX(LINEST($P$4:$P$12,$M$4:$M$12),2)</f>
        <v>-25257.118970513111</v>
      </c>
      <c r="R40" s="67">
        <f>INDEX(LINEST($P$4:$P$12,$M$4:$M$12),1)</f>
        <v>12852.100088730782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5"/>
        <v>44.674270196816167</v>
      </c>
      <c r="K41" s="243">
        <v>0.22800000000000001</v>
      </c>
      <c r="L41" s="61"/>
      <c r="M41" s="250"/>
      <c r="P41" s="65" t="s">
        <v>122</v>
      </c>
      <c r="Q41" s="205">
        <f>INDEX(LINEST($Q$5:$Q$12,$P$5:$P$12),2)</f>
        <v>-8640.9147442749236</v>
      </c>
      <c r="R41" s="69">
        <f>INDEX(LINEST($Q$5:$Q$12,$P$5:$P$12),1)</f>
        <v>0.98049285255245755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5"/>
        <v>35.519195461141237</v>
      </c>
      <c r="K42" s="243">
        <v>0.32300000000000001</v>
      </c>
      <c r="L42" s="61"/>
      <c r="M42" s="250"/>
      <c r="P42" s="65" t="s">
        <v>123</v>
      </c>
      <c r="Q42" s="205">
        <f>INDEX(LINEST($P$5:$P$12,$Q$5:$Q$12),2)</f>
        <v>8867.4080450289839</v>
      </c>
      <c r="R42" s="69">
        <f>INDEX(LINEST($P$5:$P$12,$Q$5:$Q$12),1)</f>
        <v>1.017230526186103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-0.76842105263158089</v>
      </c>
      <c r="J43" s="257">
        <f t="shared" si="35"/>
        <v>18.461845690462692</v>
      </c>
      <c r="K43" s="246">
        <v>0.5</v>
      </c>
      <c r="L43" s="255"/>
      <c r="M43" s="256"/>
      <c r="P43" s="65" t="s">
        <v>180</v>
      </c>
      <c r="Q43" s="206">
        <f>AG8</f>
        <v>-0.95608042730848575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2.748668362356153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3.2069164097329496E-4</v>
      </c>
      <c r="K46" s="180">
        <f>INDEX(LINEST($Y$3:$Y$12,$P$3:$P$12^{1,2}),2)</f>
        <v>-1.3992644771638302E-7</v>
      </c>
      <c r="L46" s="180">
        <f>INDEX(LINEST($Y$3:$Y$12,$P$3:$P$12^{1,2}),1)</f>
        <v>1.6653925975878835E-11</v>
      </c>
      <c r="M46" s="44" t="s">
        <v>268</v>
      </c>
      <c r="N46" s="10"/>
      <c r="O46" s="10"/>
      <c r="T46" s="229">
        <f>Q42/Q29</f>
        <v>19.243507042163593</v>
      </c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14.010526315789477</v>
      </c>
      <c r="S49" s="258">
        <f ca="1">J53</f>
        <v>31.916083916083913</v>
      </c>
      <c r="T49" s="258">
        <f ca="1">J52</f>
        <v>47.999999999999993</v>
      </c>
      <c r="U49" s="259">
        <f ca="1">J51</f>
        <v>69.666666666666657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6">FORECAST(I50,OFFSET(MeasNt,MATCH(I50,MeasTauT,1)-1,0,2),OFFSET(MeasTauT,MATCH(I50,MeasTauT,1)-1,0,2))</f>
        <v>76.333333333333329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6"/>
        <v>69.666666666666657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6"/>
        <v>47.999999999999993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6"/>
        <v>31.916083916083913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6"/>
        <v>14.010526315789477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6"/>
        <v>-0.76842105263158089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B2" zoomScale="80" zoomScaleNormal="80" workbookViewId="0">
      <selection activeCell="Q20" sqref="Q2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65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65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.75" thickBot="1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5.75" thickBot="1" x14ac:dyDescent="0.3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.75" thickBot="1" x14ac:dyDescent="0.3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.75" thickBot="1" x14ac:dyDescent="0.3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.75" thickBot="1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.75" thickBot="1" x14ac:dyDescent="0.3">
      <c r="Q49" s="61"/>
      <c r="R49" s="213"/>
      <c r="T49" s="213"/>
      <c r="U49" s="188"/>
      <c r="V49" s="30"/>
      <c r="BC49" s="45"/>
      <c r="BD49" s="61"/>
      <c r="BE49" s="45"/>
    </row>
    <row r="50" spans="1:57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25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25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25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25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25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.75" thickBot="1" x14ac:dyDescent="0.3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25">
      <c r="V58" s="45"/>
      <c r="W58" s="45"/>
      <c r="X58" s="196"/>
      <c r="Y58" s="45"/>
    </row>
    <row r="59" spans="1:57" x14ac:dyDescent="0.25">
      <c r="W59" s="45"/>
      <c r="X59" s="196"/>
      <c r="Y59" s="45"/>
    </row>
    <row r="60" spans="1:57" x14ac:dyDescent="0.25">
      <c r="W60" s="45"/>
      <c r="X60" s="149"/>
      <c r="Y60" s="45"/>
    </row>
    <row r="61" spans="1:57" x14ac:dyDescent="0.25">
      <c r="W61" s="45"/>
      <c r="X61" s="149"/>
      <c r="Y61" s="45"/>
    </row>
    <row r="62" spans="1:57" x14ac:dyDescent="0.25">
      <c r="W62" s="45"/>
      <c r="X62" s="149"/>
      <c r="Y62" s="45"/>
    </row>
    <row r="63" spans="1:57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43" baseType="lpstr">
      <vt:lpstr>Gain Approx</vt:lpstr>
      <vt:lpstr>tauFiddle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210023782</cp:lastModifiedBy>
  <dcterms:created xsi:type="dcterms:W3CDTF">2016-09-13T12:10:02Z</dcterms:created>
  <dcterms:modified xsi:type="dcterms:W3CDTF">2017-02-13T20:13:04Z</dcterms:modified>
</cp:coreProperties>
</file>