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tleBorn Calculator" sheetId="1" r:id="rId4"/>
  </sheets>
  <definedNames/>
  <calcPr/>
  <extLst>
    <ext uri="GoogleSheetsCustomDataVersion1">
      <go:sheetsCustomData xmlns:go="http://customooxmlschemas.google.com/" r:id="rId5" roundtripDataSignature="AMtx7mhQyGgmO7aPK8PPgcK+GfK0v/RzUw=="/>
    </ext>
  </extLst>
</workbook>
</file>

<file path=xl/sharedStrings.xml><?xml version="1.0" encoding="utf-8"?>
<sst xmlns="http://schemas.openxmlformats.org/spreadsheetml/2006/main" count="43" uniqueCount="36">
  <si>
    <t>Observations</t>
  </si>
  <si>
    <t>Input:</t>
  </si>
  <si>
    <t>R</t>
  </si>
  <si>
    <t>Ohms</t>
  </si>
  <si>
    <t>C=</t>
  </si>
  <si>
    <t>OAT, C</t>
  </si>
  <si>
    <t>m</t>
  </si>
  <si>
    <t>b</t>
  </si>
  <si>
    <t>a</t>
  </si>
  <si>
    <t>c</t>
  </si>
  <si>
    <t>d</t>
  </si>
  <si>
    <t>n</t>
  </si>
  <si>
    <t>Battery Temp (32 - 122 )</t>
  </si>
  <si>
    <t>F</t>
  </si>
  <si>
    <t>14-122</t>
  </si>
  <si>
    <t>Cs=</t>
  </si>
  <si>
    <t>Observed Voltage</t>
  </si>
  <si>
    <t>V</t>
  </si>
  <si>
    <t>Observed Charging Amps (+ charge, - discharge)</t>
  </si>
  <si>
    <t>A</t>
  </si>
  <si>
    <t>Calculated SOC=</t>
  </si>
  <si>
    <t>%</t>
  </si>
  <si>
    <t>VOC= N cells * (a + b*(-ln(s))^m + c*s + d*exp(n*(s-1)))</t>
  </si>
  <si>
    <t>V/C</t>
  </si>
  <si>
    <t>From Battleborn Cap Curves</t>
  </si>
  <si>
    <t>N cells</t>
  </si>
  <si>
    <t>Tc</t>
  </si>
  <si>
    <t>C</t>
  </si>
  <si>
    <t>R=</t>
  </si>
  <si>
    <t>ohm</t>
  </si>
  <si>
    <t>T=</t>
  </si>
  <si>
    <t>socs</t>
  </si>
  <si>
    <t>VOC</t>
  </si>
  <si>
    <t>voc=</t>
  </si>
  <si>
    <t>socs=</t>
  </si>
  <si>
    <t>soc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</si>
</sst>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9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6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horizontal="center"/>
    </xf>
    <xf borderId="4" fillId="2" fontId="1" numFmtId="0" xfId="0" applyBorder="1" applyFill="1" applyFont="1"/>
    <xf borderId="0" fillId="0" fontId="2" numFmtId="0" xfId="0" applyFont="1"/>
    <xf borderId="0" fillId="0" fontId="1" numFmtId="0" xfId="0" applyAlignment="1" applyFont="1">
      <alignment horizontal="right"/>
    </xf>
    <xf borderId="5" fillId="0" fontId="1" numFmtId="0" xfId="0" applyBorder="1" applyFont="1"/>
    <xf borderId="6" fillId="2" fontId="1" numFmtId="0" xfId="0" applyAlignment="1" applyBorder="1" applyFont="1">
      <alignment horizontal="center"/>
    </xf>
    <xf borderId="7" fillId="0" fontId="1" numFmtId="0" xfId="0" applyBorder="1" applyFont="1"/>
    <xf borderId="4" fillId="2" fontId="1" numFmtId="164" xfId="0" applyAlignment="1" applyBorder="1" applyFont="1" applyNumberFormat="1">
      <alignment horizontal="center"/>
    </xf>
    <xf borderId="4" fillId="3" fontId="1" numFmtId="0" xfId="0" applyAlignment="1" applyBorder="1" applyFill="1" applyFont="1">
      <alignment horizontal="center"/>
    </xf>
    <xf borderId="0" fillId="0" fontId="1" numFmtId="164" xfId="0" applyAlignment="1" applyFont="1" applyNumberFormat="1">
      <alignment horizontal="center"/>
    </xf>
    <xf borderId="4" fillId="3" fontId="1" numFmtId="164" xfId="0" applyAlignment="1" applyBorder="1" applyFont="1" applyNumberFormat="1">
      <alignment horizontal="center"/>
    </xf>
    <xf borderId="8" fillId="0" fontId="1" numFmtId="0" xfId="0" applyBorder="1" applyFont="1"/>
    <xf borderId="9" fillId="4" fontId="1" numFmtId="0" xfId="0" applyAlignment="1" applyBorder="1" applyFill="1" applyFont="1">
      <alignment horizontal="center"/>
    </xf>
    <xf borderId="10" fillId="0" fontId="1" numFmtId="0" xfId="0" applyBorder="1" applyFont="1"/>
    <xf borderId="0" fillId="0" fontId="3" numFmtId="164" xfId="0" applyFont="1" applyNumberFormat="1"/>
    <xf borderId="11" fillId="0" fontId="1" numFmtId="0" xfId="0" applyBorder="1" applyFont="1"/>
    <xf borderId="12" fillId="5" fontId="1" numFmtId="0" xfId="0" applyAlignment="1" applyBorder="1" applyFill="1" applyFont="1">
      <alignment horizontal="center"/>
    </xf>
    <xf borderId="13" fillId="0" fontId="1" numFmtId="0" xfId="0" applyBorder="1" applyFont="1"/>
    <xf borderId="0" fillId="0" fontId="4" numFmtId="0" xfId="0" applyFont="1"/>
    <xf borderId="0" fillId="0" fontId="5" numFmtId="165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Font="1"/>
    <xf borderId="4" fillId="2" fontId="1" numFmtId="1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3" numFmtId="0" xfId="0" applyFont="1"/>
    <xf borderId="0" fillId="0" fontId="6" numFmtId="0" xfId="0" applyAlignment="1" applyFont="1">
      <alignment horizontal="right"/>
    </xf>
    <xf borderId="0" fillId="0" fontId="6" numFmtId="165" xfId="0" applyFont="1" applyNumberFormat="1"/>
    <xf quotePrefix="1"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36.0"/>
    <col customWidth="1" min="3" max="3" width="11.0"/>
    <col customWidth="1" min="4" max="4" width="2.75"/>
    <col customWidth="1" min="5" max="9" width="7.75"/>
    <col customWidth="1" min="10" max="10" width="8.38"/>
    <col customWidth="1" min="11" max="12" width="3.5"/>
    <col customWidth="1" min="13" max="19" width="7.75"/>
    <col customWidth="1" min="20" max="26" width="7.63"/>
  </cols>
  <sheetData>
    <row r="1" ht="14.25" customHeight="1">
      <c r="A1" s="1"/>
      <c r="B1" s="1"/>
      <c r="C1" s="1"/>
      <c r="D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 t="s">
        <v>1</v>
      </c>
      <c r="D2" s="4"/>
      <c r="G2" s="5" t="s">
        <v>2</v>
      </c>
      <c r="H2" s="6">
        <v>0.0117</v>
      </c>
      <c r="I2" s="7" t="s">
        <v>3</v>
      </c>
      <c r="J2" s="8" t="s">
        <v>4</v>
      </c>
      <c r="K2" s="1">
        <v>100.0</v>
      </c>
      <c r="L2" s="1"/>
      <c r="M2" s="5" t="s">
        <v>5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T2" s="1"/>
      <c r="U2" s="1"/>
      <c r="V2" s="1"/>
      <c r="W2" s="1"/>
      <c r="X2" s="1"/>
      <c r="Y2" s="1"/>
      <c r="Z2" s="1"/>
    </row>
    <row r="3" ht="14.25" customHeight="1">
      <c r="A3" s="1"/>
      <c r="B3" s="9" t="s">
        <v>12</v>
      </c>
      <c r="C3" s="10">
        <v>86.0</v>
      </c>
      <c r="D3" s="11" t="s">
        <v>13</v>
      </c>
      <c r="E3" s="7" t="s">
        <v>14</v>
      </c>
      <c r="G3" s="5" t="s">
        <v>6</v>
      </c>
      <c r="H3" s="12">
        <f>FORECAST(H$10,OFFSET('BattleBorn Calculator'!$N$3:$N$5,MATCH(H$10,'BattleBorn Calculator'!$M$3:$M$5,1)-1,0,2),OFFSET('BattleBorn Calculator'!$M$3:$M$5,MATCH(H$10,'BattleBorn Calculator'!$M$3:$M$5,1)-1,0,2))</f>
        <v>0.478</v>
      </c>
      <c r="J3" s="8" t="s">
        <v>15</v>
      </c>
      <c r="K3" s="1">
        <v>102.0</v>
      </c>
      <c r="L3" s="1"/>
      <c r="M3" s="13">
        <v>0.0</v>
      </c>
      <c r="N3" s="13">
        <v>0.478</v>
      </c>
      <c r="O3" s="14">
        <f>O$4</f>
        <v>-0.8360223043</v>
      </c>
      <c r="P3" s="14">
        <f>(M3-M$4)*$J$8/4+P$4</f>
        <v>3.999233526</v>
      </c>
      <c r="Q3" s="14">
        <f t="shared" ref="Q3:R3" si="1">Q$4</f>
        <v>-1.181466044</v>
      </c>
      <c r="R3" s="14">
        <f t="shared" si="1"/>
        <v>0.7069316569</v>
      </c>
      <c r="S3" s="15">
        <v>0.4</v>
      </c>
      <c r="T3" s="1"/>
      <c r="U3" s="1"/>
      <c r="V3" s="1"/>
      <c r="W3" s="1"/>
      <c r="X3" s="1"/>
      <c r="Y3" s="1"/>
      <c r="Z3" s="1"/>
    </row>
    <row r="4" ht="14.25" customHeight="1">
      <c r="A4" s="1"/>
      <c r="B4" s="16" t="s">
        <v>16</v>
      </c>
      <c r="C4" s="17">
        <v>12.85</v>
      </c>
      <c r="D4" s="18" t="s">
        <v>17</v>
      </c>
      <c r="G4" s="5" t="s">
        <v>7</v>
      </c>
      <c r="H4" s="12">
        <f>FORECAST(H$10,OFFSET('BattleBorn Calculator'!$O$3:$O$5,MATCH(H$10,'BattleBorn Calculator'!$M$3:$M$5,1)-1,0,2),OFFSET('BattleBorn Calculator'!$M$3:$M$5,MATCH(H$10,'BattleBorn Calculator'!$M$3:$M$5,1)-1,0,2))</f>
        <v>-0.8360223043</v>
      </c>
      <c r="J4" s="1"/>
      <c r="K4" s="1"/>
      <c r="L4" s="1"/>
      <c r="M4" s="13">
        <v>25.0</v>
      </c>
      <c r="N4" s="13">
        <v>0.478</v>
      </c>
      <c r="O4" s="19">
        <v>-0.836022304310955</v>
      </c>
      <c r="P4" s="19">
        <v>4.046108526233597</v>
      </c>
      <c r="Q4" s="19">
        <v>-1.1814660442827118</v>
      </c>
      <c r="R4" s="19">
        <v>0.7069316569279404</v>
      </c>
      <c r="S4" s="15">
        <v>0.4</v>
      </c>
      <c r="T4" s="1"/>
      <c r="U4" s="1"/>
      <c r="V4" s="1"/>
      <c r="W4" s="1"/>
      <c r="X4" s="1"/>
      <c r="Y4" s="1"/>
      <c r="Z4" s="1"/>
    </row>
    <row r="5" ht="14.25" customHeight="1">
      <c r="A5" s="1"/>
      <c r="B5" s="20" t="s">
        <v>18</v>
      </c>
      <c r="C5" s="21">
        <v>0.0</v>
      </c>
      <c r="D5" s="22" t="s">
        <v>19</v>
      </c>
      <c r="G5" s="5" t="s">
        <v>8</v>
      </c>
      <c r="H5" s="12">
        <f>FORECAST(H$10,OFFSET('BattleBorn Calculator'!$P$3:$P$5,MATCH(H$10,'BattleBorn Calculator'!$M$3:$M$5,1)-1,0,2),OFFSET('BattleBorn Calculator'!$M$3:$M$5,MATCH(H$10,'BattleBorn Calculator'!$M$3:$M$5,1)-1,0,2))</f>
        <v>4.055483526</v>
      </c>
      <c r="J5" s="1"/>
      <c r="K5" s="1"/>
      <c r="L5" s="1"/>
      <c r="M5" s="13">
        <v>50.00001</v>
      </c>
      <c r="N5" s="13">
        <v>0.478</v>
      </c>
      <c r="O5" s="14">
        <f>O$4</f>
        <v>-0.8360223043</v>
      </c>
      <c r="P5" s="14">
        <f>(M5-M$4)*$J$8/4+P$4</f>
        <v>4.092983545</v>
      </c>
      <c r="Q5" s="14">
        <f t="shared" ref="Q5:R5" si="2">Q$4</f>
        <v>-1.181466044</v>
      </c>
      <c r="R5" s="14">
        <f t="shared" si="2"/>
        <v>0.7069316569</v>
      </c>
      <c r="S5" s="15">
        <v>0.4</v>
      </c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5"/>
      <c r="D6" s="1"/>
      <c r="G6" s="5" t="s">
        <v>9</v>
      </c>
      <c r="H6" s="12">
        <f>FORECAST(H$10,OFFSET('BattleBorn Calculator'!$Q$3:$Q$5,MATCH(H$10,'BattleBorn Calculator'!$M$3:$M$5,1)-1,0,2),OFFSET('BattleBorn Calculator'!$M$3:$M$5,MATCH(H$10,'BattleBorn Calculator'!$M$3:$M$5,1)-1,0,2))</f>
        <v>-1.181466044</v>
      </c>
      <c r="J6" s="1"/>
      <c r="K6" s="1"/>
      <c r="L6" s="1"/>
      <c r="M6" s="5"/>
      <c r="N6" s="14"/>
      <c r="O6" s="14"/>
      <c r="P6" s="14"/>
      <c r="Q6" s="14"/>
      <c r="R6" s="1"/>
      <c r="S6" s="14"/>
      <c r="T6" s="1"/>
      <c r="U6" s="1"/>
      <c r="V6" s="1"/>
      <c r="W6" s="1"/>
      <c r="X6" s="1"/>
      <c r="Y6" s="1"/>
      <c r="Z6" s="1"/>
    </row>
    <row r="7" ht="14.25" customHeight="1">
      <c r="A7" s="1"/>
      <c r="B7" s="23" t="s">
        <v>20</v>
      </c>
      <c r="C7" s="24">
        <f>J15</f>
        <v>10.49724517</v>
      </c>
      <c r="D7" s="25" t="s">
        <v>21</v>
      </c>
      <c r="G7" s="5" t="s">
        <v>11</v>
      </c>
      <c r="H7" s="12">
        <f>FORECAST(H$10,OFFSET('BattleBorn Calculator'!$S$3:$S$5,MATCH(H$10,'BattleBorn Calculator'!$M$3:$M$5,1)-1,0,2),OFFSET('BattleBorn Calculator'!$M$3:$M$5,MATCH(H$10,'BattleBorn Calculator'!$M$3:$M$5,1)-1,0,2))</f>
        <v>0.4</v>
      </c>
      <c r="J7" s="1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G8" s="5" t="s">
        <v>10</v>
      </c>
      <c r="H8" s="12">
        <f>FORECAST(H$10,OFFSET('BattleBorn Calculator'!$R$3:$R$5,MATCH(H$10,'BattleBorn Calculator'!$M$3:$M$5,1)-1,0,2),OFFSET('BattleBorn Calculator'!$M$3:$M$5,MATCH(H$10,'BattleBorn Calculator'!$M$3:$M$5,1)-1,0,2))</f>
        <v>0.7069316569</v>
      </c>
      <c r="J8" s="26">
        <f>0.15/20</f>
        <v>0.0075</v>
      </c>
      <c r="K8" s="26" t="s">
        <v>23</v>
      </c>
      <c r="L8" s="26" t="s">
        <v>24</v>
      </c>
      <c r="M8" s="2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7"/>
      <c r="C9" s="1"/>
      <c r="D9" s="1"/>
      <c r="G9" s="7" t="s">
        <v>25</v>
      </c>
      <c r="H9" s="28">
        <v>4.0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G10" s="5" t="s">
        <v>26</v>
      </c>
      <c r="H10" s="29">
        <f>(C3-32)*5/9</f>
        <v>30</v>
      </c>
      <c r="I10" s="7" t="s">
        <v>27</v>
      </c>
      <c r="J10" s="1"/>
      <c r="K10" s="1"/>
      <c r="L10" s="1"/>
      <c r="M10" s="1"/>
      <c r="N10" s="30"/>
      <c r="O10" s="30"/>
      <c r="P10" s="30"/>
      <c r="Q10" s="30"/>
      <c r="R10" s="30"/>
      <c r="S10" s="30"/>
      <c r="T10" s="1"/>
      <c r="U10" s="1"/>
      <c r="V10" s="1"/>
      <c r="W10" s="1"/>
      <c r="X10" s="1"/>
      <c r="Y10" s="1"/>
      <c r="Z10" s="1"/>
    </row>
    <row r="11" ht="14.25" customHeight="1">
      <c r="B11" s="31" t="s">
        <v>28</v>
      </c>
      <c r="C11" s="25">
        <f>H2</f>
        <v>0.0117</v>
      </c>
      <c r="D11" s="25" t="s">
        <v>29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B12" s="31" t="s">
        <v>30</v>
      </c>
      <c r="C12" s="32">
        <f>H10</f>
        <v>30</v>
      </c>
      <c r="D12" s="25" t="s">
        <v>27</v>
      </c>
      <c r="G12" s="5" t="s">
        <v>31</v>
      </c>
      <c r="H12" s="33" t="s">
        <v>32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G13" s="7">
        <v>0.001</v>
      </c>
      <c r="H13" s="34">
        <f t="shared" ref="H13:H37" si="3">H$9*(H$5+H$4*(-LN($G13))^H$3+H$6*$G13+H$8*EXP(H$7*($G13-1)))</f>
        <v>9.690174692</v>
      </c>
      <c r="I13" s="7" t="s">
        <v>33</v>
      </c>
      <c r="J13" s="7">
        <f>C4-C5*H2</f>
        <v>12.85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G14" s="7">
        <v>0.01</v>
      </c>
      <c r="H14" s="34">
        <f t="shared" si="3"/>
        <v>11.13855621</v>
      </c>
      <c r="I14" s="7" t="s">
        <v>34</v>
      </c>
      <c r="J14" s="7">
        <f>IF($J$13&gt;=$H$13, IF($J$13&lt;$H$37, (FORECAST($J$13,OFFSET($G$13:$G$37,MATCH($J$13,$H$13:$H$37,1)-1,0,2),OFFSET($H$13:$H$37,MATCH($J$13,$H$13:$H$37,1)-1,0,2)))*100, 100), 0)</f>
        <v>12.25220115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G15" s="7">
        <v>0.025</v>
      </c>
      <c r="H15" s="34">
        <f t="shared" si="3"/>
        <v>11.77733037</v>
      </c>
      <c r="I15" s="7" t="s">
        <v>35</v>
      </c>
      <c r="J15" s="7">
        <f>100-(100-J14)*$K$3/$K$2</f>
        <v>10.49724517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G16" s="7">
        <v>0.05</v>
      </c>
      <c r="H16" s="34">
        <f t="shared" si="3"/>
        <v>12.2694421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G17" s="7">
        <v>0.1</v>
      </c>
      <c r="H17" s="34">
        <f t="shared" si="3"/>
        <v>12.74003382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G18" s="7">
        <v>0.15</v>
      </c>
      <c r="H18" s="34">
        <f t="shared" si="3"/>
        <v>12.98416427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G19" s="7">
        <v>0.2</v>
      </c>
      <c r="H19" s="34">
        <f t="shared" si="3"/>
        <v>13.13186379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G20" s="7">
        <v>0.25</v>
      </c>
      <c r="H20" s="34">
        <f t="shared" si="3"/>
        <v>13.22612761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G21" s="7">
        <v>0.3</v>
      </c>
      <c r="H21" s="34">
        <f t="shared" si="3"/>
        <v>13.28695374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G22" s="7">
        <v>0.35</v>
      </c>
      <c r="H22" s="34">
        <f t="shared" si="3"/>
        <v>13.32548634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G23" s="7">
        <v>0.4</v>
      </c>
      <c r="H23" s="34">
        <f t="shared" si="3"/>
        <v>13.34872946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G24" s="7">
        <v>0.45</v>
      </c>
      <c r="H24" s="34">
        <f t="shared" si="3"/>
        <v>13.36151646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G25" s="7">
        <v>0.5</v>
      </c>
      <c r="H25" s="34">
        <f t="shared" si="3"/>
        <v>13.36747183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G26" s="7">
        <v>0.55</v>
      </c>
      <c r="H26" s="34">
        <f t="shared" si="3"/>
        <v>13.36954794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G27" s="7">
        <v>0.6</v>
      </c>
      <c r="H27" s="34">
        <f t="shared" si="3"/>
        <v>13.37037262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G28" s="7">
        <v>0.65</v>
      </c>
      <c r="H28" s="34">
        <f t="shared" si="3"/>
        <v>13.37252452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G29" s="7">
        <v>0.7</v>
      </c>
      <c r="H29" s="34">
        <f t="shared" si="3"/>
        <v>13.37881751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G30" s="7">
        <v>0.75</v>
      </c>
      <c r="H30" s="34">
        <f t="shared" si="3"/>
        <v>13.39268992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G31" s="7">
        <v>0.8</v>
      </c>
      <c r="H31" s="34">
        <f t="shared" si="3"/>
        <v>13.41888307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G32" s="7">
        <v>0.85</v>
      </c>
      <c r="H32" s="34">
        <f t="shared" si="3"/>
        <v>13.46489794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G33" s="7">
        <v>0.9</v>
      </c>
      <c r="H33" s="34">
        <f t="shared" si="3"/>
        <v>13.54494689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G34" s="7">
        <v>0.95</v>
      </c>
      <c r="H34" s="34">
        <f t="shared" si="3"/>
        <v>13.69558438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G35" s="7">
        <v>0.98</v>
      </c>
      <c r="H35" s="34">
        <f t="shared" si="3"/>
        <v>13.87786114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G36" s="7">
        <v>0.99</v>
      </c>
      <c r="H36" s="34">
        <f t="shared" si="3"/>
        <v>13.98881279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G37" s="7">
        <v>1.0</v>
      </c>
      <c r="H37" s="34">
        <f t="shared" si="3"/>
        <v>14.32379656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2021-08-21T19:03:25Z</dcterms:created>
  <dc:creator>Dave Gutz</dc:creator>
</cp:coreProperties>
</file>