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Sheet1" sheetId="1" r:id="rId1"/>
    <sheet name="data1" sheetId="2" r:id="rId2"/>
    <sheet name="Cap Curves" sheetId="3" r:id="rId3"/>
    <sheet name="Model" sheetId="4" r:id="rId4"/>
  </sheets>
  <definedNames>
    <definedName name="_xlnm._FilterDatabase" localSheetId="3" hidden="1">Model!$A$14:$L$27</definedName>
    <definedName name="solver_adj" localSheetId="3" hidden="1">Model!$C$8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Model!$B$9</definedName>
    <definedName name="solver_lhs2" localSheetId="3" hidden="1">Model!$B$9</definedName>
    <definedName name="solver_lhs3" localSheetId="3" hidden="1">Model!$B$9</definedName>
    <definedName name="solver_lhs4" localSheetId="3" hidden="1">Model!$B$9</definedName>
    <definedName name="solver_lhs5" localSheetId="3" hidden="1">Model!$B$11</definedName>
    <definedName name="solver_lhs6" localSheetId="3" hidden="1">Model!$B$11</definedName>
    <definedName name="solver_lhs7" localSheetId="3" hidden="1">Model!$B$11</definedName>
    <definedName name="solver_lhs8" localSheetId="3" hidden="1">Model!$B$11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Model!$G$28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el8" localSheetId="3" hidden="1">3</definedName>
    <definedName name="solver_rhs1" localSheetId="3" hidden="1">-1.5</definedName>
    <definedName name="solver_rhs2" localSheetId="3" hidden="1">-1.5</definedName>
    <definedName name="solver_rhs3" localSheetId="3" hidden="1">-1.5</definedName>
    <definedName name="solver_rhs4" localSheetId="3" hidden="1">-1.5</definedName>
    <definedName name="solver_rhs5" localSheetId="3" hidden="1">0.6851</definedName>
    <definedName name="solver_rhs6" localSheetId="3" hidden="1">0.6851</definedName>
    <definedName name="solver_rhs7" localSheetId="3" hidden="1">0.6851</definedName>
    <definedName name="solver_rhs8" localSheetId="3" hidden="1">0.6851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I27" i="4" l="1"/>
  <c r="F27" i="4"/>
  <c r="F26" i="4"/>
  <c r="C27" i="4"/>
  <c r="C26" i="4"/>
  <c r="C25" i="4"/>
  <c r="C24" i="4"/>
  <c r="C23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R27" i="4"/>
  <c r="R26" i="4"/>
  <c r="R25" i="4"/>
  <c r="S25" i="4" s="1"/>
  <c r="R24" i="4"/>
  <c r="S24" i="4" s="1"/>
  <c r="R23" i="4"/>
  <c r="S23" i="4" s="1"/>
  <c r="R22" i="4"/>
  <c r="R21" i="4"/>
  <c r="S21" i="4" s="1"/>
  <c r="R20" i="4"/>
  <c r="R19" i="4"/>
  <c r="S19" i="4" s="1"/>
  <c r="R18" i="4"/>
  <c r="S18" i="4" s="1"/>
  <c r="R17" i="4"/>
  <c r="R16" i="4"/>
  <c r="R15" i="4"/>
  <c r="S15" i="4" s="1"/>
  <c r="R14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O27" i="4"/>
  <c r="O26" i="4"/>
  <c r="O25" i="4"/>
  <c r="O24" i="4"/>
  <c r="O23" i="4"/>
  <c r="P23" i="4" s="1"/>
  <c r="O22" i="4"/>
  <c r="O21" i="4"/>
  <c r="P21" i="4" s="1"/>
  <c r="O20" i="4"/>
  <c r="O19" i="4"/>
  <c r="O18" i="4"/>
  <c r="P18" i="4" s="1"/>
  <c r="O17" i="4"/>
  <c r="O16" i="4"/>
  <c r="P16" i="4" s="1"/>
  <c r="O15" i="4"/>
  <c r="P15" i="4" s="1"/>
  <c r="O14" i="4"/>
  <c r="P14" i="4" s="1"/>
  <c r="U27" i="4"/>
  <c r="T27" i="4"/>
  <c r="U26" i="4"/>
  <c r="T26" i="4"/>
  <c r="U25" i="4"/>
  <c r="T25" i="4"/>
  <c r="U24" i="4"/>
  <c r="T24" i="4"/>
  <c r="U23" i="4"/>
  <c r="V23" i="4" s="1"/>
  <c r="T23" i="4"/>
  <c r="U22" i="4"/>
  <c r="T22" i="4"/>
  <c r="U21" i="4"/>
  <c r="T21" i="4"/>
  <c r="U20" i="4"/>
  <c r="T20" i="4"/>
  <c r="U19" i="4"/>
  <c r="V19" i="4" s="1"/>
  <c r="T19" i="4"/>
  <c r="U18" i="4"/>
  <c r="T18" i="4"/>
  <c r="U17" i="4"/>
  <c r="T17" i="4"/>
  <c r="U16" i="4"/>
  <c r="T16" i="4"/>
  <c r="U15" i="4"/>
  <c r="T15" i="4"/>
  <c r="U14" i="4"/>
  <c r="T14" i="4"/>
  <c r="T13" i="4"/>
  <c r="S20" i="4" l="1"/>
  <c r="V18" i="4"/>
  <c r="P19" i="4"/>
  <c r="P27" i="4"/>
  <c r="S14" i="4"/>
  <c r="S22" i="4"/>
  <c r="V21" i="4"/>
  <c r="V22" i="4"/>
  <c r="P20" i="4"/>
  <c r="V27" i="4"/>
  <c r="P22" i="4"/>
  <c r="V16" i="4"/>
  <c r="V20" i="4"/>
  <c r="V15" i="4"/>
  <c r="S27" i="4"/>
  <c r="S16" i="4"/>
  <c r="S17" i="4"/>
  <c r="S26" i="4"/>
  <c r="P25" i="4"/>
  <c r="P17" i="4"/>
  <c r="P24" i="4"/>
  <c r="P26" i="4"/>
  <c r="V14" i="4"/>
  <c r="V25" i="4"/>
  <c r="V17" i="4"/>
  <c r="V24" i="4"/>
  <c r="V26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I26" i="4"/>
  <c r="I25" i="4"/>
  <c r="J25" i="4" s="1"/>
  <c r="I24" i="4"/>
  <c r="I23" i="4"/>
  <c r="I22" i="4"/>
  <c r="J22" i="4" s="1"/>
  <c r="I21" i="4"/>
  <c r="J21" i="4" s="1"/>
  <c r="I20" i="4"/>
  <c r="I19" i="4"/>
  <c r="J19" i="4" s="1"/>
  <c r="I18" i="4"/>
  <c r="J18" i="4" s="1"/>
  <c r="I17" i="4"/>
  <c r="I16" i="4"/>
  <c r="I15" i="4"/>
  <c r="I14" i="4"/>
  <c r="B13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F25" i="4"/>
  <c r="F24" i="4"/>
  <c r="F23" i="4"/>
  <c r="F22" i="4"/>
  <c r="F21" i="4"/>
  <c r="G21" i="4" s="1"/>
  <c r="F20" i="4"/>
  <c r="F19" i="4"/>
  <c r="G19" i="4" s="1"/>
  <c r="F18" i="4"/>
  <c r="G18" i="4" s="1"/>
  <c r="F17" i="4"/>
  <c r="F16" i="4"/>
  <c r="F15" i="4"/>
  <c r="F14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G20" i="4" l="1"/>
  <c r="G22" i="4"/>
  <c r="J17" i="4"/>
  <c r="M21" i="4"/>
  <c r="M22" i="4"/>
  <c r="G16" i="4"/>
  <c r="G24" i="4"/>
  <c r="J20" i="4"/>
  <c r="V28" i="4"/>
  <c r="S28" i="4"/>
  <c r="P28" i="4"/>
  <c r="J26" i="4"/>
  <c r="J16" i="4"/>
  <c r="J23" i="4"/>
  <c r="J24" i="4"/>
  <c r="J15" i="4"/>
  <c r="J14" i="4"/>
  <c r="G17" i="4"/>
  <c r="G25" i="4"/>
  <c r="G23" i="4"/>
  <c r="G15" i="4"/>
  <c r="G14" i="4"/>
  <c r="B22" i="4"/>
  <c r="B21" i="4"/>
  <c r="B20" i="4"/>
  <c r="B19" i="4"/>
  <c r="B18" i="4"/>
  <c r="B17" i="4"/>
  <c r="B16" i="4"/>
  <c r="B15" i="4"/>
  <c r="B14" i="4"/>
  <c r="C22" i="4"/>
  <c r="C21" i="4"/>
  <c r="C20" i="4"/>
  <c r="C19" i="4"/>
  <c r="C18" i="4"/>
  <c r="C17" i="4"/>
  <c r="C16" i="4"/>
  <c r="C15" i="4"/>
  <c r="C14" i="4"/>
  <c r="K27" i="4"/>
  <c r="M27" i="4" s="1"/>
  <c r="K26" i="4"/>
  <c r="M26" i="4" s="1"/>
  <c r="K25" i="4"/>
  <c r="M25" i="4" s="1"/>
  <c r="K24" i="4"/>
  <c r="M24" i="4" s="1"/>
  <c r="K23" i="4"/>
  <c r="M23" i="4" s="1"/>
  <c r="K22" i="4"/>
  <c r="K21" i="4"/>
  <c r="K20" i="4"/>
  <c r="M20" i="4" s="1"/>
  <c r="K19" i="4"/>
  <c r="M19" i="4" s="1"/>
  <c r="K18" i="4"/>
  <c r="M18" i="4" s="1"/>
  <c r="K17" i="4"/>
  <c r="K16" i="4"/>
  <c r="K15" i="4"/>
  <c r="K14" i="4"/>
  <c r="K13" i="4"/>
  <c r="J28" i="4" l="1"/>
  <c r="G28" i="4"/>
  <c r="D21" i="4"/>
  <c r="D19" i="4"/>
  <c r="D14" i="4"/>
  <c r="D16" i="4"/>
  <c r="D18" i="4"/>
  <c r="D20" i="4"/>
  <c r="D22" i="4"/>
  <c r="D15" i="4"/>
  <c r="D17" i="4"/>
  <c r="P18" i="1"/>
  <c r="P17" i="1"/>
  <c r="P16" i="1"/>
  <c r="P15" i="1"/>
  <c r="P14" i="1"/>
  <c r="P13" i="1"/>
  <c r="P12" i="1"/>
  <c r="P11" i="1"/>
  <c r="P10" i="1"/>
  <c r="P9" i="1"/>
  <c r="P8" i="1"/>
  <c r="P7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I7" i="3"/>
  <c r="I6" i="3"/>
  <c r="H7" i="3"/>
  <c r="H6" i="3"/>
  <c r="G7" i="3"/>
  <c r="G6" i="3"/>
  <c r="G5" i="3"/>
  <c r="F8" i="3"/>
  <c r="F7" i="3"/>
  <c r="F6" i="3"/>
  <c r="A3" i="2"/>
  <c r="A4" i="2"/>
  <c r="A5" i="2"/>
  <c r="A6" i="2"/>
  <c r="A7" i="2"/>
  <c r="A8" i="2"/>
  <c r="A2" i="2"/>
  <c r="D3" i="2"/>
  <c r="D4" i="2"/>
  <c r="D5" i="2"/>
  <c r="D6" i="2"/>
  <c r="D7" i="2"/>
  <c r="D8" i="2"/>
  <c r="D2" i="2"/>
  <c r="M15" i="4" l="1"/>
  <c r="M17" i="4"/>
  <c r="M14" i="4"/>
  <c r="M16" i="4"/>
  <c r="D28" i="4"/>
  <c r="M18" i="1"/>
  <c r="M17" i="1"/>
  <c r="M16" i="1"/>
  <c r="M15" i="1"/>
  <c r="M14" i="1"/>
  <c r="M13" i="1"/>
  <c r="M12" i="1"/>
  <c r="M11" i="1"/>
  <c r="M10" i="1"/>
  <c r="M9" i="1"/>
  <c r="M8" i="1"/>
  <c r="M7" i="1"/>
  <c r="L17" i="1"/>
  <c r="L16" i="1"/>
  <c r="L15" i="1"/>
  <c r="L14" i="1"/>
  <c r="L13" i="1"/>
  <c r="L12" i="1"/>
  <c r="L11" i="1"/>
  <c r="L10" i="1"/>
  <c r="L9" i="1"/>
  <c r="L8" i="1"/>
  <c r="L7" i="1"/>
  <c r="L18" i="1"/>
  <c r="M28" i="4" l="1"/>
</calcChain>
</file>

<file path=xl/sharedStrings.xml><?xml version="1.0" encoding="utf-8"?>
<sst xmlns="http://schemas.openxmlformats.org/spreadsheetml/2006/main" count="40" uniqueCount="37">
  <si>
    <t xml:space="preserve">       W - hr</t>
  </si>
  <si>
    <t>d</t>
  </si>
  <si>
    <t>shunt,  v</t>
  </si>
  <si>
    <t>use, W-h</t>
  </si>
  <si>
    <t>Theo, W-h</t>
  </si>
  <si>
    <t>Theo, %</t>
  </si>
  <si>
    <t>SoC</t>
  </si>
  <si>
    <t>VoC 0C</t>
  </si>
  <si>
    <t>DoD</t>
  </si>
  <si>
    <t>VoC 20C</t>
  </si>
  <si>
    <t>VoC 30C</t>
  </si>
  <si>
    <t>VoC 40C</t>
  </si>
  <si>
    <t>VoC 50C</t>
  </si>
  <si>
    <t>VoC 10C</t>
  </si>
  <si>
    <t>VoC -10C</t>
  </si>
  <si>
    <t>a</t>
  </si>
  <si>
    <t>b</t>
  </si>
  <si>
    <t>m</t>
  </si>
  <si>
    <t>c</t>
  </si>
  <si>
    <t>n</t>
  </si>
  <si>
    <t>Vocv= a + b*(-ln(s))^m + c*s + d*exp(n*(s-1))</t>
  </si>
  <si>
    <t>s</t>
  </si>
  <si>
    <t>BB, v</t>
  </si>
  <si>
    <t>OAT, C</t>
  </si>
  <si>
    <t>e20C</t>
  </si>
  <si>
    <t>VoC20fit</t>
  </si>
  <si>
    <t>VoC-10fit</t>
  </si>
  <si>
    <t>e-10C</t>
  </si>
  <si>
    <t>VoC0fit</t>
  </si>
  <si>
    <t>e0C</t>
  </si>
  <si>
    <t>VoC10fit</t>
  </si>
  <si>
    <t>e10C</t>
  </si>
  <si>
    <t>VoC30fit</t>
  </si>
  <si>
    <t>e30C</t>
  </si>
  <si>
    <t>VoC40fit</t>
  </si>
  <si>
    <t>e40C</t>
  </si>
  <si>
    <t>VoC50fit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</si>
</sst>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Battle</a:t>
            </a:r>
            <a:r>
              <a:rPr lang="en-US" b="1" baseline="0"/>
              <a:t> Born 100 Ah</a:t>
            </a:r>
            <a:endParaRPr lang="en-US" b="1"/>
          </a:p>
        </c:rich>
      </c:tx>
      <c:layout>
        <c:manualLayout>
          <c:xMode val="edge"/>
          <c:yMode val="edge"/>
          <c:x val="0.34302777777777776"/>
          <c:y val="6.0185185185185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06659810594465E-2"/>
          <c:y val="5.0925985981571081E-2"/>
          <c:w val="0.87536380869058039"/>
          <c:h val="0.854614319043452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Sheet1!$J$8:$J$19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70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17</c:v>
                </c:pt>
                <c:pt idx="8">
                  <c:v>14</c:v>
                </c:pt>
                <c:pt idx="9">
                  <c:v>9</c:v>
                </c:pt>
                <c:pt idx="10">
                  <c:v>0</c:v>
                </c:pt>
              </c:numCache>
            </c:numRef>
          </c:xVal>
          <c:yVal>
            <c:numRef>
              <c:f>Sheet1!$K$8:$K$19</c:f>
              <c:numCache>
                <c:formatCode>General</c:formatCode>
                <c:ptCount val="12"/>
                <c:pt idx="0">
                  <c:v>13.6</c:v>
                </c:pt>
                <c:pt idx="1">
                  <c:v>13.4</c:v>
                </c:pt>
                <c:pt idx="2">
                  <c:v>13.3</c:v>
                </c:pt>
                <c:pt idx="3">
                  <c:v>13.2</c:v>
                </c:pt>
                <c:pt idx="4">
                  <c:v>13.1</c:v>
                </c:pt>
                <c:pt idx="5">
                  <c:v>13</c:v>
                </c:pt>
                <c:pt idx="6">
                  <c:v>12.9</c:v>
                </c:pt>
                <c:pt idx="7">
                  <c:v>12.8</c:v>
                </c:pt>
                <c:pt idx="8">
                  <c:v>12.5</c:v>
                </c:pt>
                <c:pt idx="9">
                  <c:v>12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04272"/>
        <c:axId val="556104664"/>
      </c:scatterChart>
      <c:valAx>
        <c:axId val="556104272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38737970253718"/>
              <c:y val="0.83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04664"/>
        <c:crosses val="autoZero"/>
        <c:crossBetween val="midCat"/>
      </c:valAx>
      <c:valAx>
        <c:axId val="556104664"/>
        <c:scaling>
          <c:orientation val="minMax"/>
          <c:max val="13.5"/>
          <c:min val="12.7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9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0.34559419655876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0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 deg C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196566338298619"/>
          <c:y val="1.949317738791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Model!$T$13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Model!$T$14:$T$27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Model!$U$13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Model!$U$14:$U$27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09392"/>
        <c:axId val="560114096"/>
      </c:scatterChart>
      <c:valAx>
        <c:axId val="560109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14096"/>
        <c:crosses val="autoZero"/>
        <c:crossBetween val="midCat"/>
      </c:valAx>
      <c:valAx>
        <c:axId val="56011409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093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3.734913252802463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Model!$N$13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Model!$N$14:$N$27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Model!$O$13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Model!$O$14:$O$27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05080"/>
        <c:axId val="560105472"/>
      </c:scatterChart>
      <c:valAx>
        <c:axId val="560105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05472"/>
        <c:crosses val="autoZero"/>
        <c:crossBetween val="midCat"/>
      </c:valAx>
      <c:valAx>
        <c:axId val="56010547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05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Model!$Q$13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Model!$Q$14:$Q$27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Model!$R$13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Model!$R$14:$R$27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12920"/>
        <c:axId val="560107040"/>
      </c:scatterChart>
      <c:valAx>
        <c:axId val="5601129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07040"/>
        <c:crosses val="autoZero"/>
        <c:crossBetween val="midCat"/>
      </c:valAx>
      <c:valAx>
        <c:axId val="56010704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129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Coefficients vs OAT,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33814523184605E-2"/>
          <c:y val="0.15319444444444447"/>
          <c:w val="0.90787729658792649"/>
          <c:h val="0.6714577865266842"/>
        </c:manualLayout>
      </c:layout>
      <c:lineChart>
        <c:grouping val="standard"/>
        <c:varyColors val="0"/>
        <c:ser>
          <c:idx val="4"/>
          <c:order val="0"/>
          <c:tx>
            <c:strRef>
              <c:f>Model!$A$8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Model!$B$5:$H$5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Model!$B$8:$H$8</c:f>
              <c:numCache>
                <c:formatCode>General</c:formatCode>
                <c:ptCount val="7"/>
                <c:pt idx="0">
                  <c:v>3.3483399767315909</c:v>
                </c:pt>
                <c:pt idx="1">
                  <c:v>3.5247557002832086</c:v>
                </c:pt>
                <c:pt idx="2">
                  <c:v>3.5539644353434743</c:v>
                </c:pt>
                <c:pt idx="3">
                  <c:v>2.7782710208104895</c:v>
                </c:pt>
                <c:pt idx="4">
                  <c:v>2.8069059976624819</c:v>
                </c:pt>
                <c:pt idx="5">
                  <c:v>2.8512557761146389</c:v>
                </c:pt>
                <c:pt idx="6">
                  <c:v>2.7310417617626701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Model!$A$7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Model!$B$5:$H$5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Model!$B$7:$H$7</c:f>
              <c:numCache>
                <c:formatCode>General</c:formatCode>
                <c:ptCount val="7"/>
                <c:pt idx="0">
                  <c:v>-1.143251503157807</c:v>
                </c:pt>
                <c:pt idx="1">
                  <c:v>-1.143251503157807</c:v>
                </c:pt>
                <c:pt idx="2">
                  <c:v>-1.143251503157807</c:v>
                </c:pt>
                <c:pt idx="3">
                  <c:v>-0.57795540028306935</c:v>
                </c:pt>
                <c:pt idx="4">
                  <c:v>-0.55329798798696006</c:v>
                </c:pt>
                <c:pt idx="5">
                  <c:v>-0.55710475700016193</c:v>
                </c:pt>
                <c:pt idx="6">
                  <c:v>-0.45551626024511238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Model!$A$9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Model!$B$5:$H$5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Model!$B$9:$H$9</c:f>
              <c:numCache>
                <c:formatCode>General</c:formatCode>
                <c:ptCount val="7"/>
                <c:pt idx="0">
                  <c:v>-1.7704346329793603</c:v>
                </c:pt>
                <c:pt idx="1">
                  <c:v>-1.7704346329793603</c:v>
                </c:pt>
                <c:pt idx="2">
                  <c:v>-1.7704346329793603</c:v>
                </c:pt>
                <c:pt idx="3">
                  <c:v>-1.0994517959124805</c:v>
                </c:pt>
                <c:pt idx="4">
                  <c:v>-1.1254678290104727</c:v>
                </c:pt>
                <c:pt idx="5">
                  <c:v>-1.1592275633503999</c:v>
                </c:pt>
                <c:pt idx="6">
                  <c:v>-1.0590283827915401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18408"/>
        <c:axId val="560118800"/>
      </c:lineChart>
      <c:catAx>
        <c:axId val="56011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18800"/>
        <c:crosses val="autoZero"/>
        <c:auto val="1"/>
        <c:lblAlgn val="ctr"/>
        <c:lblOffset val="100"/>
        <c:noMultiLvlLbl val="0"/>
      </c:catAx>
      <c:valAx>
        <c:axId val="5601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1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97071513321115E-2"/>
          <c:y val="8.9321468298109025E-2"/>
          <c:w val="0.87420338510768347"/>
          <c:h val="0.6828383242973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Model!$C$13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Model!$C$14:$C$27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Model!$F$13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Model!$F$14:$F$27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Model!$I$13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Model!$I$14:$I$27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Model!$L$13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Model!$L$14:$L$27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Model!$O$13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Model!$O$14:$O$27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Model!$R$13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Model!$R$14:$R$27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Model!$U$13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Model!$U$14:$U$27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34328"/>
        <c:axId val="550837072"/>
      </c:scatterChart>
      <c:valAx>
        <c:axId val="550834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37072"/>
        <c:crosses val="autoZero"/>
        <c:crossBetween val="midCat"/>
      </c:valAx>
      <c:valAx>
        <c:axId val="550837072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3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Sheet1!$P$7:$P$18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39032"/>
        <c:axId val="550810808"/>
      </c:scatterChart>
      <c:valAx>
        <c:axId val="5508390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10808"/>
        <c:crosses val="autoZero"/>
        <c:crossBetween val="midCat"/>
        <c:majorUnit val="0.1"/>
      </c:valAx>
      <c:valAx>
        <c:axId val="550810808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3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Battle Born 100 Ah Capacity</a:t>
            </a:r>
            <a:r>
              <a:rPr lang="en-US" sz="1200" baseline="0"/>
              <a:t> Test @1A, OAT =  40-60F</a:t>
            </a:r>
          </a:p>
        </c:rich>
      </c:tx>
      <c:layout>
        <c:manualLayout>
          <c:xMode val="edge"/>
          <c:yMode val="edge"/>
          <c:x val="0.12713188976377954"/>
          <c:y val="3.24074074074074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data1!$B$1</c:f>
              <c:strCache>
                <c:ptCount val="1"/>
                <c:pt idx="0">
                  <c:v>shunt,  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data1!$A$2:$A$27</c:f>
              <c:numCache>
                <c:formatCode>0.0</c:formatCode>
                <c:ptCount val="26"/>
                <c:pt idx="0">
                  <c:v>100</c:v>
                </c:pt>
                <c:pt idx="1">
                  <c:v>99.166666666666671</c:v>
                </c:pt>
                <c:pt idx="2">
                  <c:v>98.25</c:v>
                </c:pt>
                <c:pt idx="3">
                  <c:v>97.666666666666671</c:v>
                </c:pt>
                <c:pt idx="4">
                  <c:v>94</c:v>
                </c:pt>
                <c:pt idx="5">
                  <c:v>86.416666666666671</c:v>
                </c:pt>
                <c:pt idx="6">
                  <c:v>83.833333333333329</c:v>
                </c:pt>
              </c:numCache>
            </c:numRef>
          </c:xVal>
          <c:yVal>
            <c:numRef>
              <c:f>data1!$B$2:$B$27</c:f>
              <c:numCache>
                <c:formatCode>General</c:formatCode>
                <c:ptCount val="26"/>
                <c:pt idx="0">
                  <c:v>13.72</c:v>
                </c:pt>
                <c:pt idx="1">
                  <c:v>13.32</c:v>
                </c:pt>
                <c:pt idx="2">
                  <c:v>13.3</c:v>
                </c:pt>
                <c:pt idx="3">
                  <c:v>13.3</c:v>
                </c:pt>
                <c:pt idx="4">
                  <c:v>13.27</c:v>
                </c:pt>
                <c:pt idx="5">
                  <c:v>13.26</c:v>
                </c:pt>
                <c:pt idx="6">
                  <c:v>13.25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SoC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Sheet1!$J$7:$J$18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90</c:v>
                </c:pt>
                <c:pt idx="4">
                  <c:v>70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17</c:v>
                </c:pt>
                <c:pt idx="9">
                  <c:v>14</c:v>
                </c:pt>
                <c:pt idx="10">
                  <c:v>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16816"/>
        <c:axId val="556123480"/>
      </c:scatterChart>
      <c:valAx>
        <c:axId val="556116816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23480"/>
        <c:crosses val="autoZero"/>
        <c:crossBetween val="midCat"/>
      </c:valAx>
      <c:valAx>
        <c:axId val="556123480"/>
        <c:scaling>
          <c:orientation val="minMax"/>
          <c:max val="13.8"/>
          <c:min val="1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16816"/>
        <c:crosses val="autoZero"/>
        <c:crossBetween val="midCat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Sheet1!$P$7:$P$18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26224"/>
        <c:axId val="556125048"/>
      </c:scatterChart>
      <c:valAx>
        <c:axId val="5561262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25048"/>
        <c:crosses val="autoZero"/>
        <c:crossBetween val="midCat"/>
        <c:majorUnit val="0.1"/>
      </c:valAx>
      <c:valAx>
        <c:axId val="556125048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2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Depth of Discharge Some LiF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9925049692"/>
          <c:y val="6.5494791666666677E-2"/>
          <c:w val="0.79425240594925639"/>
          <c:h val="0.74666482119422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28576"/>
        <c:axId val="556137984"/>
      </c:scatterChart>
      <c:valAx>
        <c:axId val="556128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DoD, %</a:t>
                </a:r>
              </a:p>
            </c:rich>
          </c:tx>
          <c:layout>
            <c:manualLayout>
              <c:xMode val="edge"/>
              <c:yMode val="edge"/>
              <c:x val="0.54211005882329211"/>
              <c:y val="0.7175340387139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7984"/>
        <c:crosses val="autoZero"/>
        <c:crossBetween val="midCat"/>
        <c:majorUnit val="10"/>
      </c:valAx>
      <c:valAx>
        <c:axId val="556137984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VoC, Volts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2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5555555555552E-2"/>
          <c:y val="0.87901424431321085"/>
          <c:w val="0.92022690712048105"/>
          <c:h val="0.1209857556867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5E-2"/>
          <c:y val="2.6458264982502182E-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32888"/>
        <c:axId val="556133280"/>
      </c:scatterChart>
      <c:valAx>
        <c:axId val="55613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3280"/>
        <c:crosses val="autoZero"/>
        <c:crossBetween val="midCat"/>
      </c:valAx>
      <c:valAx>
        <c:axId val="556133280"/>
        <c:scaling>
          <c:orientation val="minMax"/>
          <c:max val="4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 deg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09611757245"/>
          <c:y val="7.6549707602339215E-2"/>
          <c:w val="0.7753357091831411"/>
          <c:h val="0.6540152875627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Model!$B$13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Model!$B$14:$B$27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Model!$C$13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Model!$C$14:$C$27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36024"/>
        <c:axId val="556136808"/>
      </c:scatterChart>
      <c:valAx>
        <c:axId val="556136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6808"/>
        <c:crosses val="autoZero"/>
        <c:crossBetween val="midCat"/>
      </c:valAx>
      <c:valAx>
        <c:axId val="556136808"/>
        <c:scaling>
          <c:orientation val="minMax"/>
          <c:max val="14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6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Model!$K$13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Model!$K$14:$K$27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Model!$L$13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Model!$L$14:$L$27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47000"/>
        <c:axId val="556157584"/>
      </c:scatterChart>
      <c:valAx>
        <c:axId val="5561470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57584"/>
        <c:crosses val="autoZero"/>
        <c:crossBetween val="midCat"/>
      </c:valAx>
      <c:valAx>
        <c:axId val="55615758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470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Model!$E$13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Model!$E$14:$E$27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Model!$F$13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Model!$F$14:$F$27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08216"/>
        <c:axId val="560115664"/>
      </c:scatterChart>
      <c:valAx>
        <c:axId val="560108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15664"/>
        <c:crosses val="autoZero"/>
        <c:crossBetween val="midCat"/>
      </c:valAx>
      <c:valAx>
        <c:axId val="56011566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08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956630421198"/>
          <c:y val="9.5828664691767332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Model!$H$13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Model!$H$14:$H$27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Model!$I$13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Model!$I$14:$I$27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10568"/>
        <c:axId val="560104688"/>
      </c:scatterChart>
      <c:valAx>
        <c:axId val="560110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04688"/>
        <c:crosses val="autoZero"/>
        <c:crossBetween val="midCat"/>
      </c:valAx>
      <c:valAx>
        <c:axId val="56010468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105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image" Target="../media/image4.png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</xdr:row>
      <xdr:rowOff>76200</xdr:rowOff>
    </xdr:from>
    <xdr:to>
      <xdr:col>8</xdr:col>
      <xdr:colOff>60960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156210</xdr:rowOff>
    </xdr:from>
    <xdr:to>
      <xdr:col>12</xdr:col>
      <xdr:colOff>419100</xdr:colOff>
      <xdr:row>17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133350</xdr:rowOff>
    </xdr:from>
    <xdr:to>
      <xdr:col>18</xdr:col>
      <xdr:colOff>342900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0</xdr:row>
      <xdr:rowOff>102870</xdr:rowOff>
    </xdr:from>
    <xdr:to>
      <xdr:col>17</xdr:col>
      <xdr:colOff>327660</xdr:colOff>
      <xdr:row>16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388620</xdr:colOff>
      <xdr:row>15</xdr:row>
      <xdr:rowOff>68580</xdr:rowOff>
    </xdr:from>
    <xdr:to>
      <xdr:col>8</xdr:col>
      <xdr:colOff>273725</xdr:colOff>
      <xdr:row>31</xdr:row>
      <xdr:rowOff>142500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" y="2811780"/>
          <a:ext cx="4761905" cy="3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518160</xdr:colOff>
      <xdr:row>2</xdr:row>
      <xdr:rowOff>15240</xdr:rowOff>
    </xdr:from>
    <xdr:to>
      <xdr:col>36</xdr:col>
      <xdr:colOff>137787</xdr:colOff>
      <xdr:row>21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1760" y="381000"/>
          <a:ext cx="4496427" cy="3515216"/>
        </a:xfrm>
        <a:prstGeom prst="rect">
          <a:avLst/>
        </a:prstGeom>
      </xdr:spPr>
    </xdr:pic>
    <xdr:clientData/>
  </xdr:twoCellAnchor>
  <xdr:twoCellAnchor editAs="oneCell">
    <xdr:from>
      <xdr:col>24</xdr:col>
      <xdr:colOff>502920</xdr:colOff>
      <xdr:row>21</xdr:row>
      <xdr:rowOff>175260</xdr:rowOff>
    </xdr:from>
    <xdr:to>
      <xdr:col>38</xdr:col>
      <xdr:colOff>599374</xdr:colOff>
      <xdr:row>25</xdr:row>
      <xdr:rowOff>148688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9320" y="4015740"/>
          <a:ext cx="8630854" cy="704948"/>
        </a:xfrm>
        <a:prstGeom prst="rect">
          <a:avLst/>
        </a:prstGeom>
      </xdr:spPr>
    </xdr:pic>
    <xdr:clientData/>
  </xdr:twoCellAnchor>
  <xdr:twoCellAnchor editAs="oneCell">
    <xdr:from>
      <xdr:col>24</xdr:col>
      <xdr:colOff>480060</xdr:colOff>
      <xdr:row>29</xdr:row>
      <xdr:rowOff>0</xdr:rowOff>
    </xdr:from>
    <xdr:to>
      <xdr:col>39</xdr:col>
      <xdr:colOff>281283</xdr:colOff>
      <xdr:row>45</xdr:row>
      <xdr:rowOff>93766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6460" y="5303520"/>
          <a:ext cx="8945223" cy="3019846"/>
        </a:xfrm>
        <a:prstGeom prst="rect">
          <a:avLst/>
        </a:prstGeom>
      </xdr:spPr>
    </xdr:pic>
    <xdr:clientData/>
  </xdr:twoCellAnchor>
  <xdr:twoCellAnchor>
    <xdr:from>
      <xdr:col>25</xdr:col>
      <xdr:colOff>430530</xdr:colOff>
      <xdr:row>3</xdr:row>
      <xdr:rowOff>3810</xdr:rowOff>
    </xdr:from>
    <xdr:to>
      <xdr:col>33</xdr:col>
      <xdr:colOff>125730</xdr:colOff>
      <xdr:row>19</xdr:row>
      <xdr:rowOff>3810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525780</xdr:colOff>
      <xdr:row>28</xdr:row>
      <xdr:rowOff>167640</xdr:rowOff>
    </xdr:from>
    <xdr:to>
      <xdr:col>3</xdr:col>
      <xdr:colOff>388620</xdr:colOff>
      <xdr:row>39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</xdr:colOff>
      <xdr:row>28</xdr:row>
      <xdr:rowOff>175260</xdr:rowOff>
    </xdr:from>
    <xdr:to>
      <xdr:col>12</xdr:col>
      <xdr:colOff>571500</xdr:colOff>
      <xdr:row>39</xdr:row>
      <xdr:rowOff>118110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</xdr:colOff>
      <xdr:row>28</xdr:row>
      <xdr:rowOff>175260</xdr:rowOff>
    </xdr:from>
    <xdr:to>
      <xdr:col>6</xdr:col>
      <xdr:colOff>571500</xdr:colOff>
      <xdr:row>39</xdr:row>
      <xdr:rowOff>118110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30480</xdr:colOff>
      <xdr:row>28</xdr:row>
      <xdr:rowOff>175260</xdr:rowOff>
    </xdr:from>
    <xdr:to>
      <xdr:col>9</xdr:col>
      <xdr:colOff>571500</xdr:colOff>
      <xdr:row>39</xdr:row>
      <xdr:rowOff>118110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30480</xdr:colOff>
      <xdr:row>28</xdr:row>
      <xdr:rowOff>175260</xdr:rowOff>
    </xdr:from>
    <xdr:to>
      <xdr:col>21</xdr:col>
      <xdr:colOff>571500</xdr:colOff>
      <xdr:row>39</xdr:row>
      <xdr:rowOff>118110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30480</xdr:colOff>
      <xdr:row>28</xdr:row>
      <xdr:rowOff>175260</xdr:rowOff>
    </xdr:from>
    <xdr:to>
      <xdr:col>15</xdr:col>
      <xdr:colOff>571500</xdr:colOff>
      <xdr:row>39</xdr:row>
      <xdr:rowOff>118110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</xdr:colOff>
      <xdr:row>28</xdr:row>
      <xdr:rowOff>175260</xdr:rowOff>
    </xdr:from>
    <xdr:to>
      <xdr:col>18</xdr:col>
      <xdr:colOff>571500</xdr:colOff>
      <xdr:row>39</xdr:row>
      <xdr:rowOff>118110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342900</xdr:colOff>
      <xdr:row>0</xdr:row>
      <xdr:rowOff>167640</xdr:rowOff>
    </xdr:from>
    <xdr:to>
      <xdr:col>13</xdr:col>
      <xdr:colOff>541020</xdr:colOff>
      <xdr:row>12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7620</xdr:colOff>
      <xdr:row>14</xdr:row>
      <xdr:rowOff>11430</xdr:rowOff>
    </xdr:from>
    <xdr:to>
      <xdr:col>12</xdr:col>
      <xdr:colOff>190500</xdr:colOff>
      <xdr:row>32</xdr:row>
      <xdr:rowOff>144780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83820</xdr:colOff>
      <xdr:row>13</xdr:row>
      <xdr:rowOff>7620</xdr:rowOff>
    </xdr:from>
    <xdr:to>
      <xdr:col>22</xdr:col>
      <xdr:colOff>167640</xdr:colOff>
      <xdr:row>31</xdr:row>
      <xdr:rowOff>11430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workbookViewId="0">
      <selection activeCell="S10" sqref="S10"/>
    </sheetView>
  </sheetViews>
  <sheetFormatPr defaultRowHeight="14.4" x14ac:dyDescent="0.3"/>
  <cols>
    <col min="9" max="9" width="3.33203125" customWidth="1"/>
    <col min="10" max="10" width="6" bestFit="1" customWidth="1"/>
    <col min="11" max="11" width="9.5546875" customWidth="1"/>
    <col min="12" max="12" width="6.109375" customWidth="1"/>
    <col min="13" max="13" width="5" bestFit="1" customWidth="1"/>
    <col min="14" max="14" width="3.88671875" customWidth="1"/>
  </cols>
  <sheetData>
    <row r="1" spans="2:16" ht="15" thickBot="1" x14ac:dyDescent="0.35"/>
    <row r="2" spans="2:16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2:16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6" x14ac:dyDescent="0.3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2:16" ht="15" thickBot="1" x14ac:dyDescent="0.3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2:16" ht="15" thickBot="1" x14ac:dyDescent="0.35">
      <c r="B6" s="4"/>
      <c r="C6" s="5"/>
      <c r="D6" s="5"/>
      <c r="E6" s="5"/>
      <c r="F6" s="5"/>
      <c r="G6" s="5"/>
      <c r="H6" s="5"/>
      <c r="I6" s="5"/>
      <c r="J6" s="16" t="s">
        <v>6</v>
      </c>
      <c r="K6" s="18" t="s">
        <v>22</v>
      </c>
      <c r="L6" s="17" t="s">
        <v>0</v>
      </c>
      <c r="M6" s="18"/>
      <c r="N6" s="6"/>
      <c r="P6" t="s">
        <v>21</v>
      </c>
    </row>
    <row r="7" spans="2:16" x14ac:dyDescent="0.3">
      <c r="B7" s="4"/>
      <c r="C7" s="5"/>
      <c r="D7" s="5"/>
      <c r="E7" s="5"/>
      <c r="F7" s="5"/>
      <c r="G7" s="5"/>
      <c r="H7" s="5"/>
      <c r="I7" s="5"/>
      <c r="J7" s="11">
        <v>100</v>
      </c>
      <c r="K7" s="12">
        <v>14.4</v>
      </c>
      <c r="L7" s="7">
        <f t="shared" ref="L7:L17" si="0">(100-J7)*12</f>
        <v>0</v>
      </c>
      <c r="M7" s="12">
        <f>J7*12</f>
        <v>1200</v>
      </c>
      <c r="N7" s="6"/>
      <c r="P7">
        <f>J7/100</f>
        <v>1</v>
      </c>
    </row>
    <row r="8" spans="2:16" x14ac:dyDescent="0.3">
      <c r="B8" s="4"/>
      <c r="C8" s="5"/>
      <c r="D8" s="5"/>
      <c r="E8" s="5"/>
      <c r="F8" s="5"/>
      <c r="G8" s="5"/>
      <c r="H8" s="5"/>
      <c r="I8" s="5"/>
      <c r="J8" s="11">
        <v>100</v>
      </c>
      <c r="K8" s="12">
        <v>13.6</v>
      </c>
      <c r="L8" s="7">
        <f t="shared" si="0"/>
        <v>0</v>
      </c>
      <c r="M8" s="12">
        <f t="shared" ref="M8:M18" si="1">J8*12</f>
        <v>1200</v>
      </c>
      <c r="N8" s="6"/>
      <c r="P8">
        <f t="shared" ref="P8:P18" si="2">J8/100</f>
        <v>1</v>
      </c>
    </row>
    <row r="9" spans="2:16" x14ac:dyDescent="0.3">
      <c r="B9" s="4"/>
      <c r="C9" s="5"/>
      <c r="D9" s="5"/>
      <c r="E9" s="5"/>
      <c r="F9" s="5"/>
      <c r="G9" s="5"/>
      <c r="H9" s="5"/>
      <c r="I9" s="5"/>
      <c r="J9" s="11">
        <v>99</v>
      </c>
      <c r="K9" s="12">
        <v>13.4</v>
      </c>
      <c r="L9" s="7">
        <f t="shared" si="0"/>
        <v>12</v>
      </c>
      <c r="M9" s="12">
        <f t="shared" si="1"/>
        <v>1188</v>
      </c>
      <c r="N9" s="6"/>
      <c r="P9">
        <f t="shared" si="2"/>
        <v>0.99</v>
      </c>
    </row>
    <row r="10" spans="2:16" x14ac:dyDescent="0.3">
      <c r="B10" s="4"/>
      <c r="C10" s="5"/>
      <c r="D10" s="5"/>
      <c r="E10" s="5"/>
      <c r="F10" s="5"/>
      <c r="G10" s="5"/>
      <c r="H10" s="5"/>
      <c r="I10" s="5"/>
      <c r="J10" s="11">
        <v>90</v>
      </c>
      <c r="K10" s="12">
        <v>13.3</v>
      </c>
      <c r="L10" s="7">
        <f t="shared" si="0"/>
        <v>120</v>
      </c>
      <c r="M10" s="12">
        <f t="shared" si="1"/>
        <v>1080</v>
      </c>
      <c r="N10" s="6"/>
      <c r="P10">
        <f t="shared" si="2"/>
        <v>0.9</v>
      </c>
    </row>
    <row r="11" spans="2:16" x14ac:dyDescent="0.3">
      <c r="B11" s="4"/>
      <c r="C11" s="5"/>
      <c r="D11" s="5"/>
      <c r="E11" s="5"/>
      <c r="F11" s="5"/>
      <c r="G11" s="5"/>
      <c r="H11" s="5"/>
      <c r="I11" s="5"/>
      <c r="J11" s="11">
        <v>70</v>
      </c>
      <c r="K11" s="12">
        <v>13.2</v>
      </c>
      <c r="L11" s="7">
        <f t="shared" si="0"/>
        <v>360</v>
      </c>
      <c r="M11" s="12">
        <f t="shared" si="1"/>
        <v>840</v>
      </c>
      <c r="N11" s="6"/>
      <c r="P11">
        <f t="shared" si="2"/>
        <v>0.7</v>
      </c>
    </row>
    <row r="12" spans="2:16" x14ac:dyDescent="0.3">
      <c r="B12" s="4"/>
      <c r="C12" s="5"/>
      <c r="D12" s="5"/>
      <c r="E12" s="5"/>
      <c r="F12" s="5"/>
      <c r="G12" s="5"/>
      <c r="H12" s="5"/>
      <c r="I12" s="5"/>
      <c r="J12" s="11">
        <v>40</v>
      </c>
      <c r="K12" s="12">
        <v>13.1</v>
      </c>
      <c r="L12" s="7">
        <f t="shared" si="0"/>
        <v>720</v>
      </c>
      <c r="M12" s="12">
        <f t="shared" si="1"/>
        <v>480</v>
      </c>
      <c r="N12" s="6"/>
      <c r="P12">
        <f t="shared" si="2"/>
        <v>0.4</v>
      </c>
    </row>
    <row r="13" spans="2:16" x14ac:dyDescent="0.3">
      <c r="B13" s="4"/>
      <c r="C13" s="5"/>
      <c r="D13" s="5"/>
      <c r="E13" s="5"/>
      <c r="F13" s="5"/>
      <c r="G13" s="5"/>
      <c r="H13" s="5"/>
      <c r="I13" s="5"/>
      <c r="J13" s="11">
        <v>30</v>
      </c>
      <c r="K13" s="12">
        <v>13</v>
      </c>
      <c r="L13" s="7">
        <f t="shared" si="0"/>
        <v>840</v>
      </c>
      <c r="M13" s="12">
        <f t="shared" si="1"/>
        <v>360</v>
      </c>
      <c r="N13" s="6"/>
      <c r="P13">
        <f t="shared" si="2"/>
        <v>0.3</v>
      </c>
    </row>
    <row r="14" spans="2:16" x14ac:dyDescent="0.3">
      <c r="B14" s="4"/>
      <c r="C14" s="5"/>
      <c r="D14" s="5"/>
      <c r="E14" s="5"/>
      <c r="F14" s="5"/>
      <c r="G14" s="5"/>
      <c r="H14" s="5"/>
      <c r="I14" s="5"/>
      <c r="J14" s="11">
        <v>20</v>
      </c>
      <c r="K14" s="12">
        <v>12.9</v>
      </c>
      <c r="L14" s="7">
        <f t="shared" si="0"/>
        <v>960</v>
      </c>
      <c r="M14" s="12">
        <f t="shared" si="1"/>
        <v>240</v>
      </c>
      <c r="N14" s="6"/>
      <c r="P14">
        <f t="shared" si="2"/>
        <v>0.2</v>
      </c>
    </row>
    <row r="15" spans="2:16" x14ac:dyDescent="0.3">
      <c r="B15" s="4"/>
      <c r="C15" s="5"/>
      <c r="D15" s="5"/>
      <c r="E15" s="5"/>
      <c r="F15" s="5"/>
      <c r="G15" s="5"/>
      <c r="H15" s="5"/>
      <c r="I15" s="5"/>
      <c r="J15" s="11">
        <v>17</v>
      </c>
      <c r="K15" s="12">
        <v>12.8</v>
      </c>
      <c r="L15" s="7">
        <f t="shared" si="0"/>
        <v>996</v>
      </c>
      <c r="M15" s="12">
        <f t="shared" si="1"/>
        <v>204</v>
      </c>
      <c r="N15" s="6"/>
      <c r="P15">
        <f t="shared" si="2"/>
        <v>0.17</v>
      </c>
    </row>
    <row r="16" spans="2:16" x14ac:dyDescent="0.3">
      <c r="B16" s="4"/>
      <c r="C16" s="5"/>
      <c r="D16" s="5"/>
      <c r="E16" s="5"/>
      <c r="F16" s="5"/>
      <c r="G16" s="5"/>
      <c r="H16" s="5"/>
      <c r="I16" s="5"/>
      <c r="J16" s="11">
        <v>14</v>
      </c>
      <c r="K16" s="12">
        <v>12.5</v>
      </c>
      <c r="L16" s="7">
        <f t="shared" si="0"/>
        <v>1032</v>
      </c>
      <c r="M16" s="12">
        <f t="shared" si="1"/>
        <v>168</v>
      </c>
      <c r="N16" s="6"/>
      <c r="P16">
        <f t="shared" si="2"/>
        <v>0.14000000000000001</v>
      </c>
    </row>
    <row r="17" spans="2:16" x14ac:dyDescent="0.3">
      <c r="B17" s="4"/>
      <c r="C17" s="5"/>
      <c r="D17" s="5"/>
      <c r="E17" s="5"/>
      <c r="F17" s="5"/>
      <c r="G17" s="5"/>
      <c r="H17" s="5"/>
      <c r="I17" s="5"/>
      <c r="J17" s="11">
        <v>9</v>
      </c>
      <c r="K17" s="12">
        <v>12</v>
      </c>
      <c r="L17" s="7">
        <f t="shared" si="0"/>
        <v>1092</v>
      </c>
      <c r="M17" s="12">
        <f t="shared" si="1"/>
        <v>108</v>
      </c>
      <c r="N17" s="6"/>
      <c r="P17">
        <f t="shared" si="2"/>
        <v>0.09</v>
      </c>
    </row>
    <row r="18" spans="2:16" ht="15" thickBot="1" x14ac:dyDescent="0.35">
      <c r="B18" s="4"/>
      <c r="C18" s="5"/>
      <c r="D18" s="5"/>
      <c r="E18" s="5"/>
      <c r="F18" s="5"/>
      <c r="G18" s="5"/>
      <c r="H18" s="5"/>
      <c r="I18" s="5"/>
      <c r="J18" s="13">
        <v>0</v>
      </c>
      <c r="K18" s="15">
        <v>10</v>
      </c>
      <c r="L18" s="14">
        <f>(100-J18)*12</f>
        <v>1200</v>
      </c>
      <c r="M18" s="15">
        <f t="shared" si="1"/>
        <v>0</v>
      </c>
      <c r="N18" s="6"/>
      <c r="P18">
        <f t="shared" si="2"/>
        <v>0</v>
      </c>
    </row>
    <row r="19" spans="2:16" ht="7.8" customHeight="1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2:16" ht="10.8" customHeight="1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2:16" hidden="1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2:16" ht="5.4" customHeight="1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2:16" ht="5.4" customHeight="1" thickBot="1" x14ac:dyDescent="0.35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</row>
  </sheetData>
  <pageMargins left="0.7" right="0.7" top="0.75" bottom="0.75" header="0.3" footer="0.3"/>
  <pageSetup scale="50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P20" sqref="P20"/>
    </sheetView>
  </sheetViews>
  <sheetFormatPr defaultRowHeight="14.4" x14ac:dyDescent="0.3"/>
  <cols>
    <col min="1" max="1" width="7.44140625" bestFit="1" customWidth="1"/>
  </cols>
  <sheetData>
    <row r="1" spans="1:4" x14ac:dyDescent="0.3">
      <c r="A1" t="s">
        <v>5</v>
      </c>
      <c r="B1" t="s">
        <v>2</v>
      </c>
      <c r="C1" t="s">
        <v>3</v>
      </c>
      <c r="D1" t="s">
        <v>4</v>
      </c>
    </row>
    <row r="2" spans="1:4" x14ac:dyDescent="0.3">
      <c r="A2" s="19">
        <f>D2/12</f>
        <v>100</v>
      </c>
      <c r="B2">
        <v>13.72</v>
      </c>
      <c r="C2">
        <v>0</v>
      </c>
      <c r="D2">
        <f>1200-C2</f>
        <v>1200</v>
      </c>
    </row>
    <row r="3" spans="1:4" x14ac:dyDescent="0.3">
      <c r="A3" s="19">
        <f t="shared" ref="A3:A8" si="0">D3/12</f>
        <v>99.166666666666671</v>
      </c>
      <c r="B3">
        <v>13.32</v>
      </c>
      <c r="C3">
        <v>10</v>
      </c>
      <c r="D3">
        <f t="shared" ref="D3:D8" si="1">1200-C3</f>
        <v>1190</v>
      </c>
    </row>
    <row r="4" spans="1:4" x14ac:dyDescent="0.3">
      <c r="A4" s="19">
        <f t="shared" si="0"/>
        <v>98.25</v>
      </c>
      <c r="B4">
        <v>13.3</v>
      </c>
      <c r="C4">
        <v>21</v>
      </c>
      <c r="D4">
        <f t="shared" si="1"/>
        <v>1179</v>
      </c>
    </row>
    <row r="5" spans="1:4" x14ac:dyDescent="0.3">
      <c r="A5" s="19">
        <f t="shared" si="0"/>
        <v>97.666666666666671</v>
      </c>
      <c r="B5">
        <v>13.3</v>
      </c>
      <c r="C5">
        <v>28</v>
      </c>
      <c r="D5">
        <f t="shared" si="1"/>
        <v>1172</v>
      </c>
    </row>
    <row r="6" spans="1:4" x14ac:dyDescent="0.3">
      <c r="A6" s="19">
        <f t="shared" si="0"/>
        <v>94</v>
      </c>
      <c r="B6">
        <v>13.27</v>
      </c>
      <c r="C6">
        <v>72</v>
      </c>
      <c r="D6">
        <f t="shared" si="1"/>
        <v>1128</v>
      </c>
    </row>
    <row r="7" spans="1:4" x14ac:dyDescent="0.3">
      <c r="A7" s="19">
        <f t="shared" si="0"/>
        <v>86.416666666666671</v>
      </c>
      <c r="B7">
        <v>13.26</v>
      </c>
      <c r="C7">
        <v>163</v>
      </c>
      <c r="D7">
        <f t="shared" si="1"/>
        <v>1037</v>
      </c>
    </row>
    <row r="8" spans="1:4" x14ac:dyDescent="0.3">
      <c r="A8" s="19">
        <f t="shared" si="0"/>
        <v>83.833333333333329</v>
      </c>
      <c r="B8">
        <v>13.25</v>
      </c>
      <c r="C8">
        <v>194</v>
      </c>
      <c r="D8">
        <f t="shared" si="1"/>
        <v>1006</v>
      </c>
    </row>
    <row r="9" spans="1:4" x14ac:dyDescent="0.3">
      <c r="A9" s="19"/>
    </row>
    <row r="10" spans="1:4" x14ac:dyDescent="0.3">
      <c r="A10" s="19"/>
    </row>
    <row r="11" spans="1:4" x14ac:dyDescent="0.3">
      <c r="A11" s="19"/>
    </row>
    <row r="12" spans="1:4" x14ac:dyDescent="0.3">
      <c r="A12" s="19"/>
    </row>
    <row r="13" spans="1:4" x14ac:dyDescent="0.3">
      <c r="A13" s="19"/>
    </row>
    <row r="14" spans="1:4" x14ac:dyDescent="0.3">
      <c r="A14" s="19"/>
    </row>
    <row r="15" spans="1:4" x14ac:dyDescent="0.3">
      <c r="A15" s="19"/>
    </row>
    <row r="16" spans="1:4" x14ac:dyDescent="0.3">
      <c r="A16" s="19"/>
    </row>
    <row r="17" spans="1:1" x14ac:dyDescent="0.3">
      <c r="A17" s="19"/>
    </row>
    <row r="18" spans="1:1" x14ac:dyDescent="0.3">
      <c r="A18" s="19"/>
    </row>
    <row r="19" spans="1:1" x14ac:dyDescent="0.3">
      <c r="A19" s="19"/>
    </row>
    <row r="20" spans="1:1" x14ac:dyDescent="0.3">
      <c r="A20" s="19"/>
    </row>
    <row r="21" spans="1:1" x14ac:dyDescent="0.3">
      <c r="A21" s="19"/>
    </row>
    <row r="22" spans="1:1" x14ac:dyDescent="0.3">
      <c r="A22" s="19"/>
    </row>
    <row r="23" spans="1:1" x14ac:dyDescent="0.3">
      <c r="A23" s="19"/>
    </row>
    <row r="24" spans="1:1" x14ac:dyDescent="0.3">
      <c r="A24" s="19"/>
    </row>
    <row r="25" spans="1:1" x14ac:dyDescent="0.3">
      <c r="A25" s="19"/>
    </row>
    <row r="26" spans="1:1" x14ac:dyDescent="0.3">
      <c r="A26" s="19"/>
    </row>
    <row r="27" spans="1:1" x14ac:dyDescent="0.3">
      <c r="A27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S8" sqref="S8"/>
    </sheetView>
  </sheetViews>
  <sheetFormatPr defaultRowHeight="14.4" x14ac:dyDescent="0.3"/>
  <sheetData>
    <row r="1" spans="1:9" x14ac:dyDescent="0.3">
      <c r="A1" t="s">
        <v>8</v>
      </c>
      <c r="B1" t="s">
        <v>6</v>
      </c>
      <c r="C1" t="s">
        <v>14</v>
      </c>
      <c r="D1" t="s">
        <v>7</v>
      </c>
      <c r="E1" t="s">
        <v>13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0</v>
      </c>
      <c r="B2">
        <f>(100-A2)/100</f>
        <v>1</v>
      </c>
      <c r="C2">
        <v>12.68</v>
      </c>
      <c r="D2">
        <v>12.9</v>
      </c>
      <c r="E2">
        <v>13.1</v>
      </c>
      <c r="F2">
        <v>13.3</v>
      </c>
      <c r="G2">
        <v>13.31</v>
      </c>
      <c r="H2">
        <v>13.32</v>
      </c>
      <c r="I2">
        <v>13.35</v>
      </c>
    </row>
    <row r="3" spans="1:9" x14ac:dyDescent="0.3">
      <c r="A3">
        <v>2</v>
      </c>
      <c r="B3">
        <f t="shared" ref="B3:B15" si="0">(100-A3)/100</f>
        <v>0.98</v>
      </c>
      <c r="C3">
        <v>12.38</v>
      </c>
      <c r="D3">
        <v>12.85</v>
      </c>
      <c r="E3">
        <v>12.85</v>
      </c>
      <c r="F3">
        <v>12.9</v>
      </c>
      <c r="G3">
        <v>13</v>
      </c>
      <c r="H3">
        <v>13.1</v>
      </c>
      <c r="I3">
        <v>13.15</v>
      </c>
    </row>
    <row r="4" spans="1:9" x14ac:dyDescent="0.3">
      <c r="A4">
        <v>5</v>
      </c>
      <c r="B4">
        <f t="shared" si="0"/>
        <v>0.95</v>
      </c>
      <c r="C4">
        <v>12.26</v>
      </c>
      <c r="D4">
        <v>12.77</v>
      </c>
      <c r="E4">
        <v>12.8</v>
      </c>
      <c r="F4">
        <v>12.85</v>
      </c>
      <c r="G4">
        <v>12.95</v>
      </c>
      <c r="H4">
        <v>13.03</v>
      </c>
      <c r="I4">
        <v>13.08</v>
      </c>
    </row>
    <row r="5" spans="1:9" x14ac:dyDescent="0.3">
      <c r="A5">
        <v>10</v>
      </c>
      <c r="B5">
        <f t="shared" si="0"/>
        <v>0.9</v>
      </c>
      <c r="C5">
        <v>12.17</v>
      </c>
      <c r="D5">
        <v>12.74</v>
      </c>
      <c r="E5">
        <v>12.77</v>
      </c>
      <c r="F5" s="20">
        <v>12.845000000000001</v>
      </c>
      <c r="G5" s="20">
        <f>$G$4+(A5-$A$4)/($A$8-$A$4)*($G$8-$G$4)</f>
        <v>12.944285714285714</v>
      </c>
      <c r="H5">
        <v>13.01</v>
      </c>
      <c r="I5">
        <v>13.05</v>
      </c>
    </row>
    <row r="6" spans="1:9" x14ac:dyDescent="0.3">
      <c r="A6">
        <v>20</v>
      </c>
      <c r="B6">
        <f t="shared" si="0"/>
        <v>0.8</v>
      </c>
      <c r="C6">
        <v>12.03</v>
      </c>
      <c r="D6">
        <v>12.68</v>
      </c>
      <c r="E6">
        <v>12.75</v>
      </c>
      <c r="F6" s="20">
        <f>$F$5+(A6-A5)/(A9-A5)*($F$9-$F$5)</f>
        <v>12.831250000000001</v>
      </c>
      <c r="G6" s="20">
        <f t="shared" ref="G6:G7" si="1">$G$4+(A6-$A$4)/($A$8-$A$4)*($G$8-$G$4)</f>
        <v>12.932857142857143</v>
      </c>
      <c r="H6" s="20">
        <f>H$5+($A6-$A$5)/($A$8-$A$5)*(H$8-H$5)</f>
        <v>13.006666666666666</v>
      </c>
      <c r="I6" s="20">
        <f>I$5+($A6-$A$5)/($A$8-$A$5)*(I$8-I$5)</f>
        <v>13.046666666666667</v>
      </c>
    </row>
    <row r="7" spans="1:9" x14ac:dyDescent="0.3">
      <c r="A7">
        <v>30</v>
      </c>
      <c r="B7">
        <f t="shared" si="0"/>
        <v>0.7</v>
      </c>
      <c r="C7">
        <v>11.98</v>
      </c>
      <c r="D7">
        <v>12.64</v>
      </c>
      <c r="E7">
        <v>12.74</v>
      </c>
      <c r="F7" s="20">
        <f t="shared" ref="F7:F8" si="2">$F$5+(A7-A6)/(A10-A6)*($F$9-$F$5)</f>
        <v>12.831250000000001</v>
      </c>
      <c r="G7" s="20">
        <f t="shared" si="1"/>
        <v>12.921428571428571</v>
      </c>
      <c r="H7" s="20">
        <f>H$5+($A7-$A$5)/($A$8-$A$5)*(H$8-H$5)</f>
        <v>13.003333333333334</v>
      </c>
      <c r="I7" s="20">
        <f>I$5+($A7-$A$5)/($A$8-$A$5)*(I$8-I$5)</f>
        <v>13.043333333333333</v>
      </c>
    </row>
    <row r="8" spans="1:9" x14ac:dyDescent="0.3">
      <c r="A8">
        <v>40</v>
      </c>
      <c r="B8">
        <f t="shared" si="0"/>
        <v>0.6</v>
      </c>
      <c r="C8">
        <v>11.95</v>
      </c>
      <c r="D8">
        <v>12.6</v>
      </c>
      <c r="E8">
        <v>12.71</v>
      </c>
      <c r="F8" s="20">
        <f t="shared" si="2"/>
        <v>12.831250000000001</v>
      </c>
      <c r="G8">
        <v>12.91</v>
      </c>
      <c r="H8">
        <v>13</v>
      </c>
      <c r="I8">
        <v>13.04</v>
      </c>
    </row>
    <row r="9" spans="1:9" x14ac:dyDescent="0.3">
      <c r="A9">
        <v>50</v>
      </c>
      <c r="B9">
        <f t="shared" si="0"/>
        <v>0.5</v>
      </c>
      <c r="C9">
        <v>11.9</v>
      </c>
      <c r="D9">
        <v>12.5</v>
      </c>
      <c r="E9">
        <v>12.65</v>
      </c>
      <c r="F9">
        <v>12.79</v>
      </c>
      <c r="G9">
        <v>12.9</v>
      </c>
      <c r="H9">
        <v>12.97</v>
      </c>
      <c r="I9">
        <v>13.01</v>
      </c>
    </row>
    <row r="10" spans="1:9" x14ac:dyDescent="0.3">
      <c r="A10">
        <v>60</v>
      </c>
      <c r="B10">
        <f t="shared" si="0"/>
        <v>0.4</v>
      </c>
      <c r="C10">
        <v>11.76</v>
      </c>
      <c r="D10">
        <v>12.37</v>
      </c>
      <c r="E10">
        <v>12.49</v>
      </c>
      <c r="F10">
        <v>12.65</v>
      </c>
      <c r="G10">
        <v>12.84</v>
      </c>
      <c r="H10">
        <v>12.91</v>
      </c>
      <c r="I10">
        <v>12.95</v>
      </c>
    </row>
    <row r="11" spans="1:9" x14ac:dyDescent="0.3">
      <c r="A11">
        <v>70</v>
      </c>
      <c r="B11">
        <f t="shared" si="0"/>
        <v>0.3</v>
      </c>
      <c r="C11">
        <v>11.03</v>
      </c>
      <c r="D11">
        <v>11.97</v>
      </c>
      <c r="E11">
        <v>12.25</v>
      </c>
      <c r="F11">
        <v>12.41</v>
      </c>
      <c r="G11">
        <v>12.7</v>
      </c>
      <c r="H11">
        <v>12.77</v>
      </c>
      <c r="I11">
        <v>12.87</v>
      </c>
    </row>
    <row r="12" spans="1:9" x14ac:dyDescent="0.3">
      <c r="A12">
        <v>80</v>
      </c>
      <c r="B12">
        <f t="shared" si="0"/>
        <v>0.2</v>
      </c>
      <c r="D12">
        <v>11.4</v>
      </c>
      <c r="E12">
        <v>11.78</v>
      </c>
      <c r="F12">
        <v>12.15</v>
      </c>
      <c r="G12">
        <v>12.4</v>
      </c>
      <c r="H12">
        <v>12.55</v>
      </c>
      <c r="I12">
        <v>12.66</v>
      </c>
    </row>
    <row r="13" spans="1:9" x14ac:dyDescent="0.3">
      <c r="A13">
        <v>90</v>
      </c>
      <c r="B13">
        <f t="shared" si="0"/>
        <v>0.1</v>
      </c>
      <c r="D13">
        <v>10.1</v>
      </c>
      <c r="E13">
        <v>11.05</v>
      </c>
      <c r="F13">
        <v>11.59</v>
      </c>
      <c r="G13">
        <v>11.85</v>
      </c>
      <c r="H13">
        <v>12.2</v>
      </c>
      <c r="I13">
        <v>12.43</v>
      </c>
    </row>
    <row r="14" spans="1:9" x14ac:dyDescent="0.3">
      <c r="A14">
        <v>95</v>
      </c>
      <c r="B14">
        <f t="shared" si="0"/>
        <v>0.05</v>
      </c>
      <c r="E14">
        <v>10.1</v>
      </c>
      <c r="F14">
        <v>10.95</v>
      </c>
      <c r="G14">
        <v>11.3</v>
      </c>
      <c r="H14">
        <v>11.6</v>
      </c>
      <c r="I14">
        <v>12.1</v>
      </c>
    </row>
    <row r="15" spans="1:9" x14ac:dyDescent="0.3">
      <c r="A15">
        <v>100</v>
      </c>
      <c r="B15">
        <f t="shared" si="0"/>
        <v>0</v>
      </c>
      <c r="F15">
        <v>10.1</v>
      </c>
      <c r="G15">
        <v>10.45</v>
      </c>
      <c r="H15">
        <v>10.51</v>
      </c>
      <c r="I1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B1" workbookViewId="0">
      <selection activeCell="R5" sqref="R5"/>
    </sheetView>
  </sheetViews>
  <sheetFormatPr defaultRowHeight="14.4" x14ac:dyDescent="0.3"/>
  <sheetData>
    <row r="1" spans="1:22" x14ac:dyDescent="0.3">
      <c r="A1" t="s">
        <v>20</v>
      </c>
    </row>
    <row r="5" spans="1:22" x14ac:dyDescent="0.3">
      <c r="A5" t="s">
        <v>23</v>
      </c>
      <c r="B5" s="21">
        <v>-10</v>
      </c>
      <c r="C5" s="21">
        <v>0</v>
      </c>
      <c r="D5" s="21">
        <v>10</v>
      </c>
      <c r="E5" s="21">
        <v>20</v>
      </c>
      <c r="F5" s="21">
        <v>30</v>
      </c>
      <c r="G5" s="21">
        <v>40</v>
      </c>
      <c r="H5" s="21">
        <v>50</v>
      </c>
    </row>
    <row r="6" spans="1:22" x14ac:dyDescent="0.3">
      <c r="A6" t="s">
        <v>17</v>
      </c>
      <c r="B6" s="21">
        <v>0.47799999999999998</v>
      </c>
      <c r="C6" s="21">
        <v>0.47799999999999998</v>
      </c>
      <c r="D6" s="21">
        <v>0.47799999999999998</v>
      </c>
      <c r="E6" s="21">
        <v>0.47799999999999998</v>
      </c>
      <c r="F6" s="21">
        <v>0.47799999999999998</v>
      </c>
      <c r="G6" s="21">
        <v>0.47799999999999998</v>
      </c>
      <c r="H6" s="21">
        <v>0.47799999999999998</v>
      </c>
    </row>
    <row r="7" spans="1:22" x14ac:dyDescent="0.3">
      <c r="A7" t="s">
        <v>16</v>
      </c>
      <c r="B7" s="22">
        <v>-1.143251503157807</v>
      </c>
      <c r="C7" s="22">
        <v>-1.143251503157807</v>
      </c>
      <c r="D7" s="22">
        <v>-1.143251503157807</v>
      </c>
      <c r="E7" s="22">
        <v>-0.57795540028306935</v>
      </c>
      <c r="F7" s="22">
        <v>-0.55329798798696006</v>
      </c>
      <c r="G7" s="22">
        <v>-0.55710475700016193</v>
      </c>
      <c r="H7" s="22">
        <v>-0.45551626024511238</v>
      </c>
      <c r="K7" s="22"/>
      <c r="N7" s="22"/>
      <c r="Q7" s="22"/>
      <c r="T7" s="22"/>
    </row>
    <row r="8" spans="1:22" x14ac:dyDescent="0.3">
      <c r="A8" t="s">
        <v>15</v>
      </c>
      <c r="B8">
        <v>3.3483399767315909</v>
      </c>
      <c r="C8">
        <v>3.5247557002832086</v>
      </c>
      <c r="D8">
        <v>3.5539644353434743</v>
      </c>
      <c r="E8">
        <v>2.7782710208104895</v>
      </c>
      <c r="F8">
        <v>2.8069059976624819</v>
      </c>
      <c r="G8">
        <v>2.8512557761146389</v>
      </c>
      <c r="H8">
        <v>2.7310417617626701</v>
      </c>
    </row>
    <row r="9" spans="1:22" x14ac:dyDescent="0.3">
      <c r="A9" t="s">
        <v>18</v>
      </c>
      <c r="B9">
        <v>-1.7704346329793603</v>
      </c>
      <c r="C9">
        <v>-1.7704346329793603</v>
      </c>
      <c r="D9">
        <v>-1.7704346329793603</v>
      </c>
      <c r="E9">
        <v>-1.0994517959124805</v>
      </c>
      <c r="F9">
        <v>-1.1254678290104727</v>
      </c>
      <c r="G9">
        <v>-1.1592275633503999</v>
      </c>
      <c r="H9">
        <v>-1.0590283827915401</v>
      </c>
    </row>
    <row r="10" spans="1:22" x14ac:dyDescent="0.3">
      <c r="A10" t="s">
        <v>19</v>
      </c>
      <c r="B10" s="21">
        <v>0.4</v>
      </c>
      <c r="C10" s="21">
        <v>0.4</v>
      </c>
      <c r="D10" s="21">
        <v>0.4</v>
      </c>
      <c r="E10" s="21">
        <v>0.4</v>
      </c>
      <c r="F10" s="21">
        <v>0.4</v>
      </c>
      <c r="G10" s="21">
        <v>0.4</v>
      </c>
      <c r="H10" s="21">
        <v>0.4</v>
      </c>
    </row>
    <row r="11" spans="1:22" x14ac:dyDescent="0.3">
      <c r="A11" t="s">
        <v>1</v>
      </c>
      <c r="B11" s="21">
        <v>1.734</v>
      </c>
      <c r="C11" s="21">
        <v>1.734</v>
      </c>
      <c r="D11" s="21">
        <v>1.734</v>
      </c>
      <c r="E11" s="21">
        <v>1.734</v>
      </c>
      <c r="F11" s="21">
        <v>1.734</v>
      </c>
      <c r="G11" s="21">
        <v>1.734</v>
      </c>
      <c r="H11" s="21">
        <v>1.734</v>
      </c>
    </row>
    <row r="13" spans="1:22" x14ac:dyDescent="0.3">
      <c r="A13" t="s">
        <v>21</v>
      </c>
      <c r="B13" t="str">
        <f>'Cap Curves'!C1</f>
        <v>VoC -10C</v>
      </c>
      <c r="C13" t="s">
        <v>26</v>
      </c>
      <c r="D13" t="s">
        <v>27</v>
      </c>
      <c r="E13" t="str">
        <f>'Cap Curves'!D1</f>
        <v>VoC 0C</v>
      </c>
      <c r="F13" t="s">
        <v>28</v>
      </c>
      <c r="G13" t="s">
        <v>29</v>
      </c>
      <c r="H13" t="str">
        <f>'Cap Curves'!E1</f>
        <v>VoC 10C</v>
      </c>
      <c r="I13" t="s">
        <v>30</v>
      </c>
      <c r="J13" t="s">
        <v>31</v>
      </c>
      <c r="K13" t="str">
        <f>'Cap Curves'!F1</f>
        <v>VoC 20C</v>
      </c>
      <c r="L13" t="s">
        <v>25</v>
      </c>
      <c r="M13" t="s">
        <v>24</v>
      </c>
      <c r="N13" t="str">
        <f>'Cap Curves'!G1</f>
        <v>VoC 30C</v>
      </c>
      <c r="O13" t="s">
        <v>32</v>
      </c>
      <c r="P13" t="s">
        <v>33</v>
      </c>
      <c r="Q13" t="str">
        <f>'Cap Curves'!H1</f>
        <v>VoC 40C</v>
      </c>
      <c r="R13" t="s">
        <v>34</v>
      </c>
      <c r="S13" t="s">
        <v>35</v>
      </c>
      <c r="T13" t="str">
        <f>'Cap Curves'!I1</f>
        <v>VoC 50C</v>
      </c>
      <c r="U13" t="s">
        <v>36</v>
      </c>
      <c r="V13" t="s">
        <v>24</v>
      </c>
    </row>
    <row r="14" spans="1:22" x14ac:dyDescent="0.3">
      <c r="A14">
        <v>1</v>
      </c>
      <c r="B14">
        <f>'Cap Curves'!C2</f>
        <v>12.68</v>
      </c>
      <c r="C14">
        <f t="shared" ref="C14:C22" si="0">4*(B$8+B$7*(-LN($A14))^B$6 + B$9*$A14 + B$11*EXP(B$10*($A14-1)))</f>
        <v>13.247621375008922</v>
      </c>
      <c r="D14">
        <f>((C14-B14)/12*100)^2</f>
        <v>22.374585094931938</v>
      </c>
      <c r="E14">
        <f>'Cap Curves'!D2</f>
        <v>12.9</v>
      </c>
      <c r="F14">
        <f t="shared" ref="F14:F25" si="1">(C$8+C$7*(-LN($A14))^C$6 + C$9*$A14 + C$11*EXP(C$10*($A14-1)))*4</f>
        <v>13.953284269215393</v>
      </c>
      <c r="G14">
        <f>((F14-E14)/12*100)^2</f>
        <v>77.042204984486403</v>
      </c>
      <c r="H14">
        <f>'Cap Curves'!E2</f>
        <v>13.1</v>
      </c>
      <c r="I14">
        <f t="shared" ref="I14:I27" si="2">(D$8+D$7*(-LN($A14))^D$6 + D$9*$A14 + D$11*EXP(D$10*($A14-1)))*4</f>
        <v>14.070119209456456</v>
      </c>
      <c r="J14">
        <f>((I14-H14)/12*100)^2</f>
        <v>65.356338927529109</v>
      </c>
      <c r="K14">
        <f>'Cap Curves'!F2</f>
        <v>13.3</v>
      </c>
      <c r="L14">
        <f t="shared" ref="L14:L27" si="3">(E$8+E$7*(-LN($A14))^E$6 + E$9*$A14 + E$11*EXP(E$10*($A14-1)))*4</f>
        <v>13.651276899592036</v>
      </c>
      <c r="M14">
        <f>((L14-K14)/12*100)^2</f>
        <v>8.5691291796522648</v>
      </c>
      <c r="N14">
        <f>'Cap Curves'!G2</f>
        <v>13.31</v>
      </c>
      <c r="O14">
        <f t="shared" ref="O14:O27" si="4">(F$8+F$7*(-LN($A14))^F$6 + F$9*$A14 + F$11*EXP(F$10*($A14-1)))*4</f>
        <v>13.661752674608037</v>
      </c>
      <c r="P14">
        <f>((O14-N14)/12*100)^2</f>
        <v>8.5923572287435519</v>
      </c>
      <c r="Q14">
        <f>'Cap Curves'!H2</f>
        <v>13.32</v>
      </c>
      <c r="R14">
        <f t="shared" ref="R14:R27" si="5">(G$8+G$7*(-LN($A14))^G$6 + G$9*$A14 + G$11*EXP(G$10*($A14-1)))*4</f>
        <v>13.704112851056955</v>
      </c>
      <c r="S14">
        <f>((R14-Q14)/12*100)^2</f>
        <v>10.246019607437656</v>
      </c>
      <c r="T14">
        <f>'Cap Curves'!I2</f>
        <v>13.35</v>
      </c>
      <c r="U14">
        <f t="shared" ref="U14:U27" si="6">(H$8+H$7*(-LN($A14))^H$6 + H$9*$A14 + H$11*EXP(H$10*($A14-1)))*4</f>
        <v>13.624053515884519</v>
      </c>
      <c r="V14">
        <f>((U14-T14)/12*100)^2</f>
        <v>5.2156478867129561</v>
      </c>
    </row>
    <row r="15" spans="1:22" x14ac:dyDescent="0.3">
      <c r="A15">
        <v>0.98</v>
      </c>
      <c r="B15">
        <f>'Cap Curves'!C3</f>
        <v>12.38</v>
      </c>
      <c r="C15">
        <f t="shared" si="0"/>
        <v>12.625737933744901</v>
      </c>
      <c r="D15">
        <f t="shared" ref="D15:D22" si="7">((C15-B15)/12*100)^2</f>
        <v>4.1935508389731213</v>
      </c>
      <c r="E15">
        <f>'Cap Curves'!D3</f>
        <v>12.85</v>
      </c>
      <c r="F15">
        <f t="shared" si="1"/>
        <v>13.33140082795137</v>
      </c>
      <c r="G15">
        <f t="shared" ref="G15:G25" si="8">((F15-E15)/12*100)^2</f>
        <v>16.093524802240619</v>
      </c>
      <c r="H15">
        <f>'Cap Curves'!E3</f>
        <v>12.85</v>
      </c>
      <c r="I15">
        <f t="shared" si="2"/>
        <v>13.448235768192433</v>
      </c>
      <c r="J15">
        <f t="shared" ref="J15:J26" si="9">((I15-H15)/12*100)^2</f>
        <v>24.853196829499336</v>
      </c>
      <c r="K15">
        <f>'Cap Curves'!F3</f>
        <v>12.9</v>
      </c>
      <c r="L15">
        <f t="shared" si="3"/>
        <v>13.32591936036253</v>
      </c>
      <c r="M15">
        <f t="shared" ref="M15:M27" si="10">((L15-K15)/12*100)^2</f>
        <v>12.597729273029604</v>
      </c>
      <c r="N15">
        <f>'Cap Curves'!G3</f>
        <v>13</v>
      </c>
      <c r="O15">
        <f t="shared" si="4"/>
        <v>13.353751841677095</v>
      </c>
      <c r="P15">
        <f t="shared" ref="P15:P27" si="11">((O15-N15)/12*100)^2</f>
        <v>8.6903031590233688</v>
      </c>
      <c r="Q15">
        <f>'Cap Curves'!H3</f>
        <v>13.1</v>
      </c>
      <c r="R15">
        <f t="shared" si="5"/>
        <v>13.396454479272043</v>
      </c>
      <c r="S15">
        <f t="shared" ref="S15:S27" si="12">((R15-Q15)/12*100)^2</f>
        <v>6.1031429361429339</v>
      </c>
      <c r="T15">
        <f>'Cap Curves'!I3</f>
        <v>13.15</v>
      </c>
      <c r="U15">
        <f t="shared" si="6"/>
        <v>13.371313929135514</v>
      </c>
      <c r="V15">
        <f t="shared" ref="V15:V27" si="13">((U15-T15)/12*100)^2</f>
        <v>3.4013788353749441</v>
      </c>
    </row>
    <row r="16" spans="1:22" x14ac:dyDescent="0.3">
      <c r="A16">
        <v>0.95</v>
      </c>
      <c r="B16">
        <f>'Cap Curves'!C4</f>
        <v>12.26</v>
      </c>
      <c r="C16">
        <f t="shared" si="0"/>
        <v>12.358733953297351</v>
      </c>
      <c r="D16">
        <f t="shared" si="7"/>
        <v>0.67697177317524859</v>
      </c>
      <c r="E16">
        <f>'Cap Curves'!D4</f>
        <v>12.77</v>
      </c>
      <c r="F16">
        <f t="shared" si="1"/>
        <v>13.064396847503822</v>
      </c>
      <c r="G16">
        <f t="shared" si="8"/>
        <v>6.0187155430686792</v>
      </c>
      <c r="H16">
        <f>'Cap Curves'!E4</f>
        <v>12.8</v>
      </c>
      <c r="I16">
        <f t="shared" si="2"/>
        <v>13.181231787744885</v>
      </c>
      <c r="J16">
        <f t="shared" si="9"/>
        <v>10.092894165775023</v>
      </c>
      <c r="K16">
        <f>'Cap Curves'!F4</f>
        <v>12.85</v>
      </c>
      <c r="L16">
        <f t="shared" si="3"/>
        <v>13.174887714615567</v>
      </c>
      <c r="M16">
        <f t="shared" si="10"/>
        <v>7.3300018825087614</v>
      </c>
      <c r="N16">
        <f>'Cap Curves'!G4</f>
        <v>12.95</v>
      </c>
      <c r="O16">
        <f t="shared" si="4"/>
        <v>13.214412746343285</v>
      </c>
      <c r="P16">
        <f t="shared" si="11"/>
        <v>4.8551458631110309</v>
      </c>
      <c r="Q16">
        <f>'Cap Curves'!H4</f>
        <v>13.03</v>
      </c>
      <c r="R16">
        <f t="shared" si="5"/>
        <v>13.259843363933317</v>
      </c>
      <c r="S16">
        <f t="shared" si="12"/>
        <v>3.6686091627905308</v>
      </c>
      <c r="T16">
        <f>'Cap Curves'!I4</f>
        <v>13.08</v>
      </c>
      <c r="U16">
        <f t="shared" si="6"/>
        <v>13.257989878502613</v>
      </c>
      <c r="V16">
        <f t="shared" si="13"/>
        <v>2.2000275589843725</v>
      </c>
    </row>
    <row r="17" spans="1:22" x14ac:dyDescent="0.3">
      <c r="A17">
        <v>0.9</v>
      </c>
      <c r="B17">
        <f>'Cap Curves'!C5</f>
        <v>12.17</v>
      </c>
      <c r="C17">
        <f t="shared" si="0"/>
        <v>12.124128154813484</v>
      </c>
      <c r="D17">
        <f t="shared" si="7"/>
        <v>0.14612681811220285</v>
      </c>
      <c r="E17">
        <f>'Cap Curves'!D5</f>
        <v>12.74</v>
      </c>
      <c r="F17">
        <f t="shared" si="1"/>
        <v>12.829791049019956</v>
      </c>
      <c r="G17">
        <f t="shared" si="8"/>
        <v>0.559891144729455</v>
      </c>
      <c r="H17">
        <f>'Cap Curves'!E5</f>
        <v>12.77</v>
      </c>
      <c r="I17">
        <f t="shared" si="2"/>
        <v>12.946625989261019</v>
      </c>
      <c r="J17">
        <f t="shared" si="9"/>
        <v>2.1664402835023426</v>
      </c>
      <c r="K17">
        <f>'Cap Curves'!F5</f>
        <v>12.845000000000001</v>
      </c>
      <c r="L17">
        <f t="shared" si="3"/>
        <v>13.030606512523184</v>
      </c>
      <c r="M17">
        <f t="shared" si="10"/>
        <v>2.3923456590985048</v>
      </c>
      <c r="N17">
        <f>'Cap Curves'!G5</f>
        <v>12.944285714285714</v>
      </c>
      <c r="O17">
        <f t="shared" si="4"/>
        <v>13.085128044822085</v>
      </c>
      <c r="P17">
        <f t="shared" si="11"/>
        <v>1.3775390327025241</v>
      </c>
      <c r="Q17">
        <f>'Cap Curves'!H5</f>
        <v>13.01</v>
      </c>
      <c r="R17">
        <f t="shared" si="5"/>
        <v>13.135798657924287</v>
      </c>
      <c r="S17">
        <f t="shared" si="12"/>
        <v>1.0989793288577647</v>
      </c>
      <c r="T17">
        <f>'Cap Curves'!I5</f>
        <v>13.05</v>
      </c>
      <c r="U17">
        <f t="shared" si="6"/>
        <v>13.154253690818782</v>
      </c>
      <c r="V17">
        <f t="shared" si="13"/>
        <v>0.75478000342625839</v>
      </c>
    </row>
    <row r="18" spans="1:22" x14ac:dyDescent="0.3">
      <c r="A18">
        <v>0.8</v>
      </c>
      <c r="B18">
        <f>'Cap Curves'!C6</f>
        <v>12.03</v>
      </c>
      <c r="C18">
        <f t="shared" si="0"/>
        <v>11.898031230846634</v>
      </c>
      <c r="D18">
        <f t="shared" si="7"/>
        <v>1.2094275022121033</v>
      </c>
      <c r="E18">
        <f>'Cap Curves'!D6</f>
        <v>12.68</v>
      </c>
      <c r="F18">
        <f t="shared" si="1"/>
        <v>12.603694125053105</v>
      </c>
      <c r="G18">
        <f t="shared" ref="G18:G21" si="14">((F18-E18)/12*100)^2*8</f>
        <v>3.2347703063395441</v>
      </c>
      <c r="H18">
        <f>'Cap Curves'!E6</f>
        <v>12.75</v>
      </c>
      <c r="I18">
        <f t="shared" si="2"/>
        <v>12.720529065294167</v>
      </c>
      <c r="J18">
        <f t="shared" ref="J18:J21" si="15">((I18-H18)/12*100)^2*8</f>
        <v>0.48251999579747196</v>
      </c>
      <c r="K18">
        <f>'Cap Curves'!F6</f>
        <v>12.831250000000001</v>
      </c>
      <c r="L18">
        <f t="shared" si="3"/>
        <v>12.868875635416604</v>
      </c>
      <c r="M18">
        <f t="shared" ref="M18:M21" si="16">((L18-K18)/12*100)^2*8</f>
        <v>0.7864935780572998</v>
      </c>
      <c r="N18">
        <f>'Cap Curves'!G6</f>
        <v>12.932857142857143</v>
      </c>
      <c r="O18">
        <f t="shared" si="4"/>
        <v>12.948318063358611</v>
      </c>
      <c r="P18">
        <f t="shared" ref="P18:P21" si="17">((O18-N18)/12*100)^2*8</f>
        <v>0.13280003486261802</v>
      </c>
      <c r="Q18">
        <f>'Cap Curves'!H6</f>
        <v>13.006666666666666</v>
      </c>
      <c r="R18">
        <f t="shared" si="5"/>
        <v>13.010251731572101</v>
      </c>
      <c r="S18">
        <f t="shared" ref="S18:S21" si="18">((R18-Q18)/12*100)^2*8</f>
        <v>7.1403835423230521E-3</v>
      </c>
      <c r="T18">
        <f>'Cap Curves'!I6</f>
        <v>13.046666666666667</v>
      </c>
      <c r="U18">
        <f t="shared" si="6"/>
        <v>13.048426735079993</v>
      </c>
      <c r="V18">
        <f t="shared" ref="V18:V21" si="19">((U18-T18)/12*100)^2*8</f>
        <v>1.7210226775481604E-3</v>
      </c>
    </row>
    <row r="19" spans="1:22" x14ac:dyDescent="0.3">
      <c r="A19">
        <v>0.7</v>
      </c>
      <c r="B19">
        <f>'Cap Curves'!C7</f>
        <v>11.98</v>
      </c>
      <c r="C19">
        <f t="shared" si="0"/>
        <v>11.79406963880048</v>
      </c>
      <c r="D19">
        <f t="shared" si="7"/>
        <v>2.4007013344294661</v>
      </c>
      <c r="E19">
        <f>'Cap Curves'!D7</f>
        <v>12.64</v>
      </c>
      <c r="F19">
        <f t="shared" si="1"/>
        <v>12.499732533006949</v>
      </c>
      <c r="G19">
        <f t="shared" si="14"/>
        <v>10.930534609248282</v>
      </c>
      <c r="H19">
        <f>'Cap Curves'!E7</f>
        <v>12.74</v>
      </c>
      <c r="I19">
        <f t="shared" si="2"/>
        <v>12.616567473248011</v>
      </c>
      <c r="J19">
        <f t="shared" si="15"/>
        <v>8.4642159224335867</v>
      </c>
      <c r="K19">
        <f>'Cap Curves'!F7</f>
        <v>12.831250000000001</v>
      </c>
      <c r="L19">
        <f t="shared" si="3"/>
        <v>12.773954775560256</v>
      </c>
      <c r="M19">
        <f t="shared" si="16"/>
        <v>1.8237459686670776</v>
      </c>
      <c r="N19">
        <f>'Cap Curves'!G7</f>
        <v>12.921428571428571</v>
      </c>
      <c r="O19">
        <f t="shared" si="4"/>
        <v>12.875904887578359</v>
      </c>
      <c r="P19">
        <f t="shared" si="17"/>
        <v>1.1513365507188842</v>
      </c>
      <c r="Q19">
        <f>'Cap Curves'!H7</f>
        <v>13.003333333333334</v>
      </c>
      <c r="R19">
        <f t="shared" si="5"/>
        <v>12.949474177939177</v>
      </c>
      <c r="S19">
        <f t="shared" si="18"/>
        <v>1.6115603443177624</v>
      </c>
      <c r="T19">
        <f>'Cap Curves'!I7</f>
        <v>13.043333333333333</v>
      </c>
      <c r="U19">
        <f t="shared" si="6"/>
        <v>12.997426724505619</v>
      </c>
      <c r="V19">
        <f t="shared" si="19"/>
        <v>1.1707870744781952</v>
      </c>
    </row>
    <row r="20" spans="1:22" x14ac:dyDescent="0.3">
      <c r="A20">
        <v>0.6</v>
      </c>
      <c r="B20">
        <f>'Cap Curves'!C8</f>
        <v>11.95</v>
      </c>
      <c r="C20">
        <f t="shared" si="0"/>
        <v>11.737704849502094</v>
      </c>
      <c r="D20">
        <f t="shared" si="7"/>
        <v>3.1298077031200067</v>
      </c>
      <c r="E20">
        <f>'Cap Curves'!D8</f>
        <v>12.6</v>
      </c>
      <c r="F20">
        <f t="shared" si="1"/>
        <v>12.443367743708565</v>
      </c>
      <c r="G20">
        <f t="shared" si="14"/>
        <v>13.629813172747548</v>
      </c>
      <c r="H20">
        <f>'Cap Curves'!E8</f>
        <v>12.71</v>
      </c>
      <c r="I20">
        <f t="shared" si="2"/>
        <v>12.560202683949628</v>
      </c>
      <c r="J20">
        <f t="shared" si="15"/>
        <v>12.466242164386289</v>
      </c>
      <c r="K20">
        <f>'Cap Curves'!F8</f>
        <v>12.831250000000001</v>
      </c>
      <c r="L20">
        <f t="shared" si="3"/>
        <v>12.707963337013783</v>
      </c>
      <c r="M20">
        <f t="shared" si="16"/>
        <v>8.4442229279317331</v>
      </c>
      <c r="N20">
        <f>'Cap Curves'!G8</f>
        <v>12.91</v>
      </c>
      <c r="O20">
        <f t="shared" si="4"/>
        <v>12.831606888470063</v>
      </c>
      <c r="P20">
        <f t="shared" si="17"/>
        <v>3.4141555196362292</v>
      </c>
      <c r="Q20">
        <f>'Cap Curves'!H8</f>
        <v>13</v>
      </c>
      <c r="R20">
        <f t="shared" si="5"/>
        <v>12.916937509273122</v>
      </c>
      <c r="S20">
        <f t="shared" si="18"/>
        <v>3.8329874254181426</v>
      </c>
      <c r="T20">
        <f>'Cap Curves'!I8</f>
        <v>13.04</v>
      </c>
      <c r="U20">
        <f t="shared" si="6"/>
        <v>12.971312912373676</v>
      </c>
      <c r="V20">
        <f t="shared" si="19"/>
        <v>2.6210644481034153</v>
      </c>
    </row>
    <row r="21" spans="1:22" x14ac:dyDescent="0.3">
      <c r="A21">
        <v>0.5</v>
      </c>
      <c r="B21">
        <f>'Cap Curves'!C9</f>
        <v>11.9</v>
      </c>
      <c r="C21">
        <f t="shared" si="0"/>
        <v>11.693106641659902</v>
      </c>
      <c r="D21">
        <f t="shared" si="7"/>
        <v>2.9725598420308477</v>
      </c>
      <c r="E21">
        <f>'Cap Curves'!D9</f>
        <v>12.5</v>
      </c>
      <c r="F21">
        <f t="shared" si="1"/>
        <v>12.398769535866373</v>
      </c>
      <c r="G21">
        <f t="shared" si="14"/>
        <v>5.6931149270608348</v>
      </c>
      <c r="H21">
        <f>'Cap Curves'!E9</f>
        <v>12.65</v>
      </c>
      <c r="I21">
        <f t="shared" si="2"/>
        <v>12.515604476107436</v>
      </c>
      <c r="J21">
        <f t="shared" si="15"/>
        <v>10.034531579087151</v>
      </c>
      <c r="K21">
        <f>'Cap Curves'!F9</f>
        <v>12.79</v>
      </c>
      <c r="L21">
        <f t="shared" si="3"/>
        <v>12.65259697660499</v>
      </c>
      <c r="M21">
        <f t="shared" si="16"/>
        <v>10.488661576716396</v>
      </c>
      <c r="N21">
        <f>'Cap Curves'!G9</f>
        <v>12.9</v>
      </c>
      <c r="O21">
        <f t="shared" si="4"/>
        <v>12.797884176747626</v>
      </c>
      <c r="P21">
        <f t="shared" si="17"/>
        <v>5.7931340880611844</v>
      </c>
      <c r="Q21">
        <f>'Cap Curves'!H9</f>
        <v>12.97</v>
      </c>
      <c r="R21">
        <f t="shared" si="5"/>
        <v>12.894983815007649</v>
      </c>
      <c r="S21">
        <f t="shared" si="18"/>
        <v>3.1263488948926428</v>
      </c>
      <c r="T21">
        <f>'Cap Curves'!I9</f>
        <v>13.01</v>
      </c>
      <c r="U21">
        <f t="shared" si="6"/>
        <v>12.955576936829443</v>
      </c>
      <c r="V21">
        <f t="shared" si="19"/>
        <v>1.6454832249257789</v>
      </c>
    </row>
    <row r="22" spans="1:22" x14ac:dyDescent="0.3">
      <c r="A22">
        <v>0.4</v>
      </c>
      <c r="B22">
        <f>'Cap Curves'!C10</f>
        <v>11.76</v>
      </c>
      <c r="C22">
        <f t="shared" si="0"/>
        <v>11.630866222328329</v>
      </c>
      <c r="D22">
        <f t="shared" si="7"/>
        <v>1.1580230927608637</v>
      </c>
      <c r="E22">
        <f>'Cap Curves'!D10</f>
        <v>12.37</v>
      </c>
      <c r="F22">
        <f t="shared" si="1"/>
        <v>12.336529116534802</v>
      </c>
      <c r="G22">
        <f>((F22-E22)/12*100)^2*8</f>
        <v>0.62238891107823358</v>
      </c>
      <c r="H22">
        <f>'Cap Curves'!E10</f>
        <v>12.49</v>
      </c>
      <c r="I22">
        <f t="shared" si="2"/>
        <v>12.453364056775865</v>
      </c>
      <c r="J22">
        <f>((I22-H22)/12*100)^2*8</f>
        <v>0.74566240884560642</v>
      </c>
      <c r="K22">
        <f>'Cap Curves'!F10</f>
        <v>12.65</v>
      </c>
      <c r="L22">
        <f t="shared" si="3"/>
        <v>12.592805101403084</v>
      </c>
      <c r="M22">
        <f>((L22-K22)/12*100)^2*8</f>
        <v>1.8173646808397781</v>
      </c>
      <c r="N22">
        <f>'Cap Curves'!G10</f>
        <v>12.84</v>
      </c>
      <c r="O22">
        <f t="shared" si="4"/>
        <v>12.760312443751097</v>
      </c>
      <c r="P22">
        <f>((O22-N22)/12*100)^2*8</f>
        <v>3.5278370116233591</v>
      </c>
      <c r="Q22">
        <f>'Cap Curves'!H10</f>
        <v>12.91</v>
      </c>
      <c r="R22">
        <f t="shared" si="5"/>
        <v>12.869092096711494</v>
      </c>
      <c r="S22">
        <f>((R22-Q22)/12*100)^2*8</f>
        <v>0.92969808414542332</v>
      </c>
      <c r="T22">
        <f>'Cap Curves'!I10</f>
        <v>12.95</v>
      </c>
      <c r="U22">
        <f t="shared" si="6"/>
        <v>12.938278089573135</v>
      </c>
      <c r="V22">
        <f>((U22-T22)/12*100)^2*8</f>
        <v>7.6335102253015527E-2</v>
      </c>
    </row>
    <row r="23" spans="1:22" x14ac:dyDescent="0.3">
      <c r="A23">
        <v>0.3</v>
      </c>
      <c r="C23">
        <f t="shared" ref="C23:C27" si="20">4*(B$8+B$7*(-LN($A23))^B$6 + B$9*$A23 + B$11*EXP(B$10*($A23-1)))</f>
        <v>11.513641466843254</v>
      </c>
      <c r="E23">
        <f>'Cap Curves'!D11</f>
        <v>11.97</v>
      </c>
      <c r="F23">
        <f t="shared" si="1"/>
        <v>12.219304361049723</v>
      </c>
      <c r="G23">
        <f t="shared" si="8"/>
        <v>4.3161572526673728</v>
      </c>
      <c r="H23">
        <f>'Cap Curves'!E11</f>
        <v>12.25</v>
      </c>
      <c r="I23">
        <f t="shared" si="2"/>
        <v>12.336139301290785</v>
      </c>
      <c r="J23">
        <f t="shared" si="9"/>
        <v>0.51527633519893778</v>
      </c>
      <c r="K23">
        <f>'Cap Curves'!F11</f>
        <v>12.41</v>
      </c>
      <c r="L23">
        <f t="shared" si="3"/>
        <v>12.509533719658675</v>
      </c>
      <c r="M23">
        <f t="shared" si="10"/>
        <v>0.68798342702025694</v>
      </c>
      <c r="N23">
        <f>'Cap Curves'!G11</f>
        <v>12.7</v>
      </c>
      <c r="O23">
        <f t="shared" si="4"/>
        <v>12.700635400087616</v>
      </c>
      <c r="P23">
        <f t="shared" si="11"/>
        <v>2.8037032732218387E-5</v>
      </c>
      <c r="Q23">
        <f>'Cap Curves'!H11</f>
        <v>12.77</v>
      </c>
      <c r="R23">
        <f t="shared" si="5"/>
        <v>12.820882910600099</v>
      </c>
      <c r="S23">
        <f t="shared" si="12"/>
        <v>0.17979656882901077</v>
      </c>
      <c r="T23">
        <f>'Cap Curves'!I11</f>
        <v>12.87</v>
      </c>
      <c r="U23">
        <f t="shared" si="6"/>
        <v>12.904323459173444</v>
      </c>
      <c r="V23">
        <f t="shared" si="13"/>
        <v>8.1812489557717041E-2</v>
      </c>
    </row>
    <row r="24" spans="1:22" x14ac:dyDescent="0.3">
      <c r="A24">
        <v>0.2</v>
      </c>
      <c r="C24">
        <f t="shared" si="20"/>
        <v>11.272522352376143</v>
      </c>
      <c r="E24">
        <f>'Cap Curves'!D12</f>
        <v>11.4</v>
      </c>
      <c r="F24">
        <f t="shared" si="1"/>
        <v>11.978185246582612</v>
      </c>
      <c r="G24">
        <f t="shared" si="8"/>
        <v>23.215151344846898</v>
      </c>
      <c r="H24">
        <f>'Cap Curves'!E12</f>
        <v>11.78</v>
      </c>
      <c r="I24">
        <f t="shared" si="2"/>
        <v>12.095020186823675</v>
      </c>
      <c r="J24">
        <f t="shared" si="9"/>
        <v>6.8915082018349496</v>
      </c>
      <c r="K24">
        <f>'Cap Curves'!F12</f>
        <v>12.15</v>
      </c>
      <c r="L24">
        <f t="shared" si="3"/>
        <v>12.367777022112602</v>
      </c>
      <c r="M24">
        <f t="shared" si="10"/>
        <v>3.2935299555716999</v>
      </c>
      <c r="N24">
        <f>'Cap Curves'!G12</f>
        <v>12.4</v>
      </c>
      <c r="O24">
        <f t="shared" si="4"/>
        <v>12.585326090090515</v>
      </c>
      <c r="P24">
        <f t="shared" si="11"/>
        <v>2.3851221991831597</v>
      </c>
      <c r="Q24">
        <f>'Cap Curves'!H12</f>
        <v>12.55</v>
      </c>
      <c r="R24">
        <f t="shared" si="5"/>
        <v>12.716600986130778</v>
      </c>
      <c r="S24">
        <f t="shared" si="12"/>
        <v>1.9274922624824726</v>
      </c>
      <c r="T24">
        <f>'Cap Curves'!I12</f>
        <v>12.66</v>
      </c>
      <c r="U24">
        <f t="shared" si="6"/>
        <v>12.826050649375436</v>
      </c>
      <c r="V24">
        <f t="shared" si="13"/>
        <v>1.9147790387502641</v>
      </c>
    </row>
    <row r="25" spans="1:22" x14ac:dyDescent="0.3">
      <c r="A25">
        <v>0.1</v>
      </c>
      <c r="C25">
        <f t="shared" si="20"/>
        <v>10.71123010457968</v>
      </c>
      <c r="E25">
        <f>'Cap Curves'!D13</f>
        <v>10.1</v>
      </c>
      <c r="F25">
        <f t="shared" si="1"/>
        <v>11.41689299878615</v>
      </c>
      <c r="G25">
        <f t="shared" si="8"/>
        <v>120.43105348972077</v>
      </c>
      <c r="H25">
        <f>'Cap Curves'!E13</f>
        <v>11.05</v>
      </c>
      <c r="I25">
        <f t="shared" si="2"/>
        <v>11.533727939027212</v>
      </c>
      <c r="J25">
        <f t="shared" si="9"/>
        <v>16.249494374688446</v>
      </c>
      <c r="K25">
        <f>'Cap Curves'!F13</f>
        <v>11.59</v>
      </c>
      <c r="L25">
        <f t="shared" si="3"/>
        <v>12.068146279937437</v>
      </c>
      <c r="M25">
        <f t="shared" si="10"/>
        <v>15.876657292917379</v>
      </c>
      <c r="N25">
        <f>'Cap Curves'!G13</f>
        <v>11.85</v>
      </c>
      <c r="O25">
        <f t="shared" si="4"/>
        <v>12.31922199096425</v>
      </c>
      <c r="P25">
        <f t="shared" si="11"/>
        <v>15.289533111420486</v>
      </c>
      <c r="Q25">
        <f>'Cap Curves'!H13</f>
        <v>12.2</v>
      </c>
      <c r="R25">
        <f t="shared" si="5"/>
        <v>12.460431331790987</v>
      </c>
      <c r="S25">
        <f t="shared" si="12"/>
        <v>4.7100332346130376</v>
      </c>
      <c r="T25">
        <f>'Cap Curves'!I13</f>
        <v>12.43</v>
      </c>
      <c r="U25">
        <f t="shared" si="6"/>
        <v>12.625056630335575</v>
      </c>
      <c r="V25">
        <f t="shared" si="13"/>
        <v>2.6421589609631346</v>
      </c>
    </row>
    <row r="26" spans="1:22" x14ac:dyDescent="0.3">
      <c r="A26">
        <v>0.05</v>
      </c>
      <c r="C26">
        <f t="shared" si="20"/>
        <v>10.056259937733962</v>
      </c>
      <c r="E26">
        <f>'Cap Curves'!D14</f>
        <v>0</v>
      </c>
      <c r="F26">
        <f t="shared" ref="F26:F27" si="21">(C$8+C$7*(-LN($A26))^C$6 + C$9*$A26 + C$11*EXP(C$10*($A26-1)))*4</f>
        <v>10.761922831940431</v>
      </c>
      <c r="H26">
        <f>'Cap Curves'!E14</f>
        <v>10.1</v>
      </c>
      <c r="I26">
        <f t="shared" si="2"/>
        <v>10.878757772181494</v>
      </c>
      <c r="J26">
        <f t="shared" si="9"/>
        <v>42.115532481464193</v>
      </c>
      <c r="K26">
        <f>'Cap Curves'!F14</f>
        <v>10.95</v>
      </c>
      <c r="L26">
        <f t="shared" si="3"/>
        <v>11.73054179566167</v>
      </c>
      <c r="M26">
        <f t="shared" si="10"/>
        <v>42.308714914912912</v>
      </c>
      <c r="N26">
        <f>'Cap Curves'!G14</f>
        <v>11.3</v>
      </c>
      <c r="O26">
        <f t="shared" si="4"/>
        <v>12.006517216642484</v>
      </c>
      <c r="P26">
        <f t="shared" si="11"/>
        <v>34.664345653627905</v>
      </c>
      <c r="Q26">
        <f>'Cap Curves'!H14</f>
        <v>11.6</v>
      </c>
      <c r="R26">
        <f t="shared" si="5"/>
        <v>12.151437632178304</v>
      </c>
      <c r="S26">
        <f t="shared" si="12"/>
        <v>21.116907096001036</v>
      </c>
      <c r="T26">
        <f>'Cap Curves'!I14</f>
        <v>12.1</v>
      </c>
      <c r="U26">
        <f t="shared" si="6"/>
        <v>12.377172654874936</v>
      </c>
      <c r="V26">
        <f t="shared" si="13"/>
        <v>5.3350472646125517</v>
      </c>
    </row>
    <row r="27" spans="1:22" x14ac:dyDescent="0.3">
      <c r="A27">
        <v>1E-3</v>
      </c>
      <c r="C27">
        <f t="shared" si="20"/>
        <v>6.5187419397108455</v>
      </c>
      <c r="E27">
        <f>'Cap Curves'!D15</f>
        <v>0</v>
      </c>
      <c r="F27">
        <f t="shared" si="21"/>
        <v>7.2244048339173172</v>
      </c>
      <c r="I27">
        <f t="shared" si="2"/>
        <v>7.3412397741583799</v>
      </c>
      <c r="K27">
        <f>'Cap Curves'!F15</f>
        <v>10.1</v>
      </c>
      <c r="L27">
        <f t="shared" si="3"/>
        <v>9.9367442821549403</v>
      </c>
      <c r="M27">
        <f t="shared" si="10"/>
        <v>1.850863153410113</v>
      </c>
      <c r="N27">
        <f>'Cap Curves'!G15</f>
        <v>10.45</v>
      </c>
      <c r="O27">
        <f t="shared" si="4"/>
        <v>10.299613848224887</v>
      </c>
      <c r="P27">
        <f t="shared" si="11"/>
        <v>1.5705551837310558</v>
      </c>
      <c r="Q27">
        <f>'Cap Curves'!H15</f>
        <v>10.51</v>
      </c>
      <c r="R27">
        <f t="shared" si="5"/>
        <v>10.438523136048317</v>
      </c>
      <c r="S27">
        <f t="shared" si="12"/>
        <v>0.35478764446995131</v>
      </c>
      <c r="T27">
        <f>'Cap Curves'!I15</f>
        <v>11</v>
      </c>
      <c r="U27">
        <f t="shared" si="6"/>
        <v>10.981614391065904</v>
      </c>
      <c r="V27">
        <f t="shared" si="13"/>
        <v>2.3474348324828032E-2</v>
      </c>
    </row>
    <row r="28" spans="1:22" x14ac:dyDescent="0.3">
      <c r="D28">
        <f>SQRT(SUM(D14:D27))</f>
        <v>6.1856086199941389</v>
      </c>
      <c r="G28">
        <f>SQRT(SUM(G14:G27))</f>
        <v>16.786521989031396</v>
      </c>
      <c r="J28">
        <f>SQRT(SUM(J14:J27))</f>
        <v>14.157466357722431</v>
      </c>
      <c r="M28">
        <f>SQRT(SUM(M14:M27))</f>
        <v>10.875083607510049</v>
      </c>
      <c r="P28">
        <f>SQRT(SUM(P14:P27))</f>
        <v>9.5626456942353624</v>
      </c>
      <c r="S28">
        <f>SQRT(SUM(S14:S27))</f>
        <v>7.6755132058997004</v>
      </c>
      <c r="V28">
        <f>SQRT(SUM(V14:V27))</f>
        <v>5.2042768238387334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data1</vt:lpstr>
      <vt:lpstr>Cap Curves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2021-08-11T20:01:18Z</dcterms:modified>
</cp:coreProperties>
</file>