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8" windowWidth="14808" windowHeight="8016"/>
  </bookViews>
  <sheets>
    <sheet name="Coefficients Table" sheetId="7" r:id="rId1"/>
    <sheet name="Cheat Sheet Chart" sheetId="6" r:id="rId2"/>
    <sheet name="Derivative High Res" sheetId="8" r:id="rId3"/>
    <sheet name="Derivative Low Res" sheetId="9" r:id="rId4"/>
    <sheet name="Cheat Sheet" sheetId="5" r:id="rId5"/>
    <sheet name="Cap Curves" sheetId="3" r:id="rId6"/>
    <sheet name="Model Build" sheetId="4" r:id="rId7"/>
  </sheets>
  <definedNames>
    <definedName name="_xlnm._FilterDatabase" localSheetId="6" hidden="1">'Model Build'!$A$15:$L$28</definedName>
    <definedName name="solver_adj" localSheetId="6" hidden="1">'Model Build'!$C$9</definedName>
    <definedName name="solver_cvg" localSheetId="6" hidden="1">0.0001</definedName>
    <definedName name="solver_drv" localSheetId="6" hidden="1">2</definedName>
    <definedName name="solver_eng" localSheetId="6" hidden="1">1</definedName>
    <definedName name="solver_est" localSheetId="6" hidden="1">1</definedName>
    <definedName name="solver_itr" localSheetId="6" hidden="1">2147483647</definedName>
    <definedName name="solver_lhs1" localSheetId="6" hidden="1">'Model Build'!$B$10</definedName>
    <definedName name="solver_lhs2" localSheetId="6" hidden="1">'Model Build'!$B$10</definedName>
    <definedName name="solver_lhs3" localSheetId="6" hidden="1">'Model Build'!$B$10</definedName>
    <definedName name="solver_lhs4" localSheetId="6" hidden="1">'Model Build'!$B$10</definedName>
    <definedName name="solver_lhs5" localSheetId="6" hidden="1">'Model Build'!$B$12</definedName>
    <definedName name="solver_lhs6" localSheetId="6" hidden="1">'Model Build'!$B$12</definedName>
    <definedName name="solver_lhs7" localSheetId="6" hidden="1">'Model Build'!$B$12</definedName>
    <definedName name="solver_lhs8" localSheetId="6" hidden="1">'Model Build'!$B$12</definedName>
    <definedName name="solver_mip" localSheetId="6" hidden="1">2147483647</definedName>
    <definedName name="solver_mni" localSheetId="6" hidden="1">30</definedName>
    <definedName name="solver_mrt" localSheetId="6" hidden="1">0.075</definedName>
    <definedName name="solver_msl" localSheetId="6" hidden="1">2</definedName>
    <definedName name="solver_neg" localSheetId="6" hidden="1">2</definedName>
    <definedName name="solver_nod" localSheetId="6" hidden="1">2147483647</definedName>
    <definedName name="solver_num" localSheetId="6" hidden="1">0</definedName>
    <definedName name="solver_nwt" localSheetId="6" hidden="1">1</definedName>
    <definedName name="solver_opt" localSheetId="6" hidden="1">'Model Build'!$G$29</definedName>
    <definedName name="solver_pre" localSheetId="6" hidden="1">0.000001</definedName>
    <definedName name="solver_rbv" localSheetId="6" hidden="1">2</definedName>
    <definedName name="solver_rel1" localSheetId="6" hidden="1">3</definedName>
    <definedName name="solver_rel2" localSheetId="6" hidden="1">3</definedName>
    <definedName name="solver_rel3" localSheetId="6" hidden="1">3</definedName>
    <definedName name="solver_rel4" localSheetId="6" hidden="1">3</definedName>
    <definedName name="solver_rel5" localSheetId="6" hidden="1">3</definedName>
    <definedName name="solver_rel6" localSheetId="6" hidden="1">3</definedName>
    <definedName name="solver_rel7" localSheetId="6" hidden="1">3</definedName>
    <definedName name="solver_rel8" localSheetId="6" hidden="1">3</definedName>
    <definedName name="solver_rhs1" localSheetId="6" hidden="1">-1.5</definedName>
    <definedName name="solver_rhs2" localSheetId="6" hidden="1">-1.5</definedName>
    <definedName name="solver_rhs3" localSheetId="6" hidden="1">-1.5</definedName>
    <definedName name="solver_rhs4" localSheetId="6" hidden="1">-1.5</definedName>
    <definedName name="solver_rhs5" localSheetId="6" hidden="1">0.6851</definedName>
    <definedName name="solver_rhs6" localSheetId="6" hidden="1">0.6851</definedName>
    <definedName name="solver_rhs7" localSheetId="6" hidden="1">0.6851</definedName>
    <definedName name="solver_rhs8" localSheetId="6" hidden="1">0.6851</definedName>
    <definedName name="solver_rlx" localSheetId="6" hidden="1">2</definedName>
    <definedName name="solver_rsd" localSheetId="6" hidden="1">0</definedName>
    <definedName name="solver_scl" localSheetId="6" hidden="1">2</definedName>
    <definedName name="solver_sho" localSheetId="6" hidden="1">2</definedName>
    <definedName name="solver_ssz" localSheetId="6" hidden="1">100</definedName>
    <definedName name="solver_tim" localSheetId="6" hidden="1">2147483647</definedName>
    <definedName name="solver_tol" localSheetId="6" hidden="1">0.01</definedName>
    <definedName name="solver_typ" localSheetId="6" hidden="1">2</definedName>
    <definedName name="solver_val" localSheetId="6" hidden="1">0</definedName>
    <definedName name="solver_ver" localSheetId="6" hidden="1">3</definedName>
  </definedNames>
  <calcPr calcId="152511"/>
</workbook>
</file>

<file path=xl/calcChain.xml><?xml version="1.0" encoding="utf-8"?>
<calcChain xmlns="http://schemas.openxmlformats.org/spreadsheetml/2006/main">
  <c r="AB6" i="5" l="1"/>
  <c r="AA6" i="5"/>
  <c r="Z6" i="5"/>
  <c r="Y6" i="5"/>
  <c r="X6" i="5"/>
  <c r="W6" i="5"/>
  <c r="V6" i="5"/>
  <c r="U6" i="5"/>
  <c r="AB5" i="5"/>
  <c r="AA5" i="5"/>
  <c r="Z5" i="5"/>
  <c r="Y5" i="5"/>
  <c r="X5" i="5"/>
  <c r="W5" i="5"/>
  <c r="V5" i="5"/>
  <c r="U5" i="5"/>
  <c r="AB4" i="5"/>
  <c r="AA4" i="5"/>
  <c r="Z4" i="5"/>
  <c r="Y4" i="5"/>
  <c r="X4" i="5"/>
  <c r="W4" i="5"/>
  <c r="V4" i="5"/>
  <c r="U4" i="5"/>
  <c r="AB3" i="5"/>
  <c r="AA3" i="5"/>
  <c r="Z3" i="5"/>
  <c r="Y3" i="5"/>
  <c r="X3" i="5"/>
  <c r="W3" i="5"/>
  <c r="V3" i="5"/>
  <c r="U3" i="5"/>
  <c r="AB2" i="5"/>
  <c r="AA2" i="5"/>
  <c r="Z2" i="5"/>
  <c r="Y2" i="5"/>
  <c r="X2" i="5"/>
  <c r="W2" i="5"/>
  <c r="V2" i="5"/>
  <c r="U2" i="5"/>
  <c r="AB1" i="5"/>
  <c r="AA1" i="5"/>
  <c r="Z1" i="5"/>
  <c r="Y1" i="5"/>
  <c r="X1" i="5"/>
  <c r="X28" i="5" s="1"/>
  <c r="W1" i="5"/>
  <c r="W27" i="5" s="1"/>
  <c r="V1" i="5"/>
  <c r="U1" i="5"/>
  <c r="X29" i="5" l="1"/>
  <c r="Y30" i="5"/>
  <c r="AA32" i="5"/>
  <c r="AB33" i="5"/>
  <c r="Y21" i="5"/>
  <c r="X15" i="5"/>
  <c r="V28" i="5"/>
  <c r="Y15" i="5"/>
  <c r="Y22" i="5"/>
  <c r="W29" i="5"/>
  <c r="AB11" i="5"/>
  <c r="Y16" i="5"/>
  <c r="AA24" i="5"/>
  <c r="Y29" i="5"/>
  <c r="X30" i="5"/>
  <c r="V12" i="5"/>
  <c r="AA18" i="5"/>
  <c r="AB24" i="5"/>
  <c r="Y31" i="5"/>
  <c r="V13" i="5"/>
  <c r="AB18" i="5"/>
  <c r="AB25" i="5"/>
  <c r="Z32" i="5"/>
  <c r="W13" i="5"/>
  <c r="AB19" i="5"/>
  <c r="V26" i="5"/>
  <c r="AB32" i="5"/>
  <c r="AA33" i="5"/>
  <c r="W14" i="5"/>
  <c r="V20" i="5"/>
  <c r="V27" i="5"/>
  <c r="X14" i="5"/>
  <c r="X21" i="5"/>
  <c r="W28" i="5"/>
  <c r="Z17" i="5"/>
  <c r="Z23" i="5"/>
  <c r="AA23" i="5"/>
  <c r="V11" i="5"/>
  <c r="W12" i="5"/>
  <c r="X13" i="5"/>
  <c r="Y14" i="5"/>
  <c r="Z15" i="5"/>
  <c r="AA16" i="5"/>
  <c r="AB17" i="5"/>
  <c r="V19" i="5"/>
  <c r="W20" i="5"/>
  <c r="Z21" i="5"/>
  <c r="AA22" i="5"/>
  <c r="AB23" i="5"/>
  <c r="V25" i="5"/>
  <c r="W26" i="5"/>
  <c r="X27" i="5"/>
  <c r="Y28" i="5"/>
  <c r="Z29" i="5"/>
  <c r="AA30" i="5"/>
  <c r="AB31" i="5"/>
  <c r="V33" i="5"/>
  <c r="Z30" i="5"/>
  <c r="W11" i="5"/>
  <c r="X12" i="5"/>
  <c r="Y13" i="5"/>
  <c r="Z14" i="5"/>
  <c r="AA15" i="5"/>
  <c r="AB16" i="5"/>
  <c r="V18" i="5"/>
  <c r="W19" i="5"/>
  <c r="X20" i="5"/>
  <c r="AA21" i="5"/>
  <c r="AB22" i="5"/>
  <c r="V24" i="5"/>
  <c r="W25" i="5"/>
  <c r="X26" i="5"/>
  <c r="Y27" i="5"/>
  <c r="Z28" i="5"/>
  <c r="AA29" i="5"/>
  <c r="AB30" i="5"/>
  <c r="V32" i="5"/>
  <c r="W33" i="5"/>
  <c r="X11" i="5"/>
  <c r="Y12" i="5"/>
  <c r="Z13" i="5"/>
  <c r="AA14" i="5"/>
  <c r="AB15" i="5"/>
  <c r="V17" i="5"/>
  <c r="W18" i="5"/>
  <c r="X19" i="5"/>
  <c r="Y20" i="5"/>
  <c r="AB21" i="5"/>
  <c r="V23" i="5"/>
  <c r="W24" i="5"/>
  <c r="X25" i="5"/>
  <c r="Y26" i="5"/>
  <c r="Z27" i="5"/>
  <c r="AA28" i="5"/>
  <c r="AB29" i="5"/>
  <c r="V31" i="5"/>
  <c r="W32" i="5"/>
  <c r="X33" i="5"/>
  <c r="Z16" i="5"/>
  <c r="AA17" i="5"/>
  <c r="Y11" i="5"/>
  <c r="Z12" i="5"/>
  <c r="AA13" i="5"/>
  <c r="AB14" i="5"/>
  <c r="V16" i="5"/>
  <c r="W17" i="5"/>
  <c r="X18" i="5"/>
  <c r="Y19" i="5"/>
  <c r="Z20" i="5"/>
  <c r="V22" i="5"/>
  <c r="W23" i="5"/>
  <c r="X24" i="5"/>
  <c r="Y25" i="5"/>
  <c r="Z26" i="5"/>
  <c r="AA27" i="5"/>
  <c r="AB28" i="5"/>
  <c r="V30" i="5"/>
  <c r="W31" i="5"/>
  <c r="X32" i="5"/>
  <c r="Y33" i="5"/>
  <c r="Z31" i="5"/>
  <c r="Y10" i="5"/>
  <c r="Z11" i="5"/>
  <c r="AA12" i="5"/>
  <c r="AB13" i="5"/>
  <c r="V15" i="5"/>
  <c r="W16" i="5"/>
  <c r="X17" i="5"/>
  <c r="Y18" i="5"/>
  <c r="Z19" i="5"/>
  <c r="AA20" i="5"/>
  <c r="V21" i="5"/>
  <c r="W22" i="5"/>
  <c r="X23" i="5"/>
  <c r="Y24" i="5"/>
  <c r="Z25" i="5"/>
  <c r="AA26" i="5"/>
  <c r="AB27" i="5"/>
  <c r="V29" i="5"/>
  <c r="W30" i="5"/>
  <c r="X31" i="5"/>
  <c r="Y32" i="5"/>
  <c r="Z33" i="5"/>
  <c r="Z22" i="5"/>
  <c r="AA31" i="5"/>
  <c r="AA11" i="5"/>
  <c r="AB12" i="5"/>
  <c r="V14" i="5"/>
  <c r="W15" i="5"/>
  <c r="X16" i="5"/>
  <c r="Y17" i="5"/>
  <c r="Z18" i="5"/>
  <c r="AA19" i="5"/>
  <c r="AB20" i="5"/>
  <c r="W21" i="5"/>
  <c r="X22" i="5"/>
  <c r="Y23" i="5"/>
  <c r="Z24" i="5"/>
  <c r="AA25" i="5"/>
  <c r="AB26" i="5"/>
  <c r="U21" i="5"/>
  <c r="U13" i="5"/>
  <c r="U27" i="5"/>
  <c r="U14" i="5"/>
  <c r="U28" i="5"/>
  <c r="U16" i="5"/>
  <c r="U22" i="5"/>
  <c r="U30" i="5"/>
  <c r="U17" i="5"/>
  <c r="U23" i="5"/>
  <c r="U31" i="5"/>
  <c r="U29" i="5"/>
  <c r="U18" i="5"/>
  <c r="U24" i="5"/>
  <c r="U32" i="5"/>
  <c r="U11" i="5"/>
  <c r="U19" i="5"/>
  <c r="U25" i="5"/>
  <c r="U33" i="5"/>
  <c r="U15" i="5"/>
  <c r="U12" i="5"/>
  <c r="U20" i="5"/>
  <c r="U26" i="5"/>
  <c r="A34" i="5"/>
  <c r="V34" i="5" s="1"/>
  <c r="A10" i="5"/>
  <c r="U10" i="5" s="1"/>
  <c r="B14" i="5"/>
  <c r="B13" i="5"/>
  <c r="B12" i="5"/>
  <c r="S6" i="5"/>
  <c r="R6" i="5"/>
  <c r="Q6" i="5"/>
  <c r="P6" i="5"/>
  <c r="O6" i="5"/>
  <c r="N6" i="5"/>
  <c r="M6" i="5"/>
  <c r="L6" i="5"/>
  <c r="S5" i="5"/>
  <c r="R5" i="5"/>
  <c r="Q5" i="5"/>
  <c r="P5" i="5"/>
  <c r="O5" i="5"/>
  <c r="N5" i="5"/>
  <c r="M5" i="5"/>
  <c r="L5" i="5"/>
  <c r="S4" i="5"/>
  <c r="R4" i="5"/>
  <c r="Q4" i="5"/>
  <c r="P4" i="5"/>
  <c r="O4" i="5"/>
  <c r="N4" i="5"/>
  <c r="M4" i="5"/>
  <c r="L4" i="5"/>
  <c r="S3" i="5"/>
  <c r="R3" i="5"/>
  <c r="Q3" i="5"/>
  <c r="P3" i="5"/>
  <c r="O3" i="5"/>
  <c r="N3" i="5"/>
  <c r="M3" i="5"/>
  <c r="L3" i="5"/>
  <c r="S2" i="5"/>
  <c r="R2" i="5"/>
  <c r="Q2" i="5"/>
  <c r="P2" i="5"/>
  <c r="O2" i="5"/>
  <c r="N2" i="5"/>
  <c r="M2" i="5"/>
  <c r="L2" i="5"/>
  <c r="S1" i="5"/>
  <c r="R1" i="5"/>
  <c r="Q1" i="5"/>
  <c r="P1" i="5"/>
  <c r="O1" i="5"/>
  <c r="N1" i="5"/>
  <c r="M1" i="5"/>
  <c r="L1" i="5"/>
  <c r="AA34" i="5" l="1"/>
  <c r="Z34" i="5"/>
  <c r="Y34" i="5"/>
  <c r="AB34" i="5"/>
  <c r="AB10" i="5"/>
  <c r="X34" i="5"/>
  <c r="V10" i="5"/>
  <c r="Z10" i="5"/>
  <c r="X10" i="5"/>
  <c r="W10" i="5"/>
  <c r="W34" i="5"/>
  <c r="AA10" i="5"/>
  <c r="U34" i="5"/>
  <c r="M10" i="5"/>
  <c r="N10" i="5"/>
  <c r="O14" i="5"/>
  <c r="R14" i="5"/>
  <c r="P14" i="5"/>
  <c r="Q14" i="5"/>
  <c r="L14" i="5"/>
  <c r="M14" i="5"/>
  <c r="S14" i="5"/>
  <c r="N14" i="5"/>
  <c r="L34" i="5"/>
  <c r="L22" i="5"/>
  <c r="N34" i="5"/>
  <c r="N27" i="5"/>
  <c r="O34" i="5"/>
  <c r="L15" i="5"/>
  <c r="L19" i="5"/>
  <c r="L23" i="5"/>
  <c r="N28" i="5"/>
  <c r="P34" i="5"/>
  <c r="N15" i="5"/>
  <c r="N19" i="5"/>
  <c r="N23" i="5"/>
  <c r="N29" i="5"/>
  <c r="N13" i="5"/>
  <c r="N18" i="5"/>
  <c r="N22" i="5"/>
  <c r="Q34" i="5"/>
  <c r="L11" i="5"/>
  <c r="L16" i="5"/>
  <c r="L20" i="5"/>
  <c r="L24" i="5"/>
  <c r="N30" i="5"/>
  <c r="R34" i="5"/>
  <c r="N11" i="5"/>
  <c r="N16" i="5"/>
  <c r="N20" i="5"/>
  <c r="N24" i="5"/>
  <c r="N31" i="5"/>
  <c r="S34" i="5"/>
  <c r="L12" i="5"/>
  <c r="L17" i="5"/>
  <c r="L21" i="5"/>
  <c r="L25" i="5"/>
  <c r="N32" i="5"/>
  <c r="N12" i="5"/>
  <c r="N17" i="5"/>
  <c r="N21" i="5"/>
  <c r="N25" i="5"/>
  <c r="N33" i="5"/>
  <c r="M34" i="5"/>
  <c r="L13" i="5"/>
  <c r="L18" i="5"/>
  <c r="N26" i="5"/>
  <c r="L26" i="5"/>
  <c r="L27" i="5"/>
  <c r="L28" i="5"/>
  <c r="L29" i="5"/>
  <c r="L30" i="5"/>
  <c r="L31" i="5"/>
  <c r="L32" i="5"/>
  <c r="L33" i="5"/>
  <c r="M11" i="5"/>
  <c r="M12" i="5"/>
  <c r="M13" i="5"/>
  <c r="M15" i="5"/>
  <c r="M16" i="5"/>
  <c r="M17" i="5"/>
  <c r="M18" i="5"/>
  <c r="M19" i="5"/>
  <c r="M20" i="5"/>
  <c r="M21" i="5"/>
  <c r="M22" i="5"/>
  <c r="M23" i="5"/>
  <c r="M24" i="5"/>
  <c r="M25" i="5"/>
  <c r="M26" i="5"/>
  <c r="M27" i="5"/>
  <c r="M28" i="5"/>
  <c r="M29" i="5"/>
  <c r="M30" i="5"/>
  <c r="M31" i="5"/>
  <c r="M32" i="5"/>
  <c r="M33" i="5"/>
  <c r="O10" i="5"/>
  <c r="O11" i="5"/>
  <c r="O12" i="5"/>
  <c r="O13" i="5"/>
  <c r="O15" i="5"/>
  <c r="O16" i="5"/>
  <c r="O17" i="5"/>
  <c r="O18" i="5"/>
  <c r="O19" i="5"/>
  <c r="O20" i="5"/>
  <c r="O21" i="5"/>
  <c r="O22" i="5"/>
  <c r="O23" i="5"/>
  <c r="O24" i="5"/>
  <c r="O25" i="5"/>
  <c r="O26" i="5"/>
  <c r="O27" i="5"/>
  <c r="O28" i="5"/>
  <c r="O29" i="5"/>
  <c r="O30" i="5"/>
  <c r="O31" i="5"/>
  <c r="O32" i="5"/>
  <c r="O33" i="5"/>
  <c r="P10" i="5"/>
  <c r="P11" i="5"/>
  <c r="P12" i="5"/>
  <c r="P13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Q10" i="5"/>
  <c r="Q11" i="5"/>
  <c r="Q12" i="5"/>
  <c r="Q13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R10" i="5"/>
  <c r="R11" i="5"/>
  <c r="R12" i="5"/>
  <c r="R13" i="5"/>
  <c r="R15" i="5"/>
  <c r="R16" i="5"/>
  <c r="R17" i="5"/>
  <c r="R18" i="5"/>
  <c r="R19" i="5"/>
  <c r="R20" i="5"/>
  <c r="R21" i="5"/>
  <c r="R22" i="5"/>
  <c r="R23" i="5"/>
  <c r="R24" i="5"/>
  <c r="R25" i="5"/>
  <c r="R26" i="5"/>
  <c r="R27" i="5"/>
  <c r="R28" i="5"/>
  <c r="R29" i="5"/>
  <c r="R30" i="5"/>
  <c r="R31" i="5"/>
  <c r="R32" i="5"/>
  <c r="R33" i="5"/>
  <c r="S10" i="5"/>
  <c r="S11" i="5"/>
  <c r="S12" i="5"/>
  <c r="S13" i="5"/>
  <c r="S15" i="5"/>
  <c r="S16" i="5"/>
  <c r="S17" i="5"/>
  <c r="S18" i="5"/>
  <c r="S19" i="5"/>
  <c r="S20" i="5"/>
  <c r="S21" i="5"/>
  <c r="S22" i="5"/>
  <c r="S23" i="5"/>
  <c r="S24" i="5"/>
  <c r="S25" i="5"/>
  <c r="S26" i="5"/>
  <c r="S27" i="5"/>
  <c r="S28" i="5"/>
  <c r="S29" i="5"/>
  <c r="S30" i="5"/>
  <c r="S31" i="5"/>
  <c r="S32" i="5"/>
  <c r="S33" i="5"/>
  <c r="L10" i="5"/>
  <c r="B11" i="5" l="1"/>
  <c r="B15" i="5"/>
  <c r="B16" i="5"/>
  <c r="B17" i="5"/>
  <c r="B18" i="5"/>
  <c r="B19" i="5"/>
  <c r="B20" i="5"/>
  <c r="B21" i="5"/>
  <c r="B22" i="5"/>
  <c r="B23" i="5"/>
  <c r="B24" i="5"/>
  <c r="B25" i="5"/>
  <c r="B26" i="5"/>
  <c r="B27" i="5"/>
  <c r="B28" i="5"/>
  <c r="B29" i="5"/>
  <c r="B30" i="5"/>
  <c r="B31" i="5"/>
  <c r="B32" i="5"/>
  <c r="B33" i="5"/>
  <c r="B34" i="5"/>
  <c r="B10" i="5"/>
  <c r="J6" i="5"/>
  <c r="J5" i="5"/>
  <c r="J4" i="5"/>
  <c r="J3" i="5"/>
  <c r="J2" i="5"/>
  <c r="J1" i="5"/>
  <c r="I6" i="5"/>
  <c r="H6" i="5"/>
  <c r="G6" i="5"/>
  <c r="F6" i="5"/>
  <c r="E6" i="5"/>
  <c r="D6" i="5"/>
  <c r="I5" i="5"/>
  <c r="H5" i="5"/>
  <c r="G5" i="5"/>
  <c r="F5" i="5"/>
  <c r="E5" i="5"/>
  <c r="D5" i="5"/>
  <c r="I4" i="5"/>
  <c r="H4" i="5"/>
  <c r="G4" i="5"/>
  <c r="F4" i="5"/>
  <c r="E4" i="5"/>
  <c r="D4" i="5"/>
  <c r="C6" i="5"/>
  <c r="C5" i="5"/>
  <c r="C4" i="5"/>
  <c r="I3" i="5"/>
  <c r="H3" i="5"/>
  <c r="G3" i="5"/>
  <c r="F3" i="5"/>
  <c r="E3" i="5"/>
  <c r="D3" i="5"/>
  <c r="C3" i="5"/>
  <c r="I2" i="5"/>
  <c r="H2" i="5"/>
  <c r="G2" i="5"/>
  <c r="F2" i="5"/>
  <c r="E2" i="5"/>
  <c r="D2" i="5"/>
  <c r="C2" i="5"/>
  <c r="I1" i="5"/>
  <c r="H1" i="5"/>
  <c r="G1" i="5"/>
  <c r="F1" i="5"/>
  <c r="E1" i="5"/>
  <c r="D1" i="5"/>
  <c r="C1" i="5"/>
  <c r="G14" i="5" l="1"/>
  <c r="C14" i="5"/>
  <c r="E14" i="5"/>
  <c r="H14" i="5"/>
  <c r="I14" i="5"/>
  <c r="J14" i="5"/>
  <c r="D14" i="5"/>
  <c r="F14" i="5"/>
  <c r="E13" i="5"/>
  <c r="F13" i="5"/>
  <c r="G13" i="5"/>
  <c r="C13" i="5"/>
  <c r="D13" i="5"/>
  <c r="H13" i="5"/>
  <c r="I13" i="5"/>
  <c r="J13" i="5"/>
  <c r="D12" i="5"/>
  <c r="F12" i="5"/>
  <c r="G12" i="5"/>
  <c r="H12" i="5"/>
  <c r="I12" i="5"/>
  <c r="J12" i="5"/>
  <c r="E12" i="5"/>
  <c r="C12" i="5"/>
  <c r="E11" i="5"/>
  <c r="F34" i="5"/>
  <c r="H34" i="5"/>
  <c r="I34" i="5"/>
  <c r="J34" i="5"/>
  <c r="C34" i="5"/>
  <c r="D34" i="5"/>
  <c r="G11" i="5"/>
  <c r="E34" i="5"/>
  <c r="G34" i="5"/>
  <c r="C11" i="5"/>
  <c r="F11" i="5"/>
  <c r="H11" i="5"/>
  <c r="I11" i="5"/>
  <c r="D11" i="5"/>
  <c r="J30" i="5"/>
  <c r="J11" i="5"/>
  <c r="G30" i="5"/>
  <c r="H30" i="5"/>
  <c r="I30" i="5"/>
  <c r="C30" i="5"/>
  <c r="D30" i="5"/>
  <c r="E30" i="5"/>
  <c r="F28" i="5"/>
  <c r="H28" i="5"/>
  <c r="J28" i="5"/>
  <c r="F30" i="5"/>
  <c r="G28" i="5"/>
  <c r="I28" i="5"/>
  <c r="C28" i="5"/>
  <c r="D28" i="5"/>
  <c r="E28" i="5"/>
  <c r="J26" i="5"/>
  <c r="H26" i="5"/>
  <c r="G26" i="5"/>
  <c r="I26" i="5"/>
  <c r="C26" i="5"/>
  <c r="D26" i="5"/>
  <c r="E26" i="5"/>
  <c r="F24" i="5"/>
  <c r="J24" i="5"/>
  <c r="F26" i="5"/>
  <c r="G24" i="5"/>
  <c r="H24" i="5"/>
  <c r="I24" i="5"/>
  <c r="C24" i="5"/>
  <c r="D24" i="5"/>
  <c r="E24" i="5"/>
  <c r="H22" i="5"/>
  <c r="J22" i="5"/>
  <c r="F22" i="5"/>
  <c r="G22" i="5"/>
  <c r="C22" i="5"/>
  <c r="I22" i="5"/>
  <c r="D22" i="5"/>
  <c r="E20" i="5"/>
  <c r="H20" i="5"/>
  <c r="I20" i="5"/>
  <c r="J20" i="5"/>
  <c r="E22" i="5"/>
  <c r="G20" i="5"/>
  <c r="C20" i="5"/>
  <c r="D20" i="5"/>
  <c r="F18" i="5"/>
  <c r="I18" i="5"/>
  <c r="J18" i="5"/>
  <c r="F20" i="5"/>
  <c r="D18" i="5"/>
  <c r="G18" i="5"/>
  <c r="H18" i="5"/>
  <c r="E18" i="5"/>
  <c r="H16" i="5"/>
  <c r="J16" i="5"/>
  <c r="C16" i="5"/>
  <c r="C18" i="5"/>
  <c r="F16" i="5"/>
  <c r="G16" i="5"/>
  <c r="I16" i="5"/>
  <c r="D16" i="5"/>
  <c r="E16" i="5"/>
  <c r="E33" i="5"/>
  <c r="G32" i="5"/>
  <c r="E19" i="5"/>
  <c r="F29" i="5"/>
  <c r="H33" i="5"/>
  <c r="I33" i="5"/>
  <c r="J33" i="5"/>
  <c r="C32" i="5"/>
  <c r="D33" i="5"/>
  <c r="C33" i="5"/>
  <c r="C15" i="5"/>
  <c r="C17" i="5"/>
  <c r="C19" i="5"/>
  <c r="C21" i="5"/>
  <c r="C23" i="5"/>
  <c r="C25" i="5"/>
  <c r="C27" i="5"/>
  <c r="C29" i="5"/>
  <c r="C31" i="5"/>
  <c r="D10" i="5"/>
  <c r="D15" i="5"/>
  <c r="D17" i="5"/>
  <c r="D19" i="5"/>
  <c r="D21" i="5"/>
  <c r="D23" i="5"/>
  <c r="D25" i="5"/>
  <c r="D27" i="5"/>
  <c r="D29" i="5"/>
  <c r="D31" i="5"/>
  <c r="D32" i="5"/>
  <c r="F33" i="5"/>
  <c r="G33" i="5"/>
  <c r="E17" i="5"/>
  <c r="E25" i="5"/>
  <c r="E31" i="5"/>
  <c r="G10" i="5"/>
  <c r="G15" i="5"/>
  <c r="G17" i="5"/>
  <c r="G19" i="5"/>
  <c r="G21" i="5"/>
  <c r="G23" i="5"/>
  <c r="G25" i="5"/>
  <c r="G27" i="5"/>
  <c r="G29" i="5"/>
  <c r="G31" i="5"/>
  <c r="H10" i="5"/>
  <c r="H15" i="5"/>
  <c r="H17" i="5"/>
  <c r="H19" i="5"/>
  <c r="H21" i="5"/>
  <c r="H23" i="5"/>
  <c r="H25" i="5"/>
  <c r="H27" i="5"/>
  <c r="H29" i="5"/>
  <c r="H31" i="5"/>
  <c r="H32" i="5"/>
  <c r="E10" i="5"/>
  <c r="E15" i="5"/>
  <c r="E21" i="5"/>
  <c r="E23" i="5"/>
  <c r="E27" i="5"/>
  <c r="E29" i="5"/>
  <c r="E32" i="5"/>
  <c r="F10" i="5"/>
  <c r="F15" i="5"/>
  <c r="F19" i="5"/>
  <c r="F21" i="5"/>
  <c r="F23" i="5"/>
  <c r="F25" i="5"/>
  <c r="F27" i="5"/>
  <c r="F31" i="5"/>
  <c r="F32" i="5"/>
  <c r="I10" i="5"/>
  <c r="I15" i="5"/>
  <c r="I17" i="5"/>
  <c r="I19" i="5"/>
  <c r="I21" i="5"/>
  <c r="I23" i="5"/>
  <c r="I25" i="5"/>
  <c r="I27" i="5"/>
  <c r="I29" i="5"/>
  <c r="I31" i="5"/>
  <c r="I32" i="5"/>
  <c r="F17" i="5"/>
  <c r="J10" i="5"/>
  <c r="J15" i="5"/>
  <c r="J17" i="5"/>
  <c r="J19" i="5"/>
  <c r="J21" i="5"/>
  <c r="J23" i="5"/>
  <c r="J25" i="5"/>
  <c r="J27" i="5"/>
  <c r="J29" i="5"/>
  <c r="J31" i="5"/>
  <c r="J32" i="5"/>
  <c r="C10" i="5"/>
  <c r="S2" i="4" l="1"/>
  <c r="R2" i="4" l="1"/>
  <c r="R3" i="4"/>
  <c r="R7" i="4"/>
  <c r="R6" i="4"/>
  <c r="R5" i="4"/>
  <c r="R4" i="4"/>
  <c r="I28" i="4" l="1"/>
  <c r="F28" i="4"/>
  <c r="F27" i="4"/>
  <c r="C28" i="4"/>
  <c r="C27" i="4"/>
  <c r="C26" i="4"/>
  <c r="C25" i="4"/>
  <c r="C24" i="4"/>
  <c r="Q28" i="4"/>
  <c r="Q27" i="4"/>
  <c r="Q26" i="4"/>
  <c r="Q25" i="4"/>
  <c r="Q24" i="4"/>
  <c r="Q23" i="4"/>
  <c r="Q22" i="4"/>
  <c r="Q21" i="4"/>
  <c r="Q20" i="4"/>
  <c r="Q19" i="4"/>
  <c r="Q18" i="4"/>
  <c r="Q17" i="4"/>
  <c r="Q16" i="4"/>
  <c r="Q15" i="4"/>
  <c r="Q14" i="4"/>
  <c r="R28" i="4"/>
  <c r="R27" i="4"/>
  <c r="R26" i="4"/>
  <c r="R25" i="4"/>
  <c r="R24" i="4"/>
  <c r="R23" i="4"/>
  <c r="R22" i="4"/>
  <c r="R21" i="4"/>
  <c r="R20" i="4"/>
  <c r="S20" i="4" s="1"/>
  <c r="R19" i="4"/>
  <c r="S19" i="4" s="1"/>
  <c r="R18" i="4"/>
  <c r="R17" i="4"/>
  <c r="R16" i="4"/>
  <c r="R15" i="4"/>
  <c r="N28" i="4"/>
  <c r="N27" i="4"/>
  <c r="N26" i="4"/>
  <c r="N25" i="4"/>
  <c r="N24" i="4"/>
  <c r="N23" i="4"/>
  <c r="N22" i="4"/>
  <c r="N21" i="4"/>
  <c r="N20" i="4"/>
  <c r="N19" i="4"/>
  <c r="N18" i="4"/>
  <c r="N17" i="4"/>
  <c r="N16" i="4"/>
  <c r="N15" i="4"/>
  <c r="N14" i="4"/>
  <c r="O28" i="4"/>
  <c r="O27" i="4"/>
  <c r="O26" i="4"/>
  <c r="O25" i="4"/>
  <c r="O24" i="4"/>
  <c r="P24" i="4" s="1"/>
  <c r="O23" i="4"/>
  <c r="O22" i="4"/>
  <c r="O21" i="4"/>
  <c r="O20" i="4"/>
  <c r="O19" i="4"/>
  <c r="O18" i="4"/>
  <c r="O17" i="4"/>
  <c r="O16" i="4"/>
  <c r="P16" i="4" s="1"/>
  <c r="O15" i="4"/>
  <c r="U28" i="4"/>
  <c r="T28" i="4"/>
  <c r="U27" i="4"/>
  <c r="T27" i="4"/>
  <c r="U26" i="4"/>
  <c r="T26" i="4"/>
  <c r="U25" i="4"/>
  <c r="T25" i="4"/>
  <c r="U24" i="4"/>
  <c r="T24" i="4"/>
  <c r="U23" i="4"/>
  <c r="T23" i="4"/>
  <c r="U22" i="4"/>
  <c r="T22" i="4"/>
  <c r="U21" i="4"/>
  <c r="T21" i="4"/>
  <c r="U20" i="4"/>
  <c r="T20" i="4"/>
  <c r="U19" i="4"/>
  <c r="T19" i="4"/>
  <c r="U18" i="4"/>
  <c r="T18" i="4"/>
  <c r="U17" i="4"/>
  <c r="T17" i="4"/>
  <c r="U16" i="4"/>
  <c r="T16" i="4"/>
  <c r="U15" i="4"/>
  <c r="T15" i="4"/>
  <c r="T14" i="4"/>
  <c r="P17" i="4" l="1"/>
  <c r="P19" i="4"/>
  <c r="S22" i="4"/>
  <c r="S16" i="4"/>
  <c r="S24" i="4"/>
  <c r="V20" i="4"/>
  <c r="V24" i="4"/>
  <c r="P22" i="4"/>
  <c r="S25" i="4"/>
  <c r="P15" i="4"/>
  <c r="S26" i="4"/>
  <c r="S21" i="4"/>
  <c r="V19" i="4"/>
  <c r="P20" i="4"/>
  <c r="P28" i="4"/>
  <c r="S15" i="4"/>
  <c r="S23" i="4"/>
  <c r="V22" i="4"/>
  <c r="V23" i="4"/>
  <c r="P21" i="4"/>
  <c r="V28" i="4"/>
  <c r="P23" i="4"/>
  <c r="V17" i="4"/>
  <c r="V21" i="4"/>
  <c r="V16" i="4"/>
  <c r="S28" i="4"/>
  <c r="S17" i="4"/>
  <c r="S18" i="4"/>
  <c r="S27" i="4"/>
  <c r="P26" i="4"/>
  <c r="P18" i="4"/>
  <c r="P25" i="4"/>
  <c r="P27" i="4"/>
  <c r="V15" i="4"/>
  <c r="V26" i="4"/>
  <c r="V18" i="4"/>
  <c r="V25" i="4"/>
  <c r="V27" i="4"/>
  <c r="H27" i="4"/>
  <c r="H26" i="4"/>
  <c r="H25" i="4"/>
  <c r="H24" i="4"/>
  <c r="H23" i="4"/>
  <c r="H22" i="4"/>
  <c r="H21" i="4"/>
  <c r="H20" i="4"/>
  <c r="H19" i="4"/>
  <c r="H18" i="4"/>
  <c r="H17" i="4"/>
  <c r="H16" i="4"/>
  <c r="H15" i="4"/>
  <c r="H14" i="4"/>
  <c r="I27" i="4"/>
  <c r="I26" i="4"/>
  <c r="I25" i="4"/>
  <c r="I24" i="4"/>
  <c r="I23" i="4"/>
  <c r="I22" i="4"/>
  <c r="I21" i="4"/>
  <c r="I20" i="4"/>
  <c r="I19" i="4"/>
  <c r="I18" i="4"/>
  <c r="I17" i="4"/>
  <c r="I16" i="4"/>
  <c r="I15" i="4"/>
  <c r="B14" i="4"/>
  <c r="E28" i="4"/>
  <c r="E27" i="4"/>
  <c r="E26" i="4"/>
  <c r="E25" i="4"/>
  <c r="E24" i="4"/>
  <c r="E23" i="4"/>
  <c r="E22" i="4"/>
  <c r="E21" i="4"/>
  <c r="E20" i="4"/>
  <c r="E19" i="4"/>
  <c r="E18" i="4"/>
  <c r="E17" i="4"/>
  <c r="E16" i="4"/>
  <c r="E15" i="4"/>
  <c r="E14" i="4"/>
  <c r="F26" i="4"/>
  <c r="F25" i="4"/>
  <c r="F24" i="4"/>
  <c r="F23" i="4"/>
  <c r="F22" i="4"/>
  <c r="G22" i="4" s="1"/>
  <c r="F21" i="4"/>
  <c r="F20" i="4"/>
  <c r="G20" i="4" s="1"/>
  <c r="F19" i="4"/>
  <c r="F18" i="4"/>
  <c r="F17" i="4"/>
  <c r="F16" i="4"/>
  <c r="F15" i="4"/>
  <c r="L28" i="4"/>
  <c r="L27" i="4"/>
  <c r="L26" i="4"/>
  <c r="L25" i="4"/>
  <c r="L24" i="4"/>
  <c r="L23" i="4"/>
  <c r="L22" i="4"/>
  <c r="L21" i="4"/>
  <c r="L20" i="4"/>
  <c r="L19" i="4"/>
  <c r="L18" i="4"/>
  <c r="L17" i="4"/>
  <c r="L16" i="4"/>
  <c r="L15" i="4"/>
  <c r="J26" i="4" l="1"/>
  <c r="J20" i="4"/>
  <c r="J22" i="4"/>
  <c r="J19" i="4"/>
  <c r="G19" i="4"/>
  <c r="J23" i="4"/>
  <c r="G21" i="4"/>
  <c r="G23" i="4"/>
  <c r="J18" i="4"/>
  <c r="G17" i="4"/>
  <c r="G25" i="4"/>
  <c r="J21" i="4"/>
  <c r="V29" i="4"/>
  <c r="S29" i="4"/>
  <c r="P29" i="4"/>
  <c r="J27" i="4"/>
  <c r="J17" i="4"/>
  <c r="J24" i="4"/>
  <c r="J25" i="4"/>
  <c r="J16" i="4"/>
  <c r="J15" i="4"/>
  <c r="G18" i="4"/>
  <c r="G26" i="4"/>
  <c r="G24" i="4"/>
  <c r="G16" i="4"/>
  <c r="G15" i="4"/>
  <c r="B23" i="4"/>
  <c r="B22" i="4"/>
  <c r="B21" i="4"/>
  <c r="B20" i="4"/>
  <c r="B19" i="4"/>
  <c r="B18" i="4"/>
  <c r="B17" i="4"/>
  <c r="B16" i="4"/>
  <c r="B15" i="4"/>
  <c r="C23" i="4"/>
  <c r="C22" i="4"/>
  <c r="C21" i="4"/>
  <c r="C20" i="4"/>
  <c r="C19" i="4"/>
  <c r="C18" i="4"/>
  <c r="C17" i="4"/>
  <c r="C16" i="4"/>
  <c r="C15" i="4"/>
  <c r="K28" i="4"/>
  <c r="M28" i="4" s="1"/>
  <c r="K27" i="4"/>
  <c r="M27" i="4" s="1"/>
  <c r="K26" i="4"/>
  <c r="M26" i="4" s="1"/>
  <c r="K25" i="4"/>
  <c r="M25" i="4" s="1"/>
  <c r="K24" i="4"/>
  <c r="M24" i="4" s="1"/>
  <c r="K23" i="4"/>
  <c r="M23" i="4" s="1"/>
  <c r="K22" i="4"/>
  <c r="M22" i="4" s="1"/>
  <c r="K21" i="4"/>
  <c r="M21" i="4" s="1"/>
  <c r="K20" i="4"/>
  <c r="M20" i="4" s="1"/>
  <c r="K19" i="4"/>
  <c r="M19" i="4" s="1"/>
  <c r="K18" i="4"/>
  <c r="K17" i="4"/>
  <c r="K16" i="4"/>
  <c r="K15" i="4"/>
  <c r="K14" i="4"/>
  <c r="J29" i="4" l="1"/>
  <c r="G29" i="4"/>
  <c r="D22" i="4"/>
  <c r="D20" i="4"/>
  <c r="D15" i="4"/>
  <c r="D17" i="4"/>
  <c r="D19" i="4"/>
  <c r="D21" i="4"/>
  <c r="D23" i="4"/>
  <c r="D16" i="4"/>
  <c r="D18" i="4"/>
  <c r="B3" i="3"/>
  <c r="B4" i="3"/>
  <c r="B5" i="3"/>
  <c r="B6" i="3"/>
  <c r="B7" i="3"/>
  <c r="B8" i="3"/>
  <c r="B9" i="3"/>
  <c r="B10" i="3"/>
  <c r="B11" i="3"/>
  <c r="B12" i="3"/>
  <c r="B13" i="3"/>
  <c r="B14" i="3"/>
  <c r="B15" i="3"/>
  <c r="B2" i="3"/>
  <c r="I7" i="3"/>
  <c r="I6" i="3"/>
  <c r="H7" i="3"/>
  <c r="H6" i="3"/>
  <c r="G7" i="3"/>
  <c r="G6" i="3"/>
  <c r="G5" i="3"/>
  <c r="F8" i="3"/>
  <c r="F7" i="3"/>
  <c r="F6" i="3"/>
  <c r="M16" i="4" l="1"/>
  <c r="M18" i="4"/>
  <c r="M15" i="4"/>
  <c r="M17" i="4"/>
  <c r="D29" i="4"/>
  <c r="M29" i="4" l="1"/>
</calcChain>
</file>

<file path=xl/sharedStrings.xml><?xml version="1.0" encoding="utf-8"?>
<sst xmlns="http://schemas.openxmlformats.org/spreadsheetml/2006/main" count="85" uniqueCount="47">
  <si>
    <t>d</t>
  </si>
  <si>
    <t>SoC</t>
  </si>
  <si>
    <t>VoC 0C</t>
  </si>
  <si>
    <t>DoD</t>
  </si>
  <si>
    <t>VoC 20C</t>
  </si>
  <si>
    <t>VoC 30C</t>
  </si>
  <si>
    <t>VoC 40C</t>
  </si>
  <si>
    <t>VoC 50C</t>
  </si>
  <si>
    <t>VoC 10C</t>
  </si>
  <si>
    <t>VoC -10C</t>
  </si>
  <si>
    <t>a</t>
  </si>
  <si>
    <t>b</t>
  </si>
  <si>
    <t>m</t>
  </si>
  <si>
    <t>c</t>
  </si>
  <si>
    <t>n</t>
  </si>
  <si>
    <t>Vocv= a + b*(-ln(s))^m + c*s + d*exp(n*(s-1))</t>
  </si>
  <si>
    <t>OAT, C</t>
  </si>
  <si>
    <t>e20C</t>
  </si>
  <si>
    <t>VoC20fit</t>
  </si>
  <si>
    <t>VoC-10fit</t>
  </si>
  <si>
    <t>e-10C</t>
  </si>
  <si>
    <t>VoC0fit</t>
  </si>
  <si>
    <t>e0C</t>
  </si>
  <si>
    <t>VoC10fit</t>
  </si>
  <si>
    <t>e10C</t>
  </si>
  <si>
    <t>VoC30fit</t>
  </si>
  <si>
    <t>e30C</t>
  </si>
  <si>
    <t>VoC40fit</t>
  </si>
  <si>
    <t>e40C</t>
  </si>
  <si>
    <t>VoC50fit</t>
  </si>
  <si>
    <t>soc</t>
  </si>
  <si>
    <t>Zhang, et al A Generalized SOC-OCV Model for Lithium-Ion
Batteries and the SOC Estimation for LNMCO Battery, GeneralizedSOC-OCV Model Zhang et al.pdf</t>
  </si>
  <si>
    <t>T, C</t>
  </si>
  <si>
    <t>--</t>
  </si>
  <si>
    <t>DoD @ 12.5 v</t>
  </si>
  <si>
    <t>Tc</t>
  </si>
  <si>
    <t>num_cells</t>
  </si>
  <si>
    <t>soc\Tc</t>
  </si>
  <si>
    <t>SOC</t>
  </si>
  <si>
    <t>0 C</t>
  </si>
  <si>
    <t>-10 C</t>
  </si>
  <si>
    <t>10 C</t>
  </si>
  <si>
    <t>15 C</t>
  </si>
  <si>
    <t>20 C</t>
  </si>
  <si>
    <t>25 C</t>
  </si>
  <si>
    <t>30 C</t>
  </si>
  <si>
    <t>35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</si>
</sst>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2" borderId="0" xfId="0" applyFill="1"/>
    <xf numFmtId="0" fontId="0" fillId="3" borderId="0" xfId="0" applyFill="1"/>
    <xf numFmtId="0" fontId="0" fillId="0" borderId="0" xfId="0" applyFill="1"/>
    <xf numFmtId="0" fontId="0" fillId="0" borderId="0" xfId="0" applyAlignme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  <xf numFmtId="16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quotePrefix="1" applyNumberFormat="1" applyAlignment="1">
      <alignment horizontal="center"/>
    </xf>
    <xf numFmtId="0" fontId="0" fillId="0" borderId="0" xfId="0" applyProtection="1">
      <protection locked="0"/>
    </xf>
    <xf numFmtId="0" fontId="0" fillId="0" borderId="0" xfId="0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3" borderId="0" xfId="0" applyFill="1" applyAlignment="1" applyProtection="1">
      <alignment horizontal="center"/>
      <protection locked="0"/>
    </xf>
    <xf numFmtId="164" fontId="0" fillId="0" borderId="0" xfId="0" applyNumberFormat="1" applyFill="1" applyAlignment="1" applyProtection="1">
      <alignment horizontal="center"/>
      <protection locked="0"/>
    </xf>
    <xf numFmtId="164" fontId="0" fillId="0" borderId="0" xfId="0" applyNumberFormat="1" applyAlignment="1" applyProtection="1">
      <alignment horizontal="center"/>
      <protection locked="0"/>
    </xf>
    <xf numFmtId="164" fontId="0" fillId="3" borderId="0" xfId="0" applyNumberFormat="1" applyFill="1" applyAlignment="1" applyProtection="1">
      <alignment horizontal="center"/>
      <protection locked="0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chartsheet" Target="chartsheets/sheet2.xml"/><Relationship Id="rId7" Type="http://schemas.openxmlformats.org/officeDocument/2006/relationships/worksheet" Target="worksheets/sheet4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3.xml"/><Relationship Id="rId11" Type="http://schemas.openxmlformats.org/officeDocument/2006/relationships/calcChain" Target="calcChain.xml"/><Relationship Id="rId5" Type="http://schemas.openxmlformats.org/officeDocument/2006/relationships/worksheet" Target="worksheets/sheet2.xml"/><Relationship Id="rId10" Type="http://schemas.openxmlformats.org/officeDocument/2006/relationships/sharedStrings" Target="sharedStrings.xml"/><Relationship Id="rId4" Type="http://schemas.openxmlformats.org/officeDocument/2006/relationships/chartsheet" Target="chartsheets/sheet3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BattleBorn </a:t>
            </a:r>
            <a:r>
              <a:rPr lang="en-US" b="0">
                <a:effectLst/>
              </a:rPr>
              <a:t>SOC-OCV curve fit 12v</a:t>
            </a:r>
          </a:p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>
                <a:solidFill>
                  <a:sysClr val="windowText" lastClr="000000">
                    <a:lumMod val="65000"/>
                    <a:lumOff val="35000"/>
                  </a:sysClr>
                </a:solidFill>
              </a:defRPr>
            </a:pPr>
            <a:endParaRPr lang="en-US"/>
          </a:p>
        </c:rich>
      </c:tx>
      <c:layout>
        <c:manualLayout>
          <c:xMode val="edge"/>
          <c:yMode val="edge"/>
          <c:x val="0.29704260290634399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'Cheat Sheet'!$C$9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Sheet'!$C$10:$C$34</c:f>
              <c:numCache>
                <c:formatCode>0.00</c:formatCode>
                <c:ptCount val="25"/>
                <c:pt idx="0">
                  <c:v>13.241428391535834</c:v>
                </c:pt>
                <c:pt idx="1">
                  <c:v>12.783474441295841</c:v>
                </c:pt>
                <c:pt idx="2">
                  <c:v>12.625737933744897</c:v>
                </c:pt>
                <c:pt idx="3">
                  <c:v>12.515513584477986</c:v>
                </c:pt>
                <c:pt idx="4">
                  <c:v>12.358733953297349</c:v>
                </c:pt>
                <c:pt idx="5">
                  <c:v>12.124128154813484</c:v>
                </c:pt>
                <c:pt idx="6">
                  <c:v>11.987230977513462</c:v>
                </c:pt>
                <c:pt idx="7">
                  <c:v>11.898031230846632</c:v>
                </c:pt>
                <c:pt idx="8">
                  <c:v>11.837070772416274</c:v>
                </c:pt>
                <c:pt idx="9">
                  <c:v>11.794069638800476</c:v>
                </c:pt>
                <c:pt idx="10">
                  <c:v>11.76252215158212</c:v>
                </c:pt>
                <c:pt idx="11">
                  <c:v>11.737704849502093</c:v>
                </c:pt>
                <c:pt idx="12">
                  <c:v>11.71574867453146</c:v>
                </c:pt>
                <c:pt idx="13">
                  <c:v>11.693106641659901</c:v>
                </c:pt>
                <c:pt idx="14">
                  <c:v>11.666164904745523</c:v>
                </c:pt>
                <c:pt idx="15">
                  <c:v>11.630866222328329</c:v>
                </c:pt>
                <c:pt idx="16">
                  <c:v>11.582234639435786</c:v>
                </c:pt>
                <c:pt idx="17">
                  <c:v>11.51364146684325</c:v>
                </c:pt>
                <c:pt idx="18">
                  <c:v>11.415490008533659</c:v>
                </c:pt>
                <c:pt idx="19">
                  <c:v>11.272522352376139</c:v>
                </c:pt>
                <c:pt idx="20">
                  <c:v>11.05737344528508</c:v>
                </c:pt>
                <c:pt idx="21">
                  <c:v>10.711230104579677</c:v>
                </c:pt>
                <c:pt idx="22">
                  <c:v>10.056259937733959</c:v>
                </c:pt>
                <c:pt idx="23">
                  <c:v>9.3778977969759758</c:v>
                </c:pt>
                <c:pt idx="24">
                  <c:v>1.9992665356091934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'Cheat Sheet'!$D$9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Sheet'!$D$10:$D$34</c:f>
              <c:numCache>
                <c:formatCode>0.00</c:formatCode>
                <c:ptCount val="25"/>
                <c:pt idx="0">
                  <c:v>13.947091285742307</c:v>
                </c:pt>
                <c:pt idx="1">
                  <c:v>13.489137335502313</c:v>
                </c:pt>
                <c:pt idx="2">
                  <c:v>13.33140082795137</c:v>
                </c:pt>
                <c:pt idx="3">
                  <c:v>13.221176478684459</c:v>
                </c:pt>
                <c:pt idx="4">
                  <c:v>13.064396847503822</c:v>
                </c:pt>
                <c:pt idx="5">
                  <c:v>12.829791049019956</c:v>
                </c:pt>
                <c:pt idx="6">
                  <c:v>12.692893871719935</c:v>
                </c:pt>
                <c:pt idx="7">
                  <c:v>12.603694125053105</c:v>
                </c:pt>
                <c:pt idx="8">
                  <c:v>12.542733666622746</c:v>
                </c:pt>
                <c:pt idx="9">
                  <c:v>12.499732533006949</c:v>
                </c:pt>
                <c:pt idx="10">
                  <c:v>12.468185045788593</c:v>
                </c:pt>
                <c:pt idx="11">
                  <c:v>12.443367743708565</c:v>
                </c:pt>
                <c:pt idx="12">
                  <c:v>12.421411568737932</c:v>
                </c:pt>
                <c:pt idx="13">
                  <c:v>12.398769535866373</c:v>
                </c:pt>
                <c:pt idx="14">
                  <c:v>12.371827798951996</c:v>
                </c:pt>
                <c:pt idx="15">
                  <c:v>12.336529116534802</c:v>
                </c:pt>
                <c:pt idx="16">
                  <c:v>12.287897533642258</c:v>
                </c:pt>
                <c:pt idx="17">
                  <c:v>12.219304361049723</c:v>
                </c:pt>
                <c:pt idx="18">
                  <c:v>12.121152902740132</c:v>
                </c:pt>
                <c:pt idx="19">
                  <c:v>11.978185246582612</c:v>
                </c:pt>
                <c:pt idx="20">
                  <c:v>11.763036339491553</c:v>
                </c:pt>
                <c:pt idx="21">
                  <c:v>11.41689299878615</c:v>
                </c:pt>
                <c:pt idx="22">
                  <c:v>10.761922831940431</c:v>
                </c:pt>
                <c:pt idx="23">
                  <c:v>10.083560691182448</c:v>
                </c:pt>
                <c:pt idx="24">
                  <c:v>2.7049294298156665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'Cheat Sheet'!$E$9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Sheet'!$E$10:$E$34</c:f>
              <c:numCache>
                <c:formatCode>0.00</c:formatCode>
                <c:ptCount val="25"/>
                <c:pt idx="0">
                  <c:v>14.063926225983369</c:v>
                </c:pt>
                <c:pt idx="1">
                  <c:v>13.605972275743376</c:v>
                </c:pt>
                <c:pt idx="2">
                  <c:v>13.448235768192433</c:v>
                </c:pt>
                <c:pt idx="3">
                  <c:v>13.338011418925522</c:v>
                </c:pt>
                <c:pt idx="4">
                  <c:v>13.181231787744885</c:v>
                </c:pt>
                <c:pt idx="5">
                  <c:v>12.946625989261019</c:v>
                </c:pt>
                <c:pt idx="6">
                  <c:v>12.809728811960998</c:v>
                </c:pt>
                <c:pt idx="7">
                  <c:v>12.720529065294167</c:v>
                </c:pt>
                <c:pt idx="8">
                  <c:v>12.659568606863809</c:v>
                </c:pt>
                <c:pt idx="9">
                  <c:v>12.616567473248011</c:v>
                </c:pt>
                <c:pt idx="10">
                  <c:v>12.585019986029655</c:v>
                </c:pt>
                <c:pt idx="11">
                  <c:v>12.560202683949628</c:v>
                </c:pt>
                <c:pt idx="12">
                  <c:v>12.538246508978995</c:v>
                </c:pt>
                <c:pt idx="13">
                  <c:v>12.515604476107436</c:v>
                </c:pt>
                <c:pt idx="14">
                  <c:v>12.488662739193058</c:v>
                </c:pt>
                <c:pt idx="15">
                  <c:v>12.453364056775865</c:v>
                </c:pt>
                <c:pt idx="16">
                  <c:v>12.404732473883321</c:v>
                </c:pt>
                <c:pt idx="17">
                  <c:v>12.336139301290785</c:v>
                </c:pt>
                <c:pt idx="18">
                  <c:v>12.237987842981195</c:v>
                </c:pt>
                <c:pt idx="19">
                  <c:v>12.095020186823675</c:v>
                </c:pt>
                <c:pt idx="20">
                  <c:v>11.879871279732615</c:v>
                </c:pt>
                <c:pt idx="21">
                  <c:v>11.533727939027212</c:v>
                </c:pt>
                <c:pt idx="22">
                  <c:v>10.878757772181494</c:v>
                </c:pt>
                <c:pt idx="23">
                  <c:v>10.200395631423511</c:v>
                </c:pt>
                <c:pt idx="24">
                  <c:v>2.8217643700567292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'Cheat Sheet'!$F$9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sys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Sheet'!$F$10:$F$34</c:f>
              <c:numCache>
                <c:formatCode>0.00</c:formatCode>
                <c:ptCount val="25"/>
                <c:pt idx="0">
                  <c:v>13.856035896038611</c:v>
                </c:pt>
                <c:pt idx="1">
                  <c:v>13.50854612314739</c:v>
                </c:pt>
                <c:pt idx="2">
                  <c:v>13.387077564277481</c:v>
                </c:pt>
                <c:pt idx="3">
                  <c:v>13.301401868623078</c:v>
                </c:pt>
                <c:pt idx="4">
                  <c:v>13.178059751180225</c:v>
                </c:pt>
                <c:pt idx="5">
                  <c:v>12.9886162508921</c:v>
                </c:pt>
                <c:pt idx="6">
                  <c:v>12.873383746346533</c:v>
                </c:pt>
                <c:pt idx="7">
                  <c:v>12.794702350355386</c:v>
                </c:pt>
                <c:pt idx="8">
                  <c:v>12.737911799219862</c:v>
                </c:pt>
                <c:pt idx="9">
                  <c:v>12.695261124404134</c:v>
                </c:pt>
                <c:pt idx="10">
                  <c:v>12.661840767625982</c:v>
                </c:pt>
                <c:pt idx="11">
                  <c:v>12.634083010481703</c:v>
                </c:pt>
                <c:pt idx="12">
                  <c:v>12.609063540745598</c:v>
                </c:pt>
                <c:pt idx="13">
                  <c:v>12.584100726356212</c:v>
                </c:pt>
                <c:pt idx="14">
                  <c:v>12.556462833500611</c:v>
                </c:pt>
                <c:pt idx="15">
                  <c:v>12.52308457908947</c:v>
                </c:pt>
                <c:pt idx="16">
                  <c:v>12.480209321855689</c:v>
                </c:pt>
                <c:pt idx="17">
                  <c:v>12.422836510474729</c:v>
                </c:pt>
                <c:pt idx="18">
                  <c:v>12.343731583861121</c:v>
                </c:pt>
                <c:pt idx="19">
                  <c:v>12.231398604468136</c:v>
                </c:pt>
                <c:pt idx="20">
                  <c:v>12.065227966515709</c:v>
                </c:pt>
                <c:pt idx="21">
                  <c:v>11.800937109482325</c:v>
                </c:pt>
                <c:pt idx="22">
                  <c:v>11.304649783921581</c:v>
                </c:pt>
                <c:pt idx="23">
                  <c:v>10.79255350060069</c:v>
                </c:pt>
                <c:pt idx="24">
                  <c:v>5.2368234026735667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'Cheat Sheet'!$G$9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Sheet'!$G$10:$G$34</c:f>
              <c:numCache>
                <c:formatCode>0.00</c:formatCode>
                <c:ptCount val="25"/>
                <c:pt idx="0">
                  <c:v>13.648145566093856</c:v>
                </c:pt>
                <c:pt idx="1">
                  <c:v>13.411119970551404</c:v>
                </c:pt>
                <c:pt idx="2">
                  <c:v>13.32591936036253</c:v>
                </c:pt>
                <c:pt idx="3">
                  <c:v>13.264792318320637</c:v>
                </c:pt>
                <c:pt idx="4">
                  <c:v>13.174887714615567</c:v>
                </c:pt>
                <c:pt idx="5">
                  <c:v>13.030606512523184</c:v>
                </c:pt>
                <c:pt idx="6">
                  <c:v>12.937038680732067</c:v>
                </c:pt>
                <c:pt idx="7">
                  <c:v>12.868875635416604</c:v>
                </c:pt>
                <c:pt idx="8">
                  <c:v>12.816254991575917</c:v>
                </c:pt>
                <c:pt idx="9">
                  <c:v>12.773954775560256</c:v>
                </c:pt>
                <c:pt idx="10">
                  <c:v>12.738661549222307</c:v>
                </c:pt>
                <c:pt idx="11">
                  <c:v>12.707963337013783</c:v>
                </c:pt>
                <c:pt idx="12">
                  <c:v>12.679880572512205</c:v>
                </c:pt>
                <c:pt idx="13">
                  <c:v>12.65259697660499</c:v>
                </c:pt>
                <c:pt idx="14">
                  <c:v>12.624262927808163</c:v>
                </c:pt>
                <c:pt idx="15">
                  <c:v>12.592805101403084</c:v>
                </c:pt>
                <c:pt idx="16">
                  <c:v>12.555686169828061</c:v>
                </c:pt>
                <c:pt idx="17">
                  <c:v>12.509533719658675</c:v>
                </c:pt>
                <c:pt idx="18">
                  <c:v>12.449475324741048</c:v>
                </c:pt>
                <c:pt idx="19">
                  <c:v>12.367777022112602</c:v>
                </c:pt>
                <c:pt idx="20">
                  <c:v>12.250584653298802</c:v>
                </c:pt>
                <c:pt idx="21">
                  <c:v>12.068146279937437</c:v>
                </c:pt>
                <c:pt idx="22">
                  <c:v>11.73054179566167</c:v>
                </c:pt>
                <c:pt idx="23">
                  <c:v>11.384711369777872</c:v>
                </c:pt>
                <c:pt idx="24">
                  <c:v>7.6518824352904105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'Cheat Sheet'!$H$9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Sheet'!$H$10:$H$34</c:f>
              <c:numCache>
                <c:formatCode>0.00</c:formatCode>
                <c:ptCount val="25"/>
                <c:pt idx="0">
                  <c:v>13.653450336578056</c:v>
                </c:pt>
                <c:pt idx="1">
                  <c:v>13.422348587841693</c:v>
                </c:pt>
                <c:pt idx="2">
                  <c:v>13.339835601019814</c:v>
                </c:pt>
                <c:pt idx="3">
                  <c:v>13.280885003355964</c:v>
                </c:pt>
                <c:pt idx="4">
                  <c:v>13.194650230479425</c:v>
                </c:pt>
                <c:pt idx="5">
                  <c:v>13.057867278672635</c:v>
                </c:pt>
                <c:pt idx="6">
                  <c:v>12.970772764153176</c:v>
                </c:pt>
                <c:pt idx="7">
                  <c:v>12.90859684938761</c:v>
                </c:pt>
                <c:pt idx="8">
                  <c:v>12.861686426022462</c:v>
                </c:pt>
                <c:pt idx="9">
                  <c:v>12.824929831569309</c:v>
                </c:pt>
                <c:pt idx="10">
                  <c:v>12.795083248371835</c:v>
                </c:pt>
                <c:pt idx="11">
                  <c:v>12.769785112741921</c:v>
                </c:pt>
                <c:pt idx="12">
                  <c:v>12.747097066725839</c:v>
                </c:pt>
                <c:pt idx="13">
                  <c:v>12.725240576676306</c:v>
                </c:pt>
                <c:pt idx="14">
                  <c:v>12.702404497595005</c:v>
                </c:pt>
                <c:pt idx="15">
                  <c:v>12.676558772577089</c:v>
                </c:pt>
                <c:pt idx="16">
                  <c:v>12.645219258791148</c:v>
                </c:pt>
                <c:pt idx="17">
                  <c:v>12.605084559873147</c:v>
                </c:pt>
                <c:pt idx="18">
                  <c:v>12.551385282636552</c:v>
                </c:pt>
                <c:pt idx="19">
                  <c:v>12.476551556101558</c:v>
                </c:pt>
                <c:pt idx="20">
                  <c:v>12.367023884800513</c:v>
                </c:pt>
                <c:pt idx="21">
                  <c:v>12.193684135450845</c:v>
                </c:pt>
                <c:pt idx="22">
                  <c:v>11.868529506152075</c:v>
                </c:pt>
                <c:pt idx="23">
                  <c:v>11.532715528104703</c:v>
                </c:pt>
                <c:pt idx="24">
                  <c:v>7.8821630076089999</c:v>
                </c:pt>
              </c:numCache>
            </c:numRef>
          </c:yVal>
          <c:smooth val="1"/>
        </c:ser>
        <c:ser>
          <c:idx val="6"/>
          <c:order val="6"/>
          <c:tx>
            <c:strRef>
              <c:f>'Cheat Sheet'!$I$9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Sheet'!$I$10:$I$34</c:f>
              <c:numCache>
                <c:formatCode>0.00</c:formatCode>
                <c:ptCount val="25"/>
                <c:pt idx="0">
                  <c:v>13.658755107062252</c:v>
                </c:pt>
                <c:pt idx="1">
                  <c:v>13.433577205131979</c:v>
                </c:pt>
                <c:pt idx="2">
                  <c:v>13.353751841677093</c:v>
                </c:pt>
                <c:pt idx="3">
                  <c:v>13.296977688391287</c:v>
                </c:pt>
                <c:pt idx="4">
                  <c:v>13.214412746343282</c:v>
                </c:pt>
                <c:pt idx="5">
                  <c:v>13.085128044822085</c:v>
                </c:pt>
                <c:pt idx="6">
                  <c:v>13.004506847574282</c:v>
                </c:pt>
                <c:pt idx="7">
                  <c:v>12.948318063358609</c:v>
                </c:pt>
                <c:pt idx="8">
                  <c:v>12.907117860469</c:v>
                </c:pt>
                <c:pt idx="9">
                  <c:v>12.875904887578358</c:v>
                </c:pt>
                <c:pt idx="10">
                  <c:v>12.851504947521359</c:v>
                </c:pt>
                <c:pt idx="11">
                  <c:v>12.831606888470059</c:v>
                </c:pt>
                <c:pt idx="12">
                  <c:v>12.814313560939469</c:v>
                </c:pt>
                <c:pt idx="13">
                  <c:v>12.797884176747624</c:v>
                </c:pt>
                <c:pt idx="14">
                  <c:v>12.780546067381842</c:v>
                </c:pt>
                <c:pt idx="15">
                  <c:v>12.760312443751094</c:v>
                </c:pt>
                <c:pt idx="16">
                  <c:v>12.734752347754231</c:v>
                </c:pt>
                <c:pt idx="17">
                  <c:v>12.700635400087616</c:v>
                </c:pt>
                <c:pt idx="18">
                  <c:v>12.65329524053206</c:v>
                </c:pt>
                <c:pt idx="19">
                  <c:v>12.585326090090511</c:v>
                </c:pt>
                <c:pt idx="20">
                  <c:v>12.483463116302222</c:v>
                </c:pt>
                <c:pt idx="21">
                  <c:v>12.319221990964248</c:v>
                </c:pt>
                <c:pt idx="22">
                  <c:v>12.006517216642482</c:v>
                </c:pt>
                <c:pt idx="23">
                  <c:v>11.680719686431534</c:v>
                </c:pt>
                <c:pt idx="24">
                  <c:v>8.1124435799275894</c:v>
                </c:pt>
              </c:numCache>
            </c:numRef>
          </c:yVal>
          <c:smooth val="1"/>
        </c:ser>
        <c:ser>
          <c:idx val="7"/>
          <c:order val="7"/>
          <c:tx>
            <c:strRef>
              <c:f>'Cheat Sheet'!$J$9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lgDash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Sheet'!$J$10:$J$34</c:f>
              <c:numCache>
                <c:formatCode>0.00</c:formatCode>
                <c:ptCount val="25"/>
                <c:pt idx="0">
                  <c:v>13.679924945017591</c:v>
                </c:pt>
                <c:pt idx="1">
                  <c:v>13.454587931295809</c:v>
                </c:pt>
                <c:pt idx="2">
                  <c:v>13.37510316047457</c:v>
                </c:pt>
                <c:pt idx="3">
                  <c:v>13.318748518904099</c:v>
                </c:pt>
                <c:pt idx="4">
                  <c:v>13.237128055138299</c:v>
                </c:pt>
                <c:pt idx="5">
                  <c:v>13.110463351373188</c:v>
                </c:pt>
                <c:pt idx="6">
                  <c:v>13.032620387595387</c:v>
                </c:pt>
                <c:pt idx="7">
                  <c:v>12.979284897465355</c:v>
                </c:pt>
                <c:pt idx="8">
                  <c:v>12.940980739809717</c:v>
                </c:pt>
                <c:pt idx="9">
                  <c:v>12.912689532758767</c:v>
                </c:pt>
                <c:pt idx="10">
                  <c:v>12.891226330690504</c:v>
                </c:pt>
                <c:pt idx="11">
                  <c:v>12.874272198871594</c:v>
                </c:pt>
                <c:pt idx="12">
                  <c:v>12.859923625790071</c:v>
                </c:pt>
                <c:pt idx="13">
                  <c:v>12.846433995877636</c:v>
                </c:pt>
                <c:pt idx="14">
                  <c:v>12.832024700375662</c:v>
                </c:pt>
                <c:pt idx="15">
                  <c:v>12.814702270231296</c:v>
                </c:pt>
                <c:pt idx="16">
                  <c:v>12.792027536344571</c:v>
                </c:pt>
                <c:pt idx="17">
                  <c:v>12.760759155343859</c:v>
                </c:pt>
                <c:pt idx="18">
                  <c:v>12.716214860121497</c:v>
                </c:pt>
                <c:pt idx="19">
                  <c:v>12.650963538110648</c:v>
                </c:pt>
                <c:pt idx="20">
                  <c:v>12.551694864890951</c:v>
                </c:pt>
                <c:pt idx="21">
                  <c:v>12.389826661377619</c:v>
                </c:pt>
                <c:pt idx="22">
                  <c:v>12.078977424410393</c:v>
                </c:pt>
                <c:pt idx="23">
                  <c:v>11.753522303715744</c:v>
                </c:pt>
                <c:pt idx="24">
                  <c:v>8.1744325754430154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86072"/>
        <c:axId val="436486464"/>
      </c:scatterChart>
      <c:valAx>
        <c:axId val="436486072"/>
        <c:scaling>
          <c:orientation val="minMax"/>
          <c:max val="90"/>
          <c:min val="2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6464"/>
        <c:crosses val="autoZero"/>
        <c:crossBetween val="midCat"/>
      </c:valAx>
      <c:valAx>
        <c:axId val="436486464"/>
        <c:scaling>
          <c:orientation val="minMax"/>
          <c:max val="13.1"/>
          <c:min val="1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Volts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6072"/>
        <c:crosses val="autoZero"/>
        <c:crossBetween val="midCat"/>
        <c:majorUnit val="0.1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BattleBorn SOC-OCV curve fit 12v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'Cheat Sheet'!$L$9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Sheet'!$L$10:$L$34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'Cheat Sheet'!$M$9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Sheet'!$M$10:$M$34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'Cheat Sheet'!$N$9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Sheet'!$N$10:$N$34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'Cheat Sheet'!$O$9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Sheet'!$O$10:$O$34</c:f>
              <c:numCache>
                <c:formatCode>0.00</c:formatCode>
                <c:ptCount val="25"/>
                <c:pt idx="0" formatCode="0">
                  <c:v>2226.9649455579647</c:v>
                </c:pt>
                <c:pt idx="1">
                  <c:v>15.368543292953586</c:v>
                </c:pt>
                <c:pt idx="2">
                  <c:v>9.8843743124126942</c:v>
                </c:pt>
                <c:pt idx="3">
                  <c:v>7.497395701776254</c:v>
                </c:pt>
                <c:pt idx="4">
                  <c:v>5.1439298466163237</c:v>
                </c:pt>
                <c:pt idx="5">
                  <c:v>2.8443270925769331</c:v>
                </c:pt>
                <c:pt idx="6">
                  <c:v>1.8708737357844045</c:v>
                </c:pt>
                <c:pt idx="7">
                  <c:v>1.3216055178674893</c:v>
                </c:pt>
                <c:pt idx="8">
                  <c:v>0.97474863069900985</c:v>
                </c:pt>
                <c:pt idx="9">
                  <c:v>0.74720385959794022</c:v>
                </c:pt>
                <c:pt idx="10">
                  <c:v>0.60128920004177022</c:v>
                </c:pt>
                <c:pt idx="11">
                  <c:v>0.51864296245369435</c:v>
                </c:pt>
                <c:pt idx="12">
                  <c:v>0.49098121595461519</c:v>
                </c:pt>
                <c:pt idx="13">
                  <c:v>0.51654629631830584</c:v>
                </c:pt>
                <c:pt idx="14">
                  <c:v>0.59907293008510898</c:v>
                </c:pt>
                <c:pt idx="15">
                  <c:v>0.74840531853658687</c:v>
                </c:pt>
                <c:pt idx="16">
                  <c:v>0.98296733288848426</c:v>
                </c:pt>
                <c:pt idx="17">
                  <c:v>1.3354508968715564</c:v>
                </c:pt>
                <c:pt idx="18">
                  <c:v>1.8656737417068938</c:v>
                </c:pt>
                <c:pt idx="19">
                  <c:v>2.6925198212508623</c:v>
                </c:pt>
                <c:pt idx="20">
                  <c:v>4.0879379521337178</c:v>
                </c:pt>
                <c:pt idx="21">
                  <c:v>6.8425447807445341</c:v>
                </c:pt>
                <c:pt idx="22">
                  <c:v>14.717892516484408</c:v>
                </c:pt>
                <c:pt idx="23">
                  <c:v>29.43771979009454</c:v>
                </c:pt>
                <c:pt idx="24" formatCode="0">
                  <c:v>417845.17982406804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'Cheat Sheet'!$P$9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Sheet'!$P$10:$P$34</c:f>
              <c:numCache>
                <c:formatCode>0.00</c:formatCode>
                <c:ptCount val="25"/>
                <c:pt idx="0" formatCode="0">
                  <c:v>1495.9307414700711</c:v>
                </c:pt>
                <c:pt idx="1">
                  <c:v>10.685462106308332</c:v>
                </c:pt>
                <c:pt idx="2">
                  <c:v>6.9988361403327346</c:v>
                </c:pt>
                <c:pt idx="3">
                  <c:v>5.3922045588959193</c:v>
                </c:pt>
                <c:pt idx="4">
                  <c:v>3.8045137728691905</c:v>
                </c:pt>
                <c:pt idx="5">
                  <c:v>2.2424840871073721</c:v>
                </c:pt>
                <c:pt idx="6">
                  <c:v>1.5714066587413078</c:v>
                </c:pt>
                <c:pt idx="7">
                  <c:v>1.1855424790376965</c:v>
                </c:pt>
                <c:pt idx="8">
                  <c:v>0.93594812998902555</c:v>
                </c:pt>
                <c:pt idx="9">
                  <c:v>0.76681001526567139</c:v>
                </c:pt>
                <c:pt idx="10">
                  <c:v>0.65281550313521608</c:v>
                </c:pt>
                <c:pt idx="11">
                  <c:v>0.58162703374509706</c:v>
                </c:pt>
                <c:pt idx="12">
                  <c:v>0.54767509370466216</c:v>
                </c:pt>
                <c:pt idx="13">
                  <c:v>0.54977313830946306</c:v>
                </c:pt>
                <c:pt idx="14">
                  <c:v>0.5904232691239355</c:v>
                </c:pt>
                <c:pt idx="15">
                  <c:v>0.67623064661190568</c:v>
                </c:pt>
                <c:pt idx="16">
                  <c:v>0.8195623965870027</c:v>
                </c:pt>
                <c:pt idx="17">
                  <c:v>1.0423677545903525</c:v>
                </c:pt>
                <c:pt idx="18">
                  <c:v>1.3848129452350522</c:v>
                </c:pt>
                <c:pt idx="19">
                  <c:v>1.926731402359986</c:v>
                </c:pt>
                <c:pt idx="20">
                  <c:v>2.8507504270753472</c:v>
                </c:pt>
                <c:pt idx="21">
                  <c:v>4.6878191447623321</c:v>
                </c:pt>
                <c:pt idx="22">
                  <c:v>9.9640777742308142</c:v>
                </c:pt>
                <c:pt idx="23">
                  <c:v>19.843270886305078</c:v>
                </c:pt>
                <c:pt idx="24" formatCode="0">
                  <c:v>280612.32603055466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'Cheat Sheet'!$Q$9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Sheet'!$Q$10:$Q$34</c:f>
              <c:numCache>
                <c:formatCode>0.00</c:formatCode>
                <c:ptCount val="25"/>
                <c:pt idx="0" formatCode="0">
                  <c:v>1463.9335021366865</c:v>
                </c:pt>
                <c:pt idx="1">
                  <c:v>10.370626062172089</c:v>
                </c:pt>
                <c:pt idx="2">
                  <c:v>6.7624063668301133</c:v>
                </c:pt>
                <c:pt idx="3">
                  <c:v>5.189812413346452</c:v>
                </c:pt>
                <c:pt idx="4">
                  <c:v>3.6355236470925063</c:v>
                </c:pt>
                <c:pt idx="5">
                  <c:v>2.1056658499224201</c:v>
                </c:pt>
                <c:pt idx="6">
                  <c:v>1.4477776296505112</c:v>
                </c:pt>
                <c:pt idx="7">
                  <c:v>1.069040901773624</c:v>
                </c:pt>
                <c:pt idx="8">
                  <c:v>0.82368900635445907</c:v>
                </c:pt>
                <c:pt idx="9">
                  <c:v>0.6570985069424764</c:v>
                </c:pt>
                <c:pt idx="10">
                  <c:v>0.54449630626017331</c:v>
                </c:pt>
                <c:pt idx="11">
                  <c:v>0.4738076084287357</c:v>
                </c:pt>
                <c:pt idx="12">
                  <c:v>0.4395812990891268</c:v>
                </c:pt>
                <c:pt idx="13">
                  <c:v>0.44065574495844784</c:v>
                </c:pt>
                <c:pt idx="14">
                  <c:v>0.47947928225217229</c:v>
                </c:pt>
                <c:pt idx="15">
                  <c:v>0.56251578907877331</c:v>
                </c:pt>
                <c:pt idx="16">
                  <c:v>0.70186820462863331</c:v>
                </c:pt>
                <c:pt idx="17">
                  <c:v>0.91901718365749296</c:v>
                </c:pt>
                <c:pt idx="18">
                  <c:v>1.2532717799997926</c:v>
                </c:pt>
                <c:pt idx="19">
                  <c:v>1.7827620993314386</c:v>
                </c:pt>
                <c:pt idx="20">
                  <c:v>2.6862193652487472</c:v>
                </c:pt>
                <c:pt idx="21">
                  <c:v>4.4832663750495634</c:v>
                </c:pt>
                <c:pt idx="22">
                  <c:v>9.646156432964565</c:v>
                </c:pt>
                <c:pt idx="23">
                  <c:v>19.314207965097545</c:v>
                </c:pt>
                <c:pt idx="24" formatCode="0">
                  <c:v>274626.31349256751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'Cheat Sheet'!$R$9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Sheet'!$R$10:$R$34</c:f>
              <c:numCache>
                <c:formatCode>0.00</c:formatCode>
                <c:ptCount val="25"/>
                <c:pt idx="0" formatCode="0">
                  <c:v>1431.9362628033014</c:v>
                </c:pt>
                <c:pt idx="1">
                  <c:v>10.055790018035845</c:v>
                </c:pt>
                <c:pt idx="2">
                  <c:v>6.5259765933274867</c:v>
                </c:pt>
                <c:pt idx="3">
                  <c:v>4.987420267796983</c:v>
                </c:pt>
                <c:pt idx="4">
                  <c:v>3.4665335213158204</c:v>
                </c:pt>
                <c:pt idx="5">
                  <c:v>1.9688476127374663</c:v>
                </c:pt>
                <c:pt idx="6">
                  <c:v>1.3241486005597136</c:v>
                </c:pt>
                <c:pt idx="7">
                  <c:v>0.95253932450955059</c:v>
                </c:pt>
                <c:pt idx="8">
                  <c:v>0.71142988271989083</c:v>
                </c:pt>
                <c:pt idx="9">
                  <c:v>0.54738699861927964</c:v>
                </c:pt>
                <c:pt idx="10">
                  <c:v>0.43617710938512877</c:v>
                </c:pt>
                <c:pt idx="11">
                  <c:v>0.36598818311237302</c:v>
                </c:pt>
                <c:pt idx="12">
                  <c:v>0.3314875044735901</c:v>
                </c:pt>
                <c:pt idx="13">
                  <c:v>0.33153835160743084</c:v>
                </c:pt>
                <c:pt idx="14">
                  <c:v>0.36853529538040775</c:v>
                </c:pt>
                <c:pt idx="15">
                  <c:v>0.44880093154563916</c:v>
                </c:pt>
                <c:pt idx="16">
                  <c:v>0.58417401267026214</c:v>
                </c:pt>
                <c:pt idx="17">
                  <c:v>0.79566661272463168</c:v>
                </c:pt>
                <c:pt idx="18">
                  <c:v>1.1217306147645316</c:v>
                </c:pt>
                <c:pt idx="19">
                  <c:v>1.6387927963028885</c:v>
                </c:pt>
                <c:pt idx="20">
                  <c:v>2.5216883034221453</c:v>
                </c:pt>
                <c:pt idx="21">
                  <c:v>4.2787136053367929</c:v>
                </c:pt>
                <c:pt idx="22">
                  <c:v>9.3282350916983106</c:v>
                </c:pt>
                <c:pt idx="23">
                  <c:v>18.785145043890012</c:v>
                </c:pt>
                <c:pt idx="24" formatCode="0">
                  <c:v>268640.30095458019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'Cheat Sheet'!$S$9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Sheet'!$S$10:$S$34</c:f>
              <c:numCache>
                <c:formatCode>0.00</c:formatCode>
                <c:ptCount val="25"/>
                <c:pt idx="0" formatCode="0">
                  <c:v>1436.800648746457</c:v>
                </c:pt>
                <c:pt idx="1">
                  <c:v>10.028843908301972</c:v>
                </c:pt>
                <c:pt idx="2">
                  <c:v>6.4869256220653906</c:v>
                </c:pt>
                <c:pt idx="3">
                  <c:v>4.9431143498349286</c:v>
                </c:pt>
                <c:pt idx="4">
                  <c:v>3.4170707859098912</c:v>
                </c:pt>
                <c:pt idx="5">
                  <c:v>1.9144179754070181</c:v>
                </c:pt>
                <c:pt idx="6">
                  <c:v>1.2676827289286599</c:v>
                </c:pt>
                <c:pt idx="7">
                  <c:v>0.89497307128000525</c:v>
                </c:pt>
                <c:pt idx="8">
                  <c:v>0.65320865236530068</c:v>
                </c:pt>
                <c:pt idx="9">
                  <c:v>0.48877245111898038</c:v>
                </c:pt>
                <c:pt idx="10">
                  <c:v>0.37734760793857225</c:v>
                </c:pt>
                <c:pt idx="11">
                  <c:v>0.30708152373616704</c:v>
                </c:pt>
                <c:pt idx="12">
                  <c:v>0.27262320398459128</c:v>
                </c:pt>
                <c:pt idx="13">
                  <c:v>0.27283208083790855</c:v>
                </c:pt>
                <c:pt idx="14">
                  <c:v>0.31011102580107552</c:v>
                </c:pt>
                <c:pt idx="15">
                  <c:v>0.39080444670083736</c:v>
                </c:pt>
                <c:pt idx="16">
                  <c:v>0.52679188292490187</c:v>
                </c:pt>
                <c:pt idx="17">
                  <c:v>0.73915775094220404</c:v>
                </c:pt>
                <c:pt idx="18">
                  <c:v>1.0664862693155963</c:v>
                </c:pt>
                <c:pt idx="19">
                  <c:v>1.5854671862538861</c:v>
                </c:pt>
                <c:pt idx="20">
                  <c:v>2.471537149204492</c:v>
                </c:pt>
                <c:pt idx="21">
                  <c:v>4.2347412583519048</c:v>
                </c:pt>
                <c:pt idx="22">
                  <c:v>9.3017653098681947</c:v>
                </c:pt>
                <c:pt idx="23">
                  <c:v>18.791272649582417</c:v>
                </c:pt>
                <c:pt idx="24" formatCode="0">
                  <c:v>269564.38430279144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6487640"/>
        <c:axId val="435205008"/>
      </c:scatterChart>
      <c:valAx>
        <c:axId val="436487640"/>
        <c:scaling>
          <c:orientation val="minMax"/>
          <c:max val="97.5"/>
          <c:min val="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5205008"/>
        <c:crosses val="autoZero"/>
        <c:crossBetween val="midCat"/>
      </c:valAx>
      <c:valAx>
        <c:axId val="435205008"/>
        <c:scaling>
          <c:orientation val="minMax"/>
          <c:max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dV/d(soc)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6487640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800" b="0" i="0" baseline="0">
                <a:effectLst/>
              </a:rPr>
              <a:t>BattleBorn SOC-OCV curve fit 12v</a:t>
            </a:r>
            <a:endParaRPr lang="en-US">
              <a:effectLst/>
            </a:endParaRP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'Cheat Sheet'!$L$9</c:f>
              <c:strCache>
                <c:ptCount val="1"/>
                <c:pt idx="0">
                  <c:v>-10 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Sheet'!$L$10:$L$34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'Cheat Sheet'!$M$9</c:f>
              <c:strCache>
                <c:ptCount val="1"/>
                <c:pt idx="0">
                  <c:v>0 C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Sheet'!$M$10:$M$34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'Cheat Sheet'!$N$9</c:f>
              <c:strCache>
                <c:ptCount val="1"/>
                <c:pt idx="0">
                  <c:v>10 C</c:v>
                </c:pt>
              </c:strCache>
            </c:strRef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Sheet'!$N$10:$N$34</c:f>
              <c:numCache>
                <c:formatCode>0.00</c:formatCode>
                <c:ptCount val="25"/>
                <c:pt idx="0" formatCode="0">
                  <c:v>2957.9991496458574</c:v>
                </c:pt>
                <c:pt idx="1">
                  <c:v>20.051624479598839</c:v>
                </c:pt>
                <c:pt idx="2">
                  <c:v>12.769912484492654</c:v>
                </c:pt>
                <c:pt idx="3">
                  <c:v>9.602586844656587</c:v>
                </c:pt>
                <c:pt idx="4">
                  <c:v>6.4833459203634547</c:v>
                </c:pt>
                <c:pt idx="5">
                  <c:v>3.4461700980464935</c:v>
                </c:pt>
                <c:pt idx="6">
                  <c:v>2.1703408128275017</c:v>
                </c:pt>
                <c:pt idx="7">
                  <c:v>1.457668556697282</c:v>
                </c:pt>
                <c:pt idx="8">
                  <c:v>1.0135491314089928</c:v>
                </c:pt>
                <c:pt idx="9">
                  <c:v>0.72759770393020862</c:v>
                </c:pt>
                <c:pt idx="10">
                  <c:v>0.54976289694832481</c:v>
                </c:pt>
                <c:pt idx="11">
                  <c:v>0.45565889116229119</c:v>
                </c:pt>
                <c:pt idx="12">
                  <c:v>0.43428733820456866</c:v>
                </c:pt>
                <c:pt idx="13">
                  <c:v>0.48331945432714729</c:v>
                </c:pt>
                <c:pt idx="14">
                  <c:v>0.60772259104628201</c:v>
                </c:pt>
                <c:pt idx="15">
                  <c:v>0.82057999046126762</c:v>
                </c:pt>
                <c:pt idx="16">
                  <c:v>1.1463722691899658</c:v>
                </c:pt>
                <c:pt idx="17">
                  <c:v>1.6285340391527594</c:v>
                </c:pt>
                <c:pt idx="18">
                  <c:v>2.346534538178735</c:v>
                </c:pt>
                <c:pt idx="19">
                  <c:v>3.458308240141736</c:v>
                </c:pt>
                <c:pt idx="20">
                  <c:v>5.3251254771920857</c:v>
                </c:pt>
                <c:pt idx="21">
                  <c:v>8.9972704167267334</c:v>
                </c:pt>
                <c:pt idx="22">
                  <c:v>19.471707258737993</c:v>
                </c:pt>
                <c:pt idx="23">
                  <c:v>39.032168693884003</c:v>
                </c:pt>
                <c:pt idx="24" formatCode="0">
                  <c:v>555078.03361758136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'Cheat Sheet'!$O$9</c:f>
              <c:strCache>
                <c:ptCount val="1"/>
                <c:pt idx="0">
                  <c:v>15 C</c:v>
                </c:pt>
              </c:strCache>
            </c:strRef>
          </c:tx>
          <c:spPr>
            <a:ln w="19050" cap="rnd">
              <a:solidFill>
                <a:schemeClr val="accent4"/>
              </a:solidFill>
              <a:prstDash val="dash"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Sheet'!$O$10:$O$34</c:f>
              <c:numCache>
                <c:formatCode>0.00</c:formatCode>
                <c:ptCount val="25"/>
                <c:pt idx="0" formatCode="0">
                  <c:v>2226.9649455579647</c:v>
                </c:pt>
                <c:pt idx="1">
                  <c:v>15.368543292953586</c:v>
                </c:pt>
                <c:pt idx="2">
                  <c:v>9.8843743124126942</c:v>
                </c:pt>
                <c:pt idx="3">
                  <c:v>7.497395701776254</c:v>
                </c:pt>
                <c:pt idx="4">
                  <c:v>5.1439298466163237</c:v>
                </c:pt>
                <c:pt idx="5">
                  <c:v>2.8443270925769331</c:v>
                </c:pt>
                <c:pt idx="6">
                  <c:v>1.8708737357844045</c:v>
                </c:pt>
                <c:pt idx="7">
                  <c:v>1.3216055178674893</c:v>
                </c:pt>
                <c:pt idx="8">
                  <c:v>0.97474863069900985</c:v>
                </c:pt>
                <c:pt idx="9">
                  <c:v>0.74720385959794022</c:v>
                </c:pt>
                <c:pt idx="10">
                  <c:v>0.60128920004177022</c:v>
                </c:pt>
                <c:pt idx="11">
                  <c:v>0.51864296245369435</c:v>
                </c:pt>
                <c:pt idx="12">
                  <c:v>0.49098121595461519</c:v>
                </c:pt>
                <c:pt idx="13">
                  <c:v>0.51654629631830584</c:v>
                </c:pt>
                <c:pt idx="14">
                  <c:v>0.59907293008510898</c:v>
                </c:pt>
                <c:pt idx="15">
                  <c:v>0.74840531853658687</c:v>
                </c:pt>
                <c:pt idx="16">
                  <c:v>0.98296733288848426</c:v>
                </c:pt>
                <c:pt idx="17">
                  <c:v>1.3354508968715564</c:v>
                </c:pt>
                <c:pt idx="18">
                  <c:v>1.8656737417068938</c:v>
                </c:pt>
                <c:pt idx="19">
                  <c:v>2.6925198212508623</c:v>
                </c:pt>
                <c:pt idx="20">
                  <c:v>4.0879379521337178</c:v>
                </c:pt>
                <c:pt idx="21">
                  <c:v>6.8425447807445341</c:v>
                </c:pt>
                <c:pt idx="22">
                  <c:v>14.717892516484408</c:v>
                </c:pt>
                <c:pt idx="23">
                  <c:v>29.43771979009454</c:v>
                </c:pt>
                <c:pt idx="24" formatCode="0">
                  <c:v>417845.17982406804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'Cheat Sheet'!$P$9</c:f>
              <c:strCache>
                <c:ptCount val="1"/>
                <c:pt idx="0">
                  <c:v>20 C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Sheet'!$P$10:$P$34</c:f>
              <c:numCache>
                <c:formatCode>0.00</c:formatCode>
                <c:ptCount val="25"/>
                <c:pt idx="0" formatCode="0">
                  <c:v>1495.9307414700711</c:v>
                </c:pt>
                <c:pt idx="1">
                  <c:v>10.685462106308332</c:v>
                </c:pt>
                <c:pt idx="2">
                  <c:v>6.9988361403327346</c:v>
                </c:pt>
                <c:pt idx="3">
                  <c:v>5.3922045588959193</c:v>
                </c:pt>
                <c:pt idx="4">
                  <c:v>3.8045137728691905</c:v>
                </c:pt>
                <c:pt idx="5">
                  <c:v>2.2424840871073721</c:v>
                </c:pt>
                <c:pt idx="6">
                  <c:v>1.5714066587413078</c:v>
                </c:pt>
                <c:pt idx="7">
                  <c:v>1.1855424790376965</c:v>
                </c:pt>
                <c:pt idx="8">
                  <c:v>0.93594812998902555</c:v>
                </c:pt>
                <c:pt idx="9">
                  <c:v>0.76681001526567139</c:v>
                </c:pt>
                <c:pt idx="10">
                  <c:v>0.65281550313521608</c:v>
                </c:pt>
                <c:pt idx="11">
                  <c:v>0.58162703374509706</c:v>
                </c:pt>
                <c:pt idx="12">
                  <c:v>0.54767509370466216</c:v>
                </c:pt>
                <c:pt idx="13">
                  <c:v>0.54977313830946306</c:v>
                </c:pt>
                <c:pt idx="14">
                  <c:v>0.5904232691239355</c:v>
                </c:pt>
                <c:pt idx="15">
                  <c:v>0.67623064661190568</c:v>
                </c:pt>
                <c:pt idx="16">
                  <c:v>0.8195623965870027</c:v>
                </c:pt>
                <c:pt idx="17">
                  <c:v>1.0423677545903525</c:v>
                </c:pt>
                <c:pt idx="18">
                  <c:v>1.3848129452350522</c:v>
                </c:pt>
                <c:pt idx="19">
                  <c:v>1.926731402359986</c:v>
                </c:pt>
                <c:pt idx="20">
                  <c:v>2.8507504270753472</c:v>
                </c:pt>
                <c:pt idx="21">
                  <c:v>4.6878191447623321</c:v>
                </c:pt>
                <c:pt idx="22">
                  <c:v>9.9640777742308142</c:v>
                </c:pt>
                <c:pt idx="23">
                  <c:v>19.843270886305078</c:v>
                </c:pt>
                <c:pt idx="24" formatCode="0">
                  <c:v>280612.32603055466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'Cheat Sheet'!$Q$9</c:f>
              <c:strCache>
                <c:ptCount val="1"/>
                <c:pt idx="0">
                  <c:v>25 C</c:v>
                </c:pt>
              </c:strCache>
            </c:strRef>
          </c:tx>
          <c:spPr>
            <a:ln w="19050" cap="rnd">
              <a:solidFill>
                <a:schemeClr val="accent6"/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Sheet'!$Q$10:$Q$34</c:f>
              <c:numCache>
                <c:formatCode>0.00</c:formatCode>
                <c:ptCount val="25"/>
                <c:pt idx="0" formatCode="0">
                  <c:v>1463.9335021366865</c:v>
                </c:pt>
                <c:pt idx="1">
                  <c:v>10.370626062172089</c:v>
                </c:pt>
                <c:pt idx="2">
                  <c:v>6.7624063668301133</c:v>
                </c:pt>
                <c:pt idx="3">
                  <c:v>5.189812413346452</c:v>
                </c:pt>
                <c:pt idx="4">
                  <c:v>3.6355236470925063</c:v>
                </c:pt>
                <c:pt idx="5">
                  <c:v>2.1056658499224201</c:v>
                </c:pt>
                <c:pt idx="6">
                  <c:v>1.4477776296505112</c:v>
                </c:pt>
                <c:pt idx="7">
                  <c:v>1.069040901773624</c:v>
                </c:pt>
                <c:pt idx="8">
                  <c:v>0.82368900635445907</c:v>
                </c:pt>
                <c:pt idx="9">
                  <c:v>0.6570985069424764</c:v>
                </c:pt>
                <c:pt idx="10">
                  <c:v>0.54449630626017331</c:v>
                </c:pt>
                <c:pt idx="11">
                  <c:v>0.4738076084287357</c:v>
                </c:pt>
                <c:pt idx="12">
                  <c:v>0.4395812990891268</c:v>
                </c:pt>
                <c:pt idx="13">
                  <c:v>0.44065574495844784</c:v>
                </c:pt>
                <c:pt idx="14">
                  <c:v>0.47947928225217229</c:v>
                </c:pt>
                <c:pt idx="15">
                  <c:v>0.56251578907877331</c:v>
                </c:pt>
                <c:pt idx="16">
                  <c:v>0.70186820462863331</c:v>
                </c:pt>
                <c:pt idx="17">
                  <c:v>0.91901718365749296</c:v>
                </c:pt>
                <c:pt idx="18">
                  <c:v>1.2532717799997926</c:v>
                </c:pt>
                <c:pt idx="19">
                  <c:v>1.7827620993314386</c:v>
                </c:pt>
                <c:pt idx="20">
                  <c:v>2.6862193652487472</c:v>
                </c:pt>
                <c:pt idx="21">
                  <c:v>4.4832663750495634</c:v>
                </c:pt>
                <c:pt idx="22">
                  <c:v>9.646156432964565</c:v>
                </c:pt>
                <c:pt idx="23">
                  <c:v>19.314207965097545</c:v>
                </c:pt>
                <c:pt idx="24" formatCode="0">
                  <c:v>274626.31349256751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'Cheat Sheet'!$R$9</c:f>
              <c:strCache>
                <c:ptCount val="1"/>
                <c:pt idx="0">
                  <c:v>30 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Sheet'!$R$10:$R$34</c:f>
              <c:numCache>
                <c:formatCode>0.00</c:formatCode>
                <c:ptCount val="25"/>
                <c:pt idx="0" formatCode="0">
                  <c:v>1431.9362628033014</c:v>
                </c:pt>
                <c:pt idx="1">
                  <c:v>10.055790018035845</c:v>
                </c:pt>
                <c:pt idx="2">
                  <c:v>6.5259765933274867</c:v>
                </c:pt>
                <c:pt idx="3">
                  <c:v>4.987420267796983</c:v>
                </c:pt>
                <c:pt idx="4">
                  <c:v>3.4665335213158204</c:v>
                </c:pt>
                <c:pt idx="5">
                  <c:v>1.9688476127374663</c:v>
                </c:pt>
                <c:pt idx="6">
                  <c:v>1.3241486005597136</c:v>
                </c:pt>
                <c:pt idx="7">
                  <c:v>0.95253932450955059</c:v>
                </c:pt>
                <c:pt idx="8">
                  <c:v>0.71142988271989083</c:v>
                </c:pt>
                <c:pt idx="9">
                  <c:v>0.54738699861927964</c:v>
                </c:pt>
                <c:pt idx="10">
                  <c:v>0.43617710938512877</c:v>
                </c:pt>
                <c:pt idx="11">
                  <c:v>0.36598818311237302</c:v>
                </c:pt>
                <c:pt idx="12">
                  <c:v>0.3314875044735901</c:v>
                </c:pt>
                <c:pt idx="13">
                  <c:v>0.33153835160743084</c:v>
                </c:pt>
                <c:pt idx="14">
                  <c:v>0.36853529538040775</c:v>
                </c:pt>
                <c:pt idx="15">
                  <c:v>0.44880093154563916</c:v>
                </c:pt>
                <c:pt idx="16">
                  <c:v>0.58417401267026214</c:v>
                </c:pt>
                <c:pt idx="17">
                  <c:v>0.79566661272463168</c:v>
                </c:pt>
                <c:pt idx="18">
                  <c:v>1.1217306147645316</c:v>
                </c:pt>
                <c:pt idx="19">
                  <c:v>1.6387927963028885</c:v>
                </c:pt>
                <c:pt idx="20">
                  <c:v>2.5216883034221453</c:v>
                </c:pt>
                <c:pt idx="21">
                  <c:v>4.2787136053367929</c:v>
                </c:pt>
                <c:pt idx="22">
                  <c:v>9.3282350916983106</c:v>
                </c:pt>
                <c:pt idx="23">
                  <c:v>18.785145043890012</c:v>
                </c:pt>
                <c:pt idx="24" formatCode="0">
                  <c:v>268640.30095458019</c:v>
                </c:pt>
              </c:numCache>
            </c:numRef>
          </c:yVal>
          <c:smooth val="0"/>
        </c:ser>
        <c:ser>
          <c:idx val="7"/>
          <c:order val="7"/>
          <c:tx>
            <c:strRef>
              <c:f>'Cheat Sheet'!$S$9</c:f>
              <c:strCache>
                <c:ptCount val="1"/>
                <c:pt idx="0">
                  <c:v>35 C</c:v>
                </c:pt>
              </c:strCache>
            </c:strRef>
          </c:tx>
          <c:spPr>
            <a:ln w="19050" cap="rnd">
              <a:solidFill>
                <a:schemeClr val="accent2">
                  <a:lumMod val="60000"/>
                </a:schemeClr>
              </a:solidFill>
              <a:prstDash val="sysDot"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'Cheat Sheet'!$B$10:$B$34</c:f>
              <c:numCache>
                <c:formatCode>General</c:formatCode>
                <c:ptCount val="25"/>
                <c:pt idx="0">
                  <c:v>99.999899999999997</c:v>
                </c:pt>
                <c:pt idx="1">
                  <c:v>99</c:v>
                </c:pt>
                <c:pt idx="2">
                  <c:v>98</c:v>
                </c:pt>
                <c:pt idx="3">
                  <c:v>97</c:v>
                </c:pt>
                <c:pt idx="4">
                  <c:v>95</c:v>
                </c:pt>
                <c:pt idx="5">
                  <c:v>90</c:v>
                </c:pt>
                <c:pt idx="6">
                  <c:v>85</c:v>
                </c:pt>
                <c:pt idx="7">
                  <c:v>80</c:v>
                </c:pt>
                <c:pt idx="8">
                  <c:v>75</c:v>
                </c:pt>
                <c:pt idx="9">
                  <c:v>70</c:v>
                </c:pt>
                <c:pt idx="10">
                  <c:v>65</c:v>
                </c:pt>
                <c:pt idx="11">
                  <c:v>60</c:v>
                </c:pt>
                <c:pt idx="12">
                  <c:v>55.000000000000007</c:v>
                </c:pt>
                <c:pt idx="13">
                  <c:v>50</c:v>
                </c:pt>
                <c:pt idx="14">
                  <c:v>45</c:v>
                </c:pt>
                <c:pt idx="15">
                  <c:v>40</c:v>
                </c:pt>
                <c:pt idx="16">
                  <c:v>35</c:v>
                </c:pt>
                <c:pt idx="17">
                  <c:v>30</c:v>
                </c:pt>
                <c:pt idx="18">
                  <c:v>25</c:v>
                </c:pt>
                <c:pt idx="19">
                  <c:v>20</c:v>
                </c:pt>
                <c:pt idx="20">
                  <c:v>15</c:v>
                </c:pt>
                <c:pt idx="21">
                  <c:v>10</c:v>
                </c:pt>
                <c:pt idx="22">
                  <c:v>5</c:v>
                </c:pt>
                <c:pt idx="23">
                  <c:v>2.5</c:v>
                </c:pt>
                <c:pt idx="24">
                  <c:v>9.9999999999999991E-5</c:v>
                </c:pt>
              </c:numCache>
            </c:numRef>
          </c:xVal>
          <c:yVal>
            <c:numRef>
              <c:f>'Cheat Sheet'!$S$10:$S$34</c:f>
              <c:numCache>
                <c:formatCode>0.00</c:formatCode>
                <c:ptCount val="25"/>
                <c:pt idx="0" formatCode="0">
                  <c:v>1436.800648746457</c:v>
                </c:pt>
                <c:pt idx="1">
                  <c:v>10.028843908301972</c:v>
                </c:pt>
                <c:pt idx="2">
                  <c:v>6.4869256220653906</c:v>
                </c:pt>
                <c:pt idx="3">
                  <c:v>4.9431143498349286</c:v>
                </c:pt>
                <c:pt idx="4">
                  <c:v>3.4170707859098912</c:v>
                </c:pt>
                <c:pt idx="5">
                  <c:v>1.9144179754070181</c:v>
                </c:pt>
                <c:pt idx="6">
                  <c:v>1.2676827289286599</c:v>
                </c:pt>
                <c:pt idx="7">
                  <c:v>0.89497307128000525</c:v>
                </c:pt>
                <c:pt idx="8">
                  <c:v>0.65320865236530068</c:v>
                </c:pt>
                <c:pt idx="9">
                  <c:v>0.48877245111898038</c:v>
                </c:pt>
                <c:pt idx="10">
                  <c:v>0.37734760793857225</c:v>
                </c:pt>
                <c:pt idx="11">
                  <c:v>0.30708152373616704</c:v>
                </c:pt>
                <c:pt idx="12">
                  <c:v>0.27262320398459128</c:v>
                </c:pt>
                <c:pt idx="13">
                  <c:v>0.27283208083790855</c:v>
                </c:pt>
                <c:pt idx="14">
                  <c:v>0.31011102580107552</c:v>
                </c:pt>
                <c:pt idx="15">
                  <c:v>0.39080444670083736</c:v>
                </c:pt>
                <c:pt idx="16">
                  <c:v>0.52679188292490187</c:v>
                </c:pt>
                <c:pt idx="17">
                  <c:v>0.73915775094220404</c:v>
                </c:pt>
                <c:pt idx="18">
                  <c:v>1.0664862693155963</c:v>
                </c:pt>
                <c:pt idx="19">
                  <c:v>1.5854671862538861</c:v>
                </c:pt>
                <c:pt idx="20">
                  <c:v>2.471537149204492</c:v>
                </c:pt>
                <c:pt idx="21">
                  <c:v>4.2347412583519048</c:v>
                </c:pt>
                <c:pt idx="22">
                  <c:v>9.3017653098681947</c:v>
                </c:pt>
                <c:pt idx="23">
                  <c:v>18.791272649582417</c:v>
                </c:pt>
                <c:pt idx="24" formatCode="0">
                  <c:v>269564.38430279144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7968"/>
        <c:axId val="439038752"/>
      </c:scatterChart>
      <c:valAx>
        <c:axId val="439037968"/>
        <c:scaling>
          <c:orientation val="minMax"/>
          <c:max val="100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8752"/>
        <c:crosses val="autoZero"/>
        <c:crossBetween val="midCat"/>
      </c:valAx>
      <c:valAx>
        <c:axId val="439038752"/>
        <c:scaling>
          <c:logBase val="10"/>
          <c:orientation val="minMax"/>
          <c:max val="1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dV/d(soc)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796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</a:t>
            </a:r>
            <a:r>
              <a:rPr lang="en-US" baseline="0"/>
              <a:t> of C</a:t>
            </a:r>
            <a:r>
              <a:rPr lang="en-US"/>
              <a:t>harge</a:t>
            </a:r>
            <a:r>
              <a:rPr lang="en-US" baseline="0"/>
              <a:t> Some LiF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3603556053441"/>
          <c:y val="6.078831186564107E-2"/>
          <c:w val="0.79765507436570426"/>
          <c:h val="0.71717597439048442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Model!#REF!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Model!#REF!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9928"/>
        <c:axId val="439040320"/>
      </c:scatterChart>
      <c:valAx>
        <c:axId val="439039928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>
            <c:manualLayout>
              <c:xMode val="edge"/>
              <c:yMode val="edge"/>
              <c:x val="0.52875110857380858"/>
              <c:y val="0.71424756876488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40320"/>
        <c:crosses val="autoZero"/>
        <c:crossBetween val="midCat"/>
        <c:majorUnit val="0.1"/>
      </c:valAx>
      <c:valAx>
        <c:axId val="439040320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VoC,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9928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244442768867301E-2"/>
          <c:y val="0.84470062435861781"/>
          <c:w val="0.97975555723113272"/>
          <c:h val="0.13093883970959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baseline="0"/>
              <a:t>Depth of Discharge Some LiF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041889925049692"/>
          <c:y val="6.5494791666666677E-2"/>
          <c:w val="0.79425240594925639"/>
          <c:h val="0.74666482119422561"/>
        </c:manualLayout>
      </c:layout>
      <c:scatterChart>
        <c:scatterStyle val="lineMarker"/>
        <c:varyColors val="0"/>
        <c:ser>
          <c:idx val="0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Curves'!$A$2:$A$15</c:f>
              <c:numCache>
                <c:formatCode>General</c:formatCode>
                <c:ptCount val="14"/>
                <c:pt idx="0">
                  <c:v>0</c:v>
                </c:pt>
                <c:pt idx="1">
                  <c:v>2</c:v>
                </c:pt>
                <c:pt idx="2">
                  <c:v>5</c:v>
                </c:pt>
                <c:pt idx="3">
                  <c:v>10</c:v>
                </c:pt>
                <c:pt idx="4">
                  <c:v>20</c:v>
                </c:pt>
                <c:pt idx="5">
                  <c:v>30</c:v>
                </c:pt>
                <c:pt idx="6">
                  <c:v>40</c:v>
                </c:pt>
                <c:pt idx="7">
                  <c:v>50</c:v>
                </c:pt>
                <c:pt idx="8">
                  <c:v>60</c:v>
                </c:pt>
                <c:pt idx="9">
                  <c:v>70</c:v>
                </c:pt>
                <c:pt idx="10">
                  <c:v>80</c:v>
                </c:pt>
                <c:pt idx="11">
                  <c:v>90</c:v>
                </c:pt>
                <c:pt idx="12">
                  <c:v>95</c:v>
                </c:pt>
                <c:pt idx="13">
                  <c:v>100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4832"/>
        <c:axId val="439041496"/>
      </c:scatterChart>
      <c:valAx>
        <c:axId val="439034832"/>
        <c:scaling>
          <c:orientation val="minMax"/>
          <c:max val="10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DoD, %</a:t>
                </a:r>
              </a:p>
            </c:rich>
          </c:tx>
          <c:layout>
            <c:manualLayout>
              <c:xMode val="edge"/>
              <c:yMode val="edge"/>
              <c:x val="0.54211005882329211"/>
              <c:y val="0.71753403871391075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41496"/>
        <c:crosses val="autoZero"/>
        <c:crossBetween val="midCat"/>
        <c:majorUnit val="10"/>
      </c:valAx>
      <c:valAx>
        <c:axId val="439041496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100" b="0" i="0" baseline="0">
                    <a:effectLst/>
                  </a:rPr>
                  <a:t>VoC, Volts</a:t>
                </a:r>
                <a:endParaRPr lang="en-US" sz="1100">
                  <a:effectLst/>
                </a:endParaRP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4832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5.5555555555555552E-2"/>
          <c:y val="0.87901424431321085"/>
          <c:w val="0.92022690712048105"/>
          <c:h val="0.12098575568678915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'Cap Curves'!$T$3:$T$4</c:f>
              <c:strCache>
                <c:ptCount val="2"/>
                <c:pt idx="0">
                  <c:v>DoD @ 12.5 v</c:v>
                </c:pt>
                <c:pt idx="1">
                  <c:v>--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5.1592300962379704E-2"/>
                  <c:y val="0.1986574074074073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'Cap Curves'!$S$5:$S$10</c:f>
              <c:numCache>
                <c:formatCode>General</c:formatCode>
                <c:ptCount val="6"/>
                <c:pt idx="0">
                  <c:v>0</c:v>
                </c:pt>
                <c:pt idx="1">
                  <c:v>10</c:v>
                </c:pt>
                <c:pt idx="2">
                  <c:v>20</c:v>
                </c:pt>
                <c:pt idx="3">
                  <c:v>30</c:v>
                </c:pt>
                <c:pt idx="4">
                  <c:v>40</c:v>
                </c:pt>
                <c:pt idx="5">
                  <c:v>50</c:v>
                </c:pt>
              </c:numCache>
            </c:numRef>
          </c:xVal>
          <c:yVal>
            <c:numRef>
              <c:f>'Cap Curves'!$T$5:$T$10</c:f>
              <c:numCache>
                <c:formatCode>General</c:formatCode>
                <c:ptCount val="6"/>
                <c:pt idx="0">
                  <c:v>50</c:v>
                </c:pt>
                <c:pt idx="1">
                  <c:v>60</c:v>
                </c:pt>
                <c:pt idx="2">
                  <c:v>65</c:v>
                </c:pt>
                <c:pt idx="3">
                  <c:v>78</c:v>
                </c:pt>
                <c:pt idx="4">
                  <c:v>81</c:v>
                </c:pt>
                <c:pt idx="5">
                  <c:v>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6400"/>
        <c:axId val="439041104"/>
      </c:scatterChart>
      <c:valAx>
        <c:axId val="4390364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41104"/>
        <c:crosses val="autoZero"/>
        <c:crossBetween val="midCat"/>
      </c:valAx>
      <c:valAx>
        <c:axId val="4390411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640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-10 deg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6207509611757245"/>
          <c:y val="7.6549707602339215E-2"/>
          <c:w val="0.7753357091831411"/>
          <c:h val="0.6540152875627388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Build'!$B$14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Build'!$B$15:$B$28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Build'!$C$14</c:f>
              <c:strCache>
                <c:ptCount val="1"/>
                <c:pt idx="0">
                  <c:v>VoC-10fit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Build'!$C$15:$C$28</c:f>
              <c:numCache>
                <c:formatCode>General</c:formatCode>
                <c:ptCount val="14"/>
                <c:pt idx="0">
                  <c:v>13.247621375008922</c:v>
                </c:pt>
                <c:pt idx="1">
                  <c:v>12.625737933744901</c:v>
                </c:pt>
                <c:pt idx="2">
                  <c:v>12.358733953297351</c:v>
                </c:pt>
                <c:pt idx="3">
                  <c:v>12.124128154813484</c:v>
                </c:pt>
                <c:pt idx="4">
                  <c:v>11.898031230846634</c:v>
                </c:pt>
                <c:pt idx="5">
                  <c:v>11.79406963880048</c:v>
                </c:pt>
                <c:pt idx="6">
                  <c:v>11.737704849502094</c:v>
                </c:pt>
                <c:pt idx="7">
                  <c:v>11.693106641659902</c:v>
                </c:pt>
                <c:pt idx="8">
                  <c:v>11.630866222328329</c:v>
                </c:pt>
                <c:pt idx="9">
                  <c:v>11.513641466843254</c:v>
                </c:pt>
                <c:pt idx="10">
                  <c:v>11.272522352376143</c:v>
                </c:pt>
                <c:pt idx="11">
                  <c:v>10.71123010457968</c:v>
                </c:pt>
                <c:pt idx="12">
                  <c:v>10.056259937733962</c:v>
                </c:pt>
                <c:pt idx="13">
                  <c:v>6.5187419397108455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9144"/>
        <c:axId val="439042280"/>
      </c:scatterChart>
      <c:valAx>
        <c:axId val="4390391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42280"/>
        <c:crosses val="autoZero"/>
        <c:crossBetween val="midCat"/>
      </c:valAx>
      <c:valAx>
        <c:axId val="439042280"/>
        <c:scaling>
          <c:orientation val="minMax"/>
          <c:max val="14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9144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20 deg C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Build'!$K$14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Build'!$K$15:$K$28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Build'!$L$14</c:f>
              <c:strCache>
                <c:ptCount val="1"/>
                <c:pt idx="0">
                  <c:v>VoC20fit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Build'!$L$15:$L$28</c:f>
              <c:numCache>
                <c:formatCode>General</c:formatCode>
                <c:ptCount val="14"/>
                <c:pt idx="0">
                  <c:v>13.651276899592036</c:v>
                </c:pt>
                <c:pt idx="1">
                  <c:v>13.32591936036253</c:v>
                </c:pt>
                <c:pt idx="2">
                  <c:v>13.174887714615567</c:v>
                </c:pt>
                <c:pt idx="3">
                  <c:v>13.030606512523184</c:v>
                </c:pt>
                <c:pt idx="4">
                  <c:v>12.868875635416604</c:v>
                </c:pt>
                <c:pt idx="5">
                  <c:v>12.773954775560256</c:v>
                </c:pt>
                <c:pt idx="6">
                  <c:v>12.707963337013783</c:v>
                </c:pt>
                <c:pt idx="7">
                  <c:v>12.65259697660499</c:v>
                </c:pt>
                <c:pt idx="8">
                  <c:v>12.592805101403084</c:v>
                </c:pt>
                <c:pt idx="9">
                  <c:v>12.509533719658675</c:v>
                </c:pt>
                <c:pt idx="10">
                  <c:v>12.367777022112602</c:v>
                </c:pt>
                <c:pt idx="11">
                  <c:v>12.068146279937437</c:v>
                </c:pt>
                <c:pt idx="12">
                  <c:v>11.73054179566167</c:v>
                </c:pt>
                <c:pt idx="13">
                  <c:v>9.9367442821549403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39035224"/>
        <c:axId val="439036792"/>
      </c:scatterChart>
      <c:valAx>
        <c:axId val="43903522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6792"/>
        <c:crosses val="autoZero"/>
        <c:crossBetween val="midCat"/>
      </c:valAx>
      <c:valAx>
        <c:axId val="439036792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903522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0 deg C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Build'!$E$14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Build'!$E$15:$E$28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  <c:pt idx="12">
                  <c:v>0</c:v>
                </c:pt>
                <c:pt idx="13">
                  <c:v>0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Build'!$F$14</c:f>
              <c:strCache>
                <c:ptCount val="1"/>
                <c:pt idx="0">
                  <c:v>VoC0fit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Build'!$F$15:$F$28</c:f>
              <c:numCache>
                <c:formatCode>General</c:formatCode>
                <c:ptCount val="14"/>
                <c:pt idx="0">
                  <c:v>13.953284269215393</c:v>
                </c:pt>
                <c:pt idx="1">
                  <c:v>13.33140082795137</c:v>
                </c:pt>
                <c:pt idx="2">
                  <c:v>13.064396847503822</c:v>
                </c:pt>
                <c:pt idx="3">
                  <c:v>12.829791049019956</c:v>
                </c:pt>
                <c:pt idx="4">
                  <c:v>12.603694125053105</c:v>
                </c:pt>
                <c:pt idx="5">
                  <c:v>12.499732533006949</c:v>
                </c:pt>
                <c:pt idx="6">
                  <c:v>12.443367743708565</c:v>
                </c:pt>
                <c:pt idx="7">
                  <c:v>12.398769535866373</c:v>
                </c:pt>
                <c:pt idx="8">
                  <c:v>12.336529116534802</c:v>
                </c:pt>
                <c:pt idx="9">
                  <c:v>12.219304361049723</c:v>
                </c:pt>
                <c:pt idx="10">
                  <c:v>11.978185246582612</c:v>
                </c:pt>
                <c:pt idx="11">
                  <c:v>11.41689299878615</c:v>
                </c:pt>
                <c:pt idx="12">
                  <c:v>10.761922831940431</c:v>
                </c:pt>
                <c:pt idx="13">
                  <c:v>7.2244048339173172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5784"/>
        <c:axId val="442231472"/>
      </c:scatterChart>
      <c:valAx>
        <c:axId val="44223578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1472"/>
        <c:crosses val="autoZero"/>
        <c:crossBetween val="midCat"/>
      </c:valAx>
      <c:valAx>
        <c:axId val="442231472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578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10 deg C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346956630421198"/>
          <c:y val="9.5828664691767332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Build'!$H$14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Build'!$H$15:$H$28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Build'!$I$14</c:f>
              <c:strCache>
                <c:ptCount val="1"/>
                <c:pt idx="0">
                  <c:v>VoC10fit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Build'!$I$15:$I$28</c:f>
              <c:numCache>
                <c:formatCode>General</c:formatCode>
                <c:ptCount val="14"/>
                <c:pt idx="0">
                  <c:v>14.070119209456456</c:v>
                </c:pt>
                <c:pt idx="1">
                  <c:v>13.448235768192433</c:v>
                </c:pt>
                <c:pt idx="2">
                  <c:v>13.181231787744885</c:v>
                </c:pt>
                <c:pt idx="3">
                  <c:v>12.946625989261019</c:v>
                </c:pt>
                <c:pt idx="4">
                  <c:v>12.720529065294167</c:v>
                </c:pt>
                <c:pt idx="5">
                  <c:v>12.616567473248011</c:v>
                </c:pt>
                <c:pt idx="6">
                  <c:v>12.560202683949628</c:v>
                </c:pt>
                <c:pt idx="7">
                  <c:v>12.515604476107436</c:v>
                </c:pt>
                <c:pt idx="8">
                  <c:v>12.453364056775865</c:v>
                </c:pt>
                <c:pt idx="9">
                  <c:v>12.336139301290785</c:v>
                </c:pt>
                <c:pt idx="10">
                  <c:v>12.095020186823675</c:v>
                </c:pt>
                <c:pt idx="11">
                  <c:v>11.533727939027212</c:v>
                </c:pt>
                <c:pt idx="12">
                  <c:v>10.878757772181494</c:v>
                </c:pt>
                <c:pt idx="13">
                  <c:v>7.3412397741583799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8920"/>
        <c:axId val="442232648"/>
      </c:scatterChart>
      <c:valAx>
        <c:axId val="442238920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2648"/>
        <c:crosses val="autoZero"/>
        <c:crossBetween val="midCat"/>
      </c:valAx>
      <c:valAx>
        <c:axId val="442232648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8920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50 deg C</a:t>
            </a:r>
            <a:endParaRPr lang="en-US" sz="1400">
              <a:effectLst/>
            </a:endParaRPr>
          </a:p>
        </c:rich>
      </c:tx>
      <c:layout>
        <c:manualLayout>
          <c:xMode val="edge"/>
          <c:yMode val="edge"/>
          <c:x val="0.30196566338298619"/>
          <c:y val="1.949317738791422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Build'!$T$14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Build'!$T$15:$T$28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Build'!$U$14</c:f>
              <c:strCache>
                <c:ptCount val="1"/>
                <c:pt idx="0">
                  <c:v>VoC50fit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Build'!$U$15:$U$28</c:f>
              <c:numCache>
                <c:formatCode>General</c:formatCode>
                <c:ptCount val="14"/>
                <c:pt idx="0">
                  <c:v>13.624053515884519</c:v>
                </c:pt>
                <c:pt idx="1">
                  <c:v>13.371313929135514</c:v>
                </c:pt>
                <c:pt idx="2">
                  <c:v>13.257989878502613</c:v>
                </c:pt>
                <c:pt idx="3">
                  <c:v>13.154253690818782</c:v>
                </c:pt>
                <c:pt idx="4">
                  <c:v>13.048426735079993</c:v>
                </c:pt>
                <c:pt idx="5">
                  <c:v>12.997426724505619</c:v>
                </c:pt>
                <c:pt idx="6">
                  <c:v>12.971312912373676</c:v>
                </c:pt>
                <c:pt idx="7">
                  <c:v>12.955576936829443</c:v>
                </c:pt>
                <c:pt idx="8">
                  <c:v>12.938278089573135</c:v>
                </c:pt>
                <c:pt idx="9">
                  <c:v>12.904323459173444</c:v>
                </c:pt>
                <c:pt idx="10">
                  <c:v>12.826050649375436</c:v>
                </c:pt>
                <c:pt idx="11">
                  <c:v>12.625056630335575</c:v>
                </c:pt>
                <c:pt idx="12">
                  <c:v>12.377172654874936</c:v>
                </c:pt>
                <c:pt idx="13">
                  <c:v>10.981614391065904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7744"/>
        <c:axId val="442236176"/>
      </c:scatterChart>
      <c:valAx>
        <c:axId val="442237744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6176"/>
        <c:crosses val="autoZero"/>
        <c:crossBetween val="midCat"/>
      </c:valAx>
      <c:valAx>
        <c:axId val="442236176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7744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30 deg C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58073422641"/>
          <c:y val="3.734913252802463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Build'!$N$14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Build'!$N$15:$N$28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Build'!$O$14</c:f>
              <c:strCache>
                <c:ptCount val="1"/>
                <c:pt idx="0">
                  <c:v>VoC30fit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Build'!$O$15:$O$28</c:f>
              <c:numCache>
                <c:formatCode>General</c:formatCode>
                <c:ptCount val="14"/>
                <c:pt idx="0">
                  <c:v>13.661752674608037</c:v>
                </c:pt>
                <c:pt idx="1">
                  <c:v>13.353751841677095</c:v>
                </c:pt>
                <c:pt idx="2">
                  <c:v>13.214412746343285</c:v>
                </c:pt>
                <c:pt idx="3">
                  <c:v>13.085128044822085</c:v>
                </c:pt>
                <c:pt idx="4">
                  <c:v>12.948318063358611</c:v>
                </c:pt>
                <c:pt idx="5">
                  <c:v>12.875904887578359</c:v>
                </c:pt>
                <c:pt idx="6">
                  <c:v>12.831606888470063</c:v>
                </c:pt>
                <c:pt idx="7">
                  <c:v>12.797884176747626</c:v>
                </c:pt>
                <c:pt idx="8">
                  <c:v>12.760312443751097</c:v>
                </c:pt>
                <c:pt idx="9">
                  <c:v>12.700635400087616</c:v>
                </c:pt>
                <c:pt idx="10">
                  <c:v>12.585326090090515</c:v>
                </c:pt>
                <c:pt idx="11">
                  <c:v>12.31922199096425</c:v>
                </c:pt>
                <c:pt idx="12">
                  <c:v>12.006517216642484</c:v>
                </c:pt>
                <c:pt idx="13">
                  <c:v>10.299613848224887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0688"/>
        <c:axId val="442231080"/>
      </c:scatterChart>
      <c:valAx>
        <c:axId val="44223068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1080"/>
        <c:crosses val="autoZero"/>
        <c:crossBetween val="midCat"/>
      </c:valAx>
      <c:valAx>
        <c:axId val="442231080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068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baseline="0">
                <a:effectLst/>
              </a:rPr>
              <a:t>40 deg C</a:t>
            </a:r>
            <a:endParaRPr lang="en-US" sz="14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578994325314079"/>
          <c:y val="4.3846629560915298E-2"/>
          <c:w val="0.75461703650680023"/>
          <c:h val="0.67122210373054014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Build'!$Q$14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Build'!$Q$15:$Q$28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Build'!$R$14</c:f>
              <c:strCache>
                <c:ptCount val="1"/>
                <c:pt idx="0">
                  <c:v>VoC40fit</c:v>
                </c:pt>
              </c:strCache>
            </c:strRef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Build'!$R$15:$R$28</c:f>
              <c:numCache>
                <c:formatCode>General</c:formatCode>
                <c:ptCount val="14"/>
                <c:pt idx="0">
                  <c:v>13.704112851056955</c:v>
                </c:pt>
                <c:pt idx="1">
                  <c:v>13.396454479272043</c:v>
                </c:pt>
                <c:pt idx="2">
                  <c:v>13.259843363933317</c:v>
                </c:pt>
                <c:pt idx="3">
                  <c:v>13.135798657924287</c:v>
                </c:pt>
                <c:pt idx="4">
                  <c:v>13.010251731572101</c:v>
                </c:pt>
                <c:pt idx="5">
                  <c:v>12.949474177939177</c:v>
                </c:pt>
                <c:pt idx="6">
                  <c:v>12.916937509273122</c:v>
                </c:pt>
                <c:pt idx="7">
                  <c:v>12.894983815007649</c:v>
                </c:pt>
                <c:pt idx="8">
                  <c:v>12.869092096711494</c:v>
                </c:pt>
                <c:pt idx="9">
                  <c:v>12.820882910600099</c:v>
                </c:pt>
                <c:pt idx="10">
                  <c:v>12.716600986130778</c:v>
                </c:pt>
                <c:pt idx="11">
                  <c:v>12.460431331790987</c:v>
                </c:pt>
                <c:pt idx="12">
                  <c:v>12.151437632178304</c:v>
                </c:pt>
                <c:pt idx="13">
                  <c:v>10.438523136048317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4608"/>
        <c:axId val="442239704"/>
      </c:scatterChart>
      <c:valAx>
        <c:axId val="442234608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9704"/>
        <c:crosses val="autoZero"/>
        <c:crossBetween val="midCat"/>
      </c:valAx>
      <c:valAx>
        <c:axId val="442239704"/>
        <c:scaling>
          <c:orientation val="minMax"/>
          <c:max val="14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4608"/>
        <c:crosses val="autoZero"/>
        <c:crossBetween val="midCat"/>
        <c:majorUnit val="1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 Coefficients vs OAT, C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8233814523184605E-2"/>
          <c:y val="0.15319444444444447"/>
          <c:w val="0.90787729658792649"/>
          <c:h val="0.6714577865266842"/>
        </c:manualLayout>
      </c:layout>
      <c:lineChart>
        <c:grouping val="standard"/>
        <c:varyColors val="0"/>
        <c:ser>
          <c:idx val="4"/>
          <c:order val="0"/>
          <c:tx>
            <c:strRef>
              <c:f>'Model Build'!$A$9</c:f>
              <c:strCache>
                <c:ptCount val="1"/>
                <c:pt idx="0">
                  <c:v>a</c:v>
                </c:pt>
              </c:strCache>
            </c:strRef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Build'!$B$9:$H$9</c:f>
              <c:numCache>
                <c:formatCode>General</c:formatCode>
                <c:ptCount val="7"/>
                <c:pt idx="0">
                  <c:v>3.3483399767315909</c:v>
                </c:pt>
                <c:pt idx="1">
                  <c:v>3.5247557002832086</c:v>
                </c:pt>
                <c:pt idx="2">
                  <c:v>3.5539644353434743</c:v>
                </c:pt>
                <c:pt idx="3">
                  <c:v>2.7782710208104895</c:v>
                </c:pt>
                <c:pt idx="4">
                  <c:v>2.8069059976624819</c:v>
                </c:pt>
                <c:pt idx="5">
                  <c:v>2.8512557761146389</c:v>
                </c:pt>
                <c:pt idx="6">
                  <c:v>2.7310417617626701</c:v>
                </c:pt>
              </c:numCache>
            </c:numRef>
          </c:val>
          <c:smooth val="0"/>
        </c:ser>
        <c:ser>
          <c:idx val="3"/>
          <c:order val="1"/>
          <c:tx>
            <c:strRef>
              <c:f>'Model Build'!$A$8</c:f>
              <c:strCache>
                <c:ptCount val="1"/>
                <c:pt idx="0">
                  <c:v>b</c:v>
                </c:pt>
              </c:strCache>
            </c:strRef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Build'!$B$8:$H$8</c:f>
              <c:numCache>
                <c:formatCode>General</c:formatCode>
                <c:ptCount val="7"/>
                <c:pt idx="0">
                  <c:v>-1.143251503157807</c:v>
                </c:pt>
                <c:pt idx="1">
                  <c:v>-1.143251503157807</c:v>
                </c:pt>
                <c:pt idx="2">
                  <c:v>-1.143251503157807</c:v>
                </c:pt>
                <c:pt idx="3">
                  <c:v>-0.57795540028306935</c:v>
                </c:pt>
                <c:pt idx="4">
                  <c:v>-0.55329798798696006</c:v>
                </c:pt>
                <c:pt idx="5">
                  <c:v>-0.55710475700016193</c:v>
                </c:pt>
                <c:pt idx="6">
                  <c:v>-0.45551626024511238</c:v>
                </c:pt>
              </c:numCache>
            </c:numRef>
          </c:val>
          <c:smooth val="0"/>
        </c:ser>
        <c:ser>
          <c:idx val="5"/>
          <c:order val="2"/>
          <c:tx>
            <c:strRef>
              <c:f>'Model Build'!$A$10</c:f>
              <c:strCache>
                <c:ptCount val="1"/>
                <c:pt idx="0">
                  <c:v>c</c:v>
                </c:pt>
              </c:strCache>
            </c:strRef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'Model Build'!$B$6:$H$6</c:f>
              <c:numCache>
                <c:formatCode>General</c:formatCode>
                <c:ptCount val="7"/>
                <c:pt idx="0">
                  <c:v>-10</c:v>
                </c:pt>
                <c:pt idx="1">
                  <c:v>0</c:v>
                </c:pt>
                <c:pt idx="2">
                  <c:v>10</c:v>
                </c:pt>
                <c:pt idx="3">
                  <c:v>20</c:v>
                </c:pt>
                <c:pt idx="4">
                  <c:v>30</c:v>
                </c:pt>
                <c:pt idx="5">
                  <c:v>40</c:v>
                </c:pt>
                <c:pt idx="6">
                  <c:v>50</c:v>
                </c:pt>
              </c:numCache>
            </c:numRef>
          </c:cat>
          <c:val>
            <c:numRef>
              <c:f>'Model Build'!$B$10:$H$10</c:f>
              <c:numCache>
                <c:formatCode>General</c:formatCode>
                <c:ptCount val="7"/>
                <c:pt idx="0">
                  <c:v>-1.7704346329793603</c:v>
                </c:pt>
                <c:pt idx="1">
                  <c:v>-1.7704346329793603</c:v>
                </c:pt>
                <c:pt idx="2">
                  <c:v>-1.7704346329793603</c:v>
                </c:pt>
                <c:pt idx="3">
                  <c:v>-1.0994517959124805</c:v>
                </c:pt>
                <c:pt idx="4">
                  <c:v>-1.1254678290104727</c:v>
                </c:pt>
                <c:pt idx="5">
                  <c:v>-1.1592275633503999</c:v>
                </c:pt>
                <c:pt idx="6">
                  <c:v>-1.0590283827915401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442240488"/>
        <c:axId val="442241664"/>
      </c:lineChart>
      <c:catAx>
        <c:axId val="4422404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41664"/>
        <c:crosses val="autoZero"/>
        <c:auto val="1"/>
        <c:lblAlgn val="ctr"/>
        <c:lblOffset val="100"/>
        <c:noMultiLvlLbl val="0"/>
      </c:catAx>
      <c:valAx>
        <c:axId val="4422416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4048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Model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7.3627665120627045E-2"/>
          <c:y val="6.3366703744901748E-2"/>
          <c:w val="0.87420338510768347"/>
          <c:h val="0.68283832429733826"/>
        </c:manualLayout>
      </c:layout>
      <c:scatterChart>
        <c:scatterStyle val="lineMarker"/>
        <c:varyColors val="0"/>
        <c:ser>
          <c:idx val="0"/>
          <c:order val="0"/>
          <c:tx>
            <c:strRef>
              <c:f>'Model Build'!$C$14</c:f>
              <c:strCache>
                <c:ptCount val="1"/>
                <c:pt idx="0">
                  <c:v>VoC-10fit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Build'!$C$15:$C$28</c:f>
              <c:numCache>
                <c:formatCode>General</c:formatCode>
                <c:ptCount val="14"/>
                <c:pt idx="0">
                  <c:v>13.247621375008922</c:v>
                </c:pt>
                <c:pt idx="1">
                  <c:v>12.625737933744901</c:v>
                </c:pt>
                <c:pt idx="2">
                  <c:v>12.358733953297351</c:v>
                </c:pt>
                <c:pt idx="3">
                  <c:v>12.124128154813484</c:v>
                </c:pt>
                <c:pt idx="4">
                  <c:v>11.898031230846634</c:v>
                </c:pt>
                <c:pt idx="5">
                  <c:v>11.79406963880048</c:v>
                </c:pt>
                <c:pt idx="6">
                  <c:v>11.737704849502094</c:v>
                </c:pt>
                <c:pt idx="7">
                  <c:v>11.693106641659902</c:v>
                </c:pt>
                <c:pt idx="8">
                  <c:v>11.630866222328329</c:v>
                </c:pt>
                <c:pt idx="9">
                  <c:v>11.513641466843254</c:v>
                </c:pt>
                <c:pt idx="10">
                  <c:v>11.272522352376143</c:v>
                </c:pt>
                <c:pt idx="11">
                  <c:v>10.71123010457968</c:v>
                </c:pt>
                <c:pt idx="12">
                  <c:v>10.056259937733962</c:v>
                </c:pt>
                <c:pt idx="13">
                  <c:v>6.5187419397108455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'Model Build'!$F$14</c:f>
              <c:strCache>
                <c:ptCount val="1"/>
                <c:pt idx="0">
                  <c:v>VoC0fit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Build'!$F$15:$F$28</c:f>
              <c:numCache>
                <c:formatCode>General</c:formatCode>
                <c:ptCount val="14"/>
                <c:pt idx="0">
                  <c:v>13.953284269215393</c:v>
                </c:pt>
                <c:pt idx="1">
                  <c:v>13.33140082795137</c:v>
                </c:pt>
                <c:pt idx="2">
                  <c:v>13.064396847503822</c:v>
                </c:pt>
                <c:pt idx="3">
                  <c:v>12.829791049019956</c:v>
                </c:pt>
                <c:pt idx="4">
                  <c:v>12.603694125053105</c:v>
                </c:pt>
                <c:pt idx="5">
                  <c:v>12.499732533006949</c:v>
                </c:pt>
                <c:pt idx="6">
                  <c:v>12.443367743708565</c:v>
                </c:pt>
                <c:pt idx="7">
                  <c:v>12.398769535866373</c:v>
                </c:pt>
                <c:pt idx="8">
                  <c:v>12.336529116534802</c:v>
                </c:pt>
                <c:pt idx="9">
                  <c:v>12.219304361049723</c:v>
                </c:pt>
                <c:pt idx="10">
                  <c:v>11.978185246582612</c:v>
                </c:pt>
                <c:pt idx="11">
                  <c:v>11.41689299878615</c:v>
                </c:pt>
                <c:pt idx="12">
                  <c:v>10.761922831940431</c:v>
                </c:pt>
                <c:pt idx="13">
                  <c:v>7.2244048339173172</c:v>
                </c:pt>
              </c:numCache>
            </c:numRef>
          </c:yVal>
          <c:smooth val="0"/>
        </c:ser>
        <c:ser>
          <c:idx val="2"/>
          <c:order val="2"/>
          <c:tx>
            <c:strRef>
              <c:f>'Model Build'!$I$14</c:f>
              <c:strCache>
                <c:ptCount val="1"/>
                <c:pt idx="0">
                  <c:v>VoC10fit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Build'!$I$15:$I$28</c:f>
              <c:numCache>
                <c:formatCode>General</c:formatCode>
                <c:ptCount val="14"/>
                <c:pt idx="0">
                  <c:v>14.070119209456456</c:v>
                </c:pt>
                <c:pt idx="1">
                  <c:v>13.448235768192433</c:v>
                </c:pt>
                <c:pt idx="2">
                  <c:v>13.181231787744885</c:v>
                </c:pt>
                <c:pt idx="3">
                  <c:v>12.946625989261019</c:v>
                </c:pt>
                <c:pt idx="4">
                  <c:v>12.720529065294167</c:v>
                </c:pt>
                <c:pt idx="5">
                  <c:v>12.616567473248011</c:v>
                </c:pt>
                <c:pt idx="6">
                  <c:v>12.560202683949628</c:v>
                </c:pt>
                <c:pt idx="7">
                  <c:v>12.515604476107436</c:v>
                </c:pt>
                <c:pt idx="8">
                  <c:v>12.453364056775865</c:v>
                </c:pt>
                <c:pt idx="9">
                  <c:v>12.336139301290785</c:v>
                </c:pt>
                <c:pt idx="10">
                  <c:v>12.095020186823675</c:v>
                </c:pt>
                <c:pt idx="11">
                  <c:v>11.533727939027212</c:v>
                </c:pt>
                <c:pt idx="12">
                  <c:v>10.878757772181494</c:v>
                </c:pt>
                <c:pt idx="13">
                  <c:v>7.3412397741583799</c:v>
                </c:pt>
              </c:numCache>
            </c:numRef>
          </c:yVal>
          <c:smooth val="0"/>
        </c:ser>
        <c:ser>
          <c:idx val="3"/>
          <c:order val="3"/>
          <c:tx>
            <c:strRef>
              <c:f>'Model Build'!$L$14</c:f>
              <c:strCache>
                <c:ptCount val="1"/>
                <c:pt idx="0">
                  <c:v>VoC20fit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Build'!$L$15:$L$28</c:f>
              <c:numCache>
                <c:formatCode>General</c:formatCode>
                <c:ptCount val="14"/>
                <c:pt idx="0">
                  <c:v>13.651276899592036</c:v>
                </c:pt>
                <c:pt idx="1">
                  <c:v>13.32591936036253</c:v>
                </c:pt>
                <c:pt idx="2">
                  <c:v>13.174887714615567</c:v>
                </c:pt>
                <c:pt idx="3">
                  <c:v>13.030606512523184</c:v>
                </c:pt>
                <c:pt idx="4">
                  <c:v>12.868875635416604</c:v>
                </c:pt>
                <c:pt idx="5">
                  <c:v>12.773954775560256</c:v>
                </c:pt>
                <c:pt idx="6">
                  <c:v>12.707963337013783</c:v>
                </c:pt>
                <c:pt idx="7">
                  <c:v>12.65259697660499</c:v>
                </c:pt>
                <c:pt idx="8">
                  <c:v>12.592805101403084</c:v>
                </c:pt>
                <c:pt idx="9">
                  <c:v>12.509533719658675</c:v>
                </c:pt>
                <c:pt idx="10">
                  <c:v>12.367777022112602</c:v>
                </c:pt>
                <c:pt idx="11">
                  <c:v>12.068146279937437</c:v>
                </c:pt>
                <c:pt idx="12">
                  <c:v>11.73054179566167</c:v>
                </c:pt>
                <c:pt idx="13">
                  <c:v>9.9367442821549403</c:v>
                </c:pt>
              </c:numCache>
            </c:numRef>
          </c:yVal>
          <c:smooth val="0"/>
        </c:ser>
        <c:ser>
          <c:idx val="4"/>
          <c:order val="4"/>
          <c:tx>
            <c:strRef>
              <c:f>'Model Build'!$O$14</c:f>
              <c:strCache>
                <c:ptCount val="1"/>
                <c:pt idx="0">
                  <c:v>VoC30fit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Build'!$O$15:$O$28</c:f>
              <c:numCache>
                <c:formatCode>General</c:formatCode>
                <c:ptCount val="14"/>
                <c:pt idx="0">
                  <c:v>13.661752674608037</c:v>
                </c:pt>
                <c:pt idx="1">
                  <c:v>13.353751841677095</c:v>
                </c:pt>
                <c:pt idx="2">
                  <c:v>13.214412746343285</c:v>
                </c:pt>
                <c:pt idx="3">
                  <c:v>13.085128044822085</c:v>
                </c:pt>
                <c:pt idx="4">
                  <c:v>12.948318063358611</c:v>
                </c:pt>
                <c:pt idx="5">
                  <c:v>12.875904887578359</c:v>
                </c:pt>
                <c:pt idx="6">
                  <c:v>12.831606888470063</c:v>
                </c:pt>
                <c:pt idx="7">
                  <c:v>12.797884176747626</c:v>
                </c:pt>
                <c:pt idx="8">
                  <c:v>12.760312443751097</c:v>
                </c:pt>
                <c:pt idx="9">
                  <c:v>12.700635400087616</c:v>
                </c:pt>
                <c:pt idx="10">
                  <c:v>12.585326090090515</c:v>
                </c:pt>
                <c:pt idx="11">
                  <c:v>12.31922199096425</c:v>
                </c:pt>
                <c:pt idx="12">
                  <c:v>12.006517216642484</c:v>
                </c:pt>
                <c:pt idx="13">
                  <c:v>10.299613848224887</c:v>
                </c:pt>
              </c:numCache>
            </c:numRef>
          </c:yVal>
          <c:smooth val="0"/>
        </c:ser>
        <c:ser>
          <c:idx val="5"/>
          <c:order val="5"/>
          <c:tx>
            <c:strRef>
              <c:f>'Model Build'!$R$14</c:f>
              <c:strCache>
                <c:ptCount val="1"/>
                <c:pt idx="0">
                  <c:v>VoC40fit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Build'!$R$15:$R$28</c:f>
              <c:numCache>
                <c:formatCode>General</c:formatCode>
                <c:ptCount val="14"/>
                <c:pt idx="0">
                  <c:v>13.704112851056955</c:v>
                </c:pt>
                <c:pt idx="1">
                  <c:v>13.396454479272043</c:v>
                </c:pt>
                <c:pt idx="2">
                  <c:v>13.259843363933317</c:v>
                </c:pt>
                <c:pt idx="3">
                  <c:v>13.135798657924287</c:v>
                </c:pt>
                <c:pt idx="4">
                  <c:v>13.010251731572101</c:v>
                </c:pt>
                <c:pt idx="5">
                  <c:v>12.949474177939177</c:v>
                </c:pt>
                <c:pt idx="6">
                  <c:v>12.916937509273122</c:v>
                </c:pt>
                <c:pt idx="7">
                  <c:v>12.894983815007649</c:v>
                </c:pt>
                <c:pt idx="8">
                  <c:v>12.869092096711494</c:v>
                </c:pt>
                <c:pt idx="9">
                  <c:v>12.820882910600099</c:v>
                </c:pt>
                <c:pt idx="10">
                  <c:v>12.716600986130778</c:v>
                </c:pt>
                <c:pt idx="11">
                  <c:v>12.460431331790987</c:v>
                </c:pt>
                <c:pt idx="12">
                  <c:v>12.151437632178304</c:v>
                </c:pt>
                <c:pt idx="13">
                  <c:v>10.438523136048317</c:v>
                </c:pt>
              </c:numCache>
            </c:numRef>
          </c:yVal>
          <c:smooth val="0"/>
        </c:ser>
        <c:ser>
          <c:idx val="6"/>
          <c:order val="6"/>
          <c:tx>
            <c:strRef>
              <c:f>'Model Build'!$U$14</c:f>
              <c:strCache>
                <c:ptCount val="1"/>
                <c:pt idx="0">
                  <c:v>VoC50fit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'Model Build'!$U$15:$U$28</c:f>
              <c:numCache>
                <c:formatCode>General</c:formatCode>
                <c:ptCount val="14"/>
                <c:pt idx="0">
                  <c:v>13.624053515884519</c:v>
                </c:pt>
                <c:pt idx="1">
                  <c:v>13.371313929135514</c:v>
                </c:pt>
                <c:pt idx="2">
                  <c:v>13.257989878502613</c:v>
                </c:pt>
                <c:pt idx="3">
                  <c:v>13.154253690818782</c:v>
                </c:pt>
                <c:pt idx="4">
                  <c:v>13.048426735079993</c:v>
                </c:pt>
                <c:pt idx="5">
                  <c:v>12.997426724505619</c:v>
                </c:pt>
                <c:pt idx="6">
                  <c:v>12.971312912373676</c:v>
                </c:pt>
                <c:pt idx="7">
                  <c:v>12.955576936829443</c:v>
                </c:pt>
                <c:pt idx="8">
                  <c:v>12.938278089573135</c:v>
                </c:pt>
                <c:pt idx="9">
                  <c:v>12.904323459173444</c:v>
                </c:pt>
                <c:pt idx="10">
                  <c:v>12.826050649375436</c:v>
                </c:pt>
                <c:pt idx="11">
                  <c:v>12.625056630335575</c:v>
                </c:pt>
                <c:pt idx="12">
                  <c:v>12.377172654874936</c:v>
                </c:pt>
                <c:pt idx="13">
                  <c:v>10.981614391065904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8136"/>
        <c:axId val="442236568"/>
      </c:scatterChart>
      <c:valAx>
        <c:axId val="442238136"/>
        <c:scaling>
          <c:orientation val="minMax"/>
          <c:max val="1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6568"/>
        <c:crosses val="autoZero"/>
        <c:crossBetween val="midCat"/>
      </c:valAx>
      <c:valAx>
        <c:axId val="442236568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813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State</a:t>
            </a:r>
            <a:r>
              <a:rPr lang="en-US" baseline="0"/>
              <a:t> of C</a:t>
            </a:r>
            <a:r>
              <a:rPr lang="en-US"/>
              <a:t>harge</a:t>
            </a:r>
            <a:r>
              <a:rPr lang="en-US" baseline="0"/>
              <a:t> Some LiF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673603556053441"/>
          <c:y val="6.078831186564107E-2"/>
          <c:w val="0.79765507436570426"/>
          <c:h val="0.71717597439048442"/>
        </c:manualLayout>
      </c:layout>
      <c:scatterChart>
        <c:scatterStyle val="lineMarker"/>
        <c:varyColors val="0"/>
        <c:ser>
          <c:idx val="7"/>
          <c:order val="0"/>
          <c:tx>
            <c:strRef>
              <c:f>'Cap Curves'!$C$1</c:f>
              <c:strCache>
                <c:ptCount val="1"/>
                <c:pt idx="0">
                  <c:v>VoC -10C</c:v>
                </c:pt>
              </c:strCache>
            </c:strRef>
          </c:tx>
          <c:spPr>
            <a:ln w="19050" cap="rnd">
              <a:solidFill>
                <a:srgbClr val="00B05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Curves'!$C$2:$C$15</c:f>
              <c:numCache>
                <c:formatCode>General</c:formatCode>
                <c:ptCount val="14"/>
                <c:pt idx="0">
                  <c:v>12.68</c:v>
                </c:pt>
                <c:pt idx="1">
                  <c:v>12.38</c:v>
                </c:pt>
                <c:pt idx="2">
                  <c:v>12.26</c:v>
                </c:pt>
                <c:pt idx="3">
                  <c:v>12.17</c:v>
                </c:pt>
                <c:pt idx="4">
                  <c:v>12.03</c:v>
                </c:pt>
                <c:pt idx="5">
                  <c:v>11.98</c:v>
                </c:pt>
                <c:pt idx="6">
                  <c:v>11.95</c:v>
                </c:pt>
                <c:pt idx="7">
                  <c:v>11.9</c:v>
                </c:pt>
                <c:pt idx="8">
                  <c:v>11.76</c:v>
                </c:pt>
                <c:pt idx="9">
                  <c:v>11.03</c:v>
                </c:pt>
              </c:numCache>
            </c:numRef>
          </c:yVal>
          <c:smooth val="0"/>
        </c:ser>
        <c:ser>
          <c:idx val="0"/>
          <c:order val="1"/>
          <c:tx>
            <c:strRef>
              <c:f>'Cap Curves'!$D$1</c:f>
              <c:strCache>
                <c:ptCount val="1"/>
                <c:pt idx="0">
                  <c:v>VoC 0C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Curves'!$D$2:$D$15</c:f>
              <c:numCache>
                <c:formatCode>General</c:formatCode>
                <c:ptCount val="14"/>
                <c:pt idx="0">
                  <c:v>12.9</c:v>
                </c:pt>
                <c:pt idx="1">
                  <c:v>12.85</c:v>
                </c:pt>
                <c:pt idx="2">
                  <c:v>12.77</c:v>
                </c:pt>
                <c:pt idx="3">
                  <c:v>12.74</c:v>
                </c:pt>
                <c:pt idx="4">
                  <c:v>12.68</c:v>
                </c:pt>
                <c:pt idx="5">
                  <c:v>12.64</c:v>
                </c:pt>
                <c:pt idx="6">
                  <c:v>12.6</c:v>
                </c:pt>
                <c:pt idx="7">
                  <c:v>12.5</c:v>
                </c:pt>
                <c:pt idx="8">
                  <c:v>12.37</c:v>
                </c:pt>
                <c:pt idx="9">
                  <c:v>11.97</c:v>
                </c:pt>
                <c:pt idx="10">
                  <c:v>11.4</c:v>
                </c:pt>
                <c:pt idx="11">
                  <c:v>10.1</c:v>
                </c:pt>
              </c:numCache>
            </c:numRef>
          </c:yVal>
          <c:smooth val="0"/>
        </c:ser>
        <c:ser>
          <c:idx val="1"/>
          <c:order val="2"/>
          <c:tx>
            <c:strRef>
              <c:f>'Cap Curves'!$E$1</c:f>
              <c:strCache>
                <c:ptCount val="1"/>
                <c:pt idx="0">
                  <c:v>VoC 10C</c:v>
                </c:pt>
              </c:strCache>
            </c:strRef>
          </c:tx>
          <c:spPr>
            <a:ln w="19050" cap="rnd">
              <a:solidFill>
                <a:schemeClr val="tx1">
                  <a:lumMod val="50000"/>
                  <a:lumOff val="50000"/>
                </a:schemeClr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Curves'!$E$2:$E$15</c:f>
              <c:numCache>
                <c:formatCode>General</c:formatCode>
                <c:ptCount val="14"/>
                <c:pt idx="0">
                  <c:v>13.1</c:v>
                </c:pt>
                <c:pt idx="1">
                  <c:v>12.85</c:v>
                </c:pt>
                <c:pt idx="2">
                  <c:v>12.8</c:v>
                </c:pt>
                <c:pt idx="3">
                  <c:v>12.77</c:v>
                </c:pt>
                <c:pt idx="4">
                  <c:v>12.75</c:v>
                </c:pt>
                <c:pt idx="5">
                  <c:v>12.74</c:v>
                </c:pt>
                <c:pt idx="6">
                  <c:v>12.71</c:v>
                </c:pt>
                <c:pt idx="7">
                  <c:v>12.65</c:v>
                </c:pt>
                <c:pt idx="8">
                  <c:v>12.49</c:v>
                </c:pt>
                <c:pt idx="9">
                  <c:v>12.25</c:v>
                </c:pt>
                <c:pt idx="10">
                  <c:v>11.78</c:v>
                </c:pt>
                <c:pt idx="11">
                  <c:v>11.05</c:v>
                </c:pt>
                <c:pt idx="12">
                  <c:v>10.1</c:v>
                </c:pt>
              </c:numCache>
            </c:numRef>
          </c:yVal>
          <c:smooth val="0"/>
        </c:ser>
        <c:ser>
          <c:idx val="2"/>
          <c:order val="3"/>
          <c:tx>
            <c:strRef>
              <c:f>'Cap Curves'!$F$1</c:f>
              <c:strCache>
                <c:ptCount val="1"/>
                <c:pt idx="0">
                  <c:v>VoC 20C</c:v>
                </c:pt>
              </c:strCache>
            </c:strRef>
          </c:tx>
          <c:spPr>
            <a:ln w="19050" cap="rnd">
              <a:solidFill>
                <a:srgbClr val="FFC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Curves'!$F$2:$F$15</c:f>
              <c:numCache>
                <c:formatCode>General</c:formatCode>
                <c:ptCount val="14"/>
                <c:pt idx="0">
                  <c:v>13.3</c:v>
                </c:pt>
                <c:pt idx="1">
                  <c:v>12.9</c:v>
                </c:pt>
                <c:pt idx="2">
                  <c:v>12.85</c:v>
                </c:pt>
                <c:pt idx="3">
                  <c:v>12.845000000000001</c:v>
                </c:pt>
                <c:pt idx="4">
                  <c:v>12.831250000000001</c:v>
                </c:pt>
                <c:pt idx="5">
                  <c:v>12.831250000000001</c:v>
                </c:pt>
                <c:pt idx="6">
                  <c:v>12.831250000000001</c:v>
                </c:pt>
                <c:pt idx="7">
                  <c:v>12.79</c:v>
                </c:pt>
                <c:pt idx="8">
                  <c:v>12.65</c:v>
                </c:pt>
                <c:pt idx="9">
                  <c:v>12.41</c:v>
                </c:pt>
                <c:pt idx="10">
                  <c:v>12.15</c:v>
                </c:pt>
                <c:pt idx="11">
                  <c:v>11.59</c:v>
                </c:pt>
                <c:pt idx="12">
                  <c:v>10.95</c:v>
                </c:pt>
                <c:pt idx="13">
                  <c:v>10.1</c:v>
                </c:pt>
              </c:numCache>
            </c:numRef>
          </c:yVal>
          <c:smooth val="0"/>
        </c:ser>
        <c:ser>
          <c:idx val="3"/>
          <c:order val="4"/>
          <c:tx>
            <c:strRef>
              <c:f>'Cap Curves'!$G$1</c:f>
              <c:strCache>
                <c:ptCount val="1"/>
                <c:pt idx="0">
                  <c:v>VoC 30C</c:v>
                </c:pt>
              </c:strCache>
            </c:strRef>
          </c:tx>
          <c:spPr>
            <a:ln w="19050" cap="rnd">
              <a:solidFill>
                <a:srgbClr val="C0000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Curves'!$G$2:$G$15</c:f>
              <c:numCache>
                <c:formatCode>General</c:formatCode>
                <c:ptCount val="14"/>
                <c:pt idx="0">
                  <c:v>13.31</c:v>
                </c:pt>
                <c:pt idx="1">
                  <c:v>13</c:v>
                </c:pt>
                <c:pt idx="2">
                  <c:v>12.95</c:v>
                </c:pt>
                <c:pt idx="3">
                  <c:v>12.944285714285714</c:v>
                </c:pt>
                <c:pt idx="4">
                  <c:v>12.932857142857143</c:v>
                </c:pt>
                <c:pt idx="5">
                  <c:v>12.921428571428571</c:v>
                </c:pt>
                <c:pt idx="6">
                  <c:v>12.91</c:v>
                </c:pt>
                <c:pt idx="7">
                  <c:v>12.9</c:v>
                </c:pt>
                <c:pt idx="8">
                  <c:v>12.84</c:v>
                </c:pt>
                <c:pt idx="9">
                  <c:v>12.7</c:v>
                </c:pt>
                <c:pt idx="10">
                  <c:v>12.4</c:v>
                </c:pt>
                <c:pt idx="11">
                  <c:v>11.85</c:v>
                </c:pt>
                <c:pt idx="12">
                  <c:v>11.3</c:v>
                </c:pt>
                <c:pt idx="13">
                  <c:v>10.45</c:v>
                </c:pt>
              </c:numCache>
            </c:numRef>
          </c:yVal>
          <c:smooth val="0"/>
        </c:ser>
        <c:ser>
          <c:idx val="4"/>
          <c:order val="5"/>
          <c:tx>
            <c:strRef>
              <c:f>'Cap Curves'!$H$1</c:f>
              <c:strCache>
                <c:ptCount val="1"/>
                <c:pt idx="0">
                  <c:v>VoC 40C</c:v>
                </c:pt>
              </c:strCache>
            </c:strRef>
          </c:tx>
          <c:spPr>
            <a:ln w="19050" cap="rnd">
              <a:solidFill>
                <a:srgbClr val="00B0F0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Curves'!$H$2:$H$15</c:f>
              <c:numCache>
                <c:formatCode>General</c:formatCode>
                <c:ptCount val="14"/>
                <c:pt idx="0">
                  <c:v>13.32</c:v>
                </c:pt>
                <c:pt idx="1">
                  <c:v>13.1</c:v>
                </c:pt>
                <c:pt idx="2">
                  <c:v>13.03</c:v>
                </c:pt>
                <c:pt idx="3">
                  <c:v>13.01</c:v>
                </c:pt>
                <c:pt idx="4">
                  <c:v>13.006666666666666</c:v>
                </c:pt>
                <c:pt idx="5">
                  <c:v>13.003333333333334</c:v>
                </c:pt>
                <c:pt idx="6">
                  <c:v>13</c:v>
                </c:pt>
                <c:pt idx="7">
                  <c:v>12.97</c:v>
                </c:pt>
                <c:pt idx="8">
                  <c:v>12.91</c:v>
                </c:pt>
                <c:pt idx="9">
                  <c:v>12.77</c:v>
                </c:pt>
                <c:pt idx="10">
                  <c:v>12.55</c:v>
                </c:pt>
                <c:pt idx="11">
                  <c:v>12.2</c:v>
                </c:pt>
                <c:pt idx="12">
                  <c:v>11.6</c:v>
                </c:pt>
                <c:pt idx="13">
                  <c:v>10.51</c:v>
                </c:pt>
              </c:numCache>
            </c:numRef>
          </c:yVal>
          <c:smooth val="0"/>
        </c:ser>
        <c:ser>
          <c:idx val="5"/>
          <c:order val="6"/>
          <c:tx>
            <c:strRef>
              <c:f>'Cap Curves'!$I$1</c:f>
              <c:strCache>
                <c:ptCount val="1"/>
                <c:pt idx="0">
                  <c:v>VoC 50C</c:v>
                </c:pt>
              </c:strCache>
            </c:strRef>
          </c:tx>
          <c:spPr>
            <a:ln w="19050" cap="rnd">
              <a:solidFill>
                <a:schemeClr val="tx1"/>
              </a:solidFill>
              <a:round/>
            </a:ln>
            <a:effectLst/>
          </c:spPr>
          <c:marker>
            <c:symbol val="none"/>
          </c:marker>
          <c:xVal>
            <c:numRef>
              <c:f>'Cap Curves'!$B$2:$B$15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0</c:v>
                </c:pt>
              </c:numCache>
            </c:numRef>
          </c:xVal>
          <c:yVal>
            <c:numRef>
              <c:f>'Cap Curves'!$I$2:$I$15</c:f>
              <c:numCache>
                <c:formatCode>General</c:formatCode>
                <c:ptCount val="14"/>
                <c:pt idx="0">
                  <c:v>13.35</c:v>
                </c:pt>
                <c:pt idx="1">
                  <c:v>13.15</c:v>
                </c:pt>
                <c:pt idx="2">
                  <c:v>13.08</c:v>
                </c:pt>
                <c:pt idx="3">
                  <c:v>13.05</c:v>
                </c:pt>
                <c:pt idx="4">
                  <c:v>13.046666666666667</c:v>
                </c:pt>
                <c:pt idx="5">
                  <c:v>13.043333333333333</c:v>
                </c:pt>
                <c:pt idx="6">
                  <c:v>13.04</c:v>
                </c:pt>
                <c:pt idx="7">
                  <c:v>13.01</c:v>
                </c:pt>
                <c:pt idx="8">
                  <c:v>12.95</c:v>
                </c:pt>
                <c:pt idx="9">
                  <c:v>12.87</c:v>
                </c:pt>
                <c:pt idx="10">
                  <c:v>12.66</c:v>
                </c:pt>
                <c:pt idx="11">
                  <c:v>12.43</c:v>
                </c:pt>
                <c:pt idx="12">
                  <c:v>12.1</c:v>
                </c:pt>
                <c:pt idx="13">
                  <c:v>11</c:v>
                </c:pt>
              </c:numCache>
            </c:numRef>
          </c:yVal>
          <c:smooth val="0"/>
        </c:ser>
        <c:ser>
          <c:idx val="6"/>
          <c:order val="7"/>
          <c:tx>
            <c:strRef>
              <c:f>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chemeClr val="accent1">
                  <a:lumMod val="60000"/>
                </a:schemeClr>
              </a:solidFill>
              <a:prstDash val="dash"/>
              <a:round/>
            </a:ln>
            <a:effectLst/>
          </c:spPr>
          <c:marker>
            <c:symbol val="none"/>
          </c:marker>
          <c:xVal>
            <c:numRef>
              <c:f>#REF!</c:f>
            </c:numRef>
          </c:xVal>
          <c:yVal>
            <c:numRef>
              <c:f>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ser>
          <c:idx val="8"/>
          <c:order val="8"/>
          <c:tx>
            <c:strRef>
              <c:f>Model!#REF!</c:f>
              <c:strCache>
                <c:ptCount val="1"/>
                <c:pt idx="0">
                  <c:v>#REF!</c:v>
                </c:pt>
              </c:strCache>
            </c:strRef>
          </c:tx>
          <c:spPr>
            <a:ln w="19050" cap="rnd">
              <a:solidFill>
                <a:srgbClr val="7030A0"/>
              </a:solidFill>
              <a:prstDash val="lgDash"/>
              <a:round/>
            </a:ln>
            <a:effectLst/>
          </c:spPr>
          <c:marker>
            <c:symbol val="none"/>
          </c:marker>
          <c:xVal>
            <c:numRef>
              <c:f>'Model Build'!$A$15:$A$28</c:f>
              <c:numCache>
                <c:formatCode>General</c:formatCode>
                <c:ptCount val="14"/>
                <c:pt idx="0">
                  <c:v>1</c:v>
                </c:pt>
                <c:pt idx="1">
                  <c:v>0.98</c:v>
                </c:pt>
                <c:pt idx="2">
                  <c:v>0.95</c:v>
                </c:pt>
                <c:pt idx="3">
                  <c:v>0.9</c:v>
                </c:pt>
                <c:pt idx="4">
                  <c:v>0.8</c:v>
                </c:pt>
                <c:pt idx="5">
                  <c:v>0.7</c:v>
                </c:pt>
                <c:pt idx="6">
                  <c:v>0.6</c:v>
                </c:pt>
                <c:pt idx="7">
                  <c:v>0.5</c:v>
                </c:pt>
                <c:pt idx="8">
                  <c:v>0.4</c:v>
                </c:pt>
                <c:pt idx="9">
                  <c:v>0.3</c:v>
                </c:pt>
                <c:pt idx="10">
                  <c:v>0.2</c:v>
                </c:pt>
                <c:pt idx="11">
                  <c:v>0.1</c:v>
                </c:pt>
                <c:pt idx="12">
                  <c:v>0.05</c:v>
                </c:pt>
                <c:pt idx="13">
                  <c:v>1E-3</c:v>
                </c:pt>
              </c:numCache>
            </c:numRef>
          </c:xVal>
          <c:yVal>
            <c:numRef>
              <c:f>Model!#REF!</c:f>
              <c:numCache>
                <c:formatCode>General</c:formatCode>
                <c:ptCount val="1"/>
                <c:pt idx="0">
                  <c:v>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42232256"/>
        <c:axId val="442242448"/>
      </c:scatterChart>
      <c:valAx>
        <c:axId val="442232256"/>
        <c:scaling>
          <c:orientation val="minMax"/>
          <c:max val="1"/>
          <c:min val="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SoC, %</a:t>
                </a:r>
              </a:p>
            </c:rich>
          </c:tx>
          <c:layout>
            <c:manualLayout>
              <c:xMode val="edge"/>
              <c:yMode val="edge"/>
              <c:x val="0.52875110857380858"/>
              <c:y val="0.71424756876488704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42448"/>
        <c:crosses val="autoZero"/>
        <c:crossBetween val="midCat"/>
        <c:majorUnit val="0.1"/>
      </c:valAx>
      <c:valAx>
        <c:axId val="442242448"/>
        <c:scaling>
          <c:orientation val="minMax"/>
          <c:max val="13.5"/>
          <c:min val="1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VoC, Volts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4223225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2.0244442768867301E-2"/>
          <c:y val="0.84470062435861781"/>
          <c:w val="0.97975555723113272"/>
          <c:h val="0.1309388397095917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zoomScale="85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.png"/><Relationship Id="rId2" Type="http://schemas.openxmlformats.org/officeDocument/2006/relationships/chart" Target="../charts/chart5.xml"/><Relationship Id="rId1" Type="http://schemas.openxmlformats.org/officeDocument/2006/relationships/chart" Target="../charts/chart4.xml"/><Relationship Id="rId4" Type="http://schemas.openxmlformats.org/officeDocument/2006/relationships/chart" Target="../charts/chart6.xml"/></Relationships>
</file>

<file path=xl/drawings/_rels/drawing5.xml.rels><?xml version="1.0" encoding="UTF-8" standalone="yes"?>
<Relationships xmlns="http://schemas.openxmlformats.org/package/2006/relationships"><Relationship Id="rId8" Type="http://schemas.openxmlformats.org/officeDocument/2006/relationships/chart" Target="../charts/chart11.xml"/><Relationship Id="rId13" Type="http://schemas.openxmlformats.org/officeDocument/2006/relationships/chart" Target="../charts/chart16.xml"/><Relationship Id="rId3" Type="http://schemas.openxmlformats.org/officeDocument/2006/relationships/image" Target="../media/image4.png"/><Relationship Id="rId7" Type="http://schemas.openxmlformats.org/officeDocument/2006/relationships/chart" Target="../charts/chart10.xml"/><Relationship Id="rId12" Type="http://schemas.openxmlformats.org/officeDocument/2006/relationships/chart" Target="../charts/chart15.xml"/><Relationship Id="rId2" Type="http://schemas.openxmlformats.org/officeDocument/2006/relationships/image" Target="../media/image3.png"/><Relationship Id="rId1" Type="http://schemas.openxmlformats.org/officeDocument/2006/relationships/image" Target="../media/image2.png"/><Relationship Id="rId6" Type="http://schemas.openxmlformats.org/officeDocument/2006/relationships/chart" Target="../charts/chart9.xml"/><Relationship Id="rId11" Type="http://schemas.openxmlformats.org/officeDocument/2006/relationships/chart" Target="../charts/chart14.xml"/><Relationship Id="rId5" Type="http://schemas.openxmlformats.org/officeDocument/2006/relationships/chart" Target="../charts/chart8.xml"/><Relationship Id="rId10" Type="http://schemas.openxmlformats.org/officeDocument/2006/relationships/chart" Target="../charts/chart13.xml"/><Relationship Id="rId4" Type="http://schemas.openxmlformats.org/officeDocument/2006/relationships/chart" Target="../charts/chart7.xml"/><Relationship Id="rId9" Type="http://schemas.openxmlformats.org/officeDocument/2006/relationships/chart" Target="../charts/chart1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8659906" cy="6284259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259080</xdr:colOff>
      <xdr:row>16</xdr:row>
      <xdr:rowOff>133350</xdr:rowOff>
    </xdr:from>
    <xdr:to>
      <xdr:col>18</xdr:col>
      <xdr:colOff>342900</xdr:colOff>
      <xdr:row>34</xdr:row>
      <xdr:rowOff>137160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243840</xdr:colOff>
      <xdr:row>0</xdr:row>
      <xdr:rowOff>102870</xdr:rowOff>
    </xdr:from>
    <xdr:to>
      <xdr:col>17</xdr:col>
      <xdr:colOff>327660</xdr:colOff>
      <xdr:row>16</xdr:row>
      <xdr:rowOff>102870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 editAs="oneCell">
    <xdr:from>
      <xdr:col>0</xdr:col>
      <xdr:colOff>388620</xdr:colOff>
      <xdr:row>15</xdr:row>
      <xdr:rowOff>68580</xdr:rowOff>
    </xdr:from>
    <xdr:to>
      <xdr:col>8</xdr:col>
      <xdr:colOff>273725</xdr:colOff>
      <xdr:row>31</xdr:row>
      <xdr:rowOff>142500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388620" y="2811780"/>
          <a:ext cx="4761905" cy="3000000"/>
        </a:xfrm>
        <a:prstGeom prst="rect">
          <a:avLst/>
        </a:prstGeom>
      </xdr:spPr>
    </xdr:pic>
    <xdr:clientData/>
  </xdr:twoCellAnchor>
  <xdr:twoCellAnchor>
    <xdr:from>
      <xdr:col>17</xdr:col>
      <xdr:colOff>160020</xdr:colOff>
      <xdr:row>10</xdr:row>
      <xdr:rowOff>26670</xdr:rowOff>
    </xdr:from>
    <xdr:to>
      <xdr:col>24</xdr:col>
      <xdr:colOff>243840</xdr:colOff>
      <xdr:row>25</xdr:row>
      <xdr:rowOff>26670</xdr:rowOff>
    </xdr:to>
    <xdr:graphicFrame macro="">
      <xdr:nvGraphicFramePr>
        <xdr:cNvPr id="5" name="Chart 4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26</xdr:col>
      <xdr:colOff>7620</xdr:colOff>
      <xdr:row>2</xdr:row>
      <xdr:rowOff>15240</xdr:rowOff>
    </xdr:from>
    <xdr:to>
      <xdr:col>33</xdr:col>
      <xdr:colOff>236847</xdr:colOff>
      <xdr:row>21</xdr:row>
      <xdr:rowOff>55736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5857220" y="381000"/>
          <a:ext cx="4496427" cy="3515216"/>
        </a:xfrm>
        <a:prstGeom prst="rect">
          <a:avLst/>
        </a:prstGeom>
      </xdr:spPr>
    </xdr:pic>
    <xdr:clientData/>
  </xdr:twoCellAnchor>
  <xdr:twoCellAnchor editAs="oneCell">
    <xdr:from>
      <xdr:col>24</xdr:col>
      <xdr:colOff>502920</xdr:colOff>
      <xdr:row>22</xdr:row>
      <xdr:rowOff>175260</xdr:rowOff>
    </xdr:from>
    <xdr:to>
      <xdr:col>38</xdr:col>
      <xdr:colOff>599374</xdr:colOff>
      <xdr:row>26</xdr:row>
      <xdr:rowOff>148688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89320" y="4015740"/>
          <a:ext cx="8630854" cy="704948"/>
        </a:xfrm>
        <a:prstGeom prst="rect">
          <a:avLst/>
        </a:prstGeom>
      </xdr:spPr>
    </xdr:pic>
    <xdr:clientData/>
  </xdr:twoCellAnchor>
  <xdr:twoCellAnchor editAs="oneCell">
    <xdr:from>
      <xdr:col>24</xdr:col>
      <xdr:colOff>480060</xdr:colOff>
      <xdr:row>30</xdr:row>
      <xdr:rowOff>0</xdr:rowOff>
    </xdr:from>
    <xdr:to>
      <xdr:col>39</xdr:col>
      <xdr:colOff>281283</xdr:colOff>
      <xdr:row>46</xdr:row>
      <xdr:rowOff>93766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66460" y="5303520"/>
          <a:ext cx="8945223" cy="3019846"/>
        </a:xfrm>
        <a:prstGeom prst="rect">
          <a:avLst/>
        </a:prstGeom>
      </xdr:spPr>
    </xdr:pic>
    <xdr:clientData/>
  </xdr:twoCellAnchor>
  <xdr:twoCellAnchor>
    <xdr:from>
      <xdr:col>0</xdr:col>
      <xdr:colOff>525780</xdr:colOff>
      <xdr:row>29</xdr:row>
      <xdr:rowOff>167640</xdr:rowOff>
    </xdr:from>
    <xdr:to>
      <xdr:col>3</xdr:col>
      <xdr:colOff>388620</xdr:colOff>
      <xdr:row>40</xdr:row>
      <xdr:rowOff>144780</xdr:rowOff>
    </xdr:to>
    <xdr:graphicFrame macro="">
      <xdr:nvGraphicFramePr>
        <xdr:cNvPr id="4" name="Chart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10</xdr:col>
      <xdr:colOff>30480</xdr:colOff>
      <xdr:row>29</xdr:row>
      <xdr:rowOff>175260</xdr:rowOff>
    </xdr:from>
    <xdr:to>
      <xdr:col>12</xdr:col>
      <xdr:colOff>571500</xdr:colOff>
      <xdr:row>40</xdr:row>
      <xdr:rowOff>118110</xdr:rowOff>
    </xdr:to>
    <xdr:graphicFrame macro="">
      <xdr:nvGraphicFramePr>
        <xdr:cNvPr id="8" name="Chart 7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4</xdr:col>
      <xdr:colOff>30480</xdr:colOff>
      <xdr:row>29</xdr:row>
      <xdr:rowOff>175260</xdr:rowOff>
    </xdr:from>
    <xdr:to>
      <xdr:col>6</xdr:col>
      <xdr:colOff>571500</xdr:colOff>
      <xdr:row>40</xdr:row>
      <xdr:rowOff>118110</xdr:rowOff>
    </xdr:to>
    <xdr:graphicFrame macro="">
      <xdr:nvGraphicFramePr>
        <xdr:cNvPr id="9" name="Chart 8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7</xdr:col>
      <xdr:colOff>30480</xdr:colOff>
      <xdr:row>29</xdr:row>
      <xdr:rowOff>175260</xdr:rowOff>
    </xdr:from>
    <xdr:to>
      <xdr:col>9</xdr:col>
      <xdr:colOff>571500</xdr:colOff>
      <xdr:row>40</xdr:row>
      <xdr:rowOff>118110</xdr:rowOff>
    </xdr:to>
    <xdr:graphicFrame macro="">
      <xdr:nvGraphicFramePr>
        <xdr:cNvPr id="10" name="Chart 9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19</xdr:col>
      <xdr:colOff>30480</xdr:colOff>
      <xdr:row>29</xdr:row>
      <xdr:rowOff>175260</xdr:rowOff>
    </xdr:from>
    <xdr:to>
      <xdr:col>21</xdr:col>
      <xdr:colOff>571500</xdr:colOff>
      <xdr:row>40</xdr:row>
      <xdr:rowOff>118110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13</xdr:col>
      <xdr:colOff>30480</xdr:colOff>
      <xdr:row>29</xdr:row>
      <xdr:rowOff>175260</xdr:rowOff>
    </xdr:from>
    <xdr:to>
      <xdr:col>15</xdr:col>
      <xdr:colOff>571500</xdr:colOff>
      <xdr:row>40</xdr:row>
      <xdr:rowOff>118110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16</xdr:col>
      <xdr:colOff>30480</xdr:colOff>
      <xdr:row>29</xdr:row>
      <xdr:rowOff>175260</xdr:rowOff>
    </xdr:from>
    <xdr:to>
      <xdr:col>18</xdr:col>
      <xdr:colOff>571500</xdr:colOff>
      <xdr:row>40</xdr:row>
      <xdr:rowOff>118110</xdr:rowOff>
    </xdr:to>
    <xdr:graphicFrame macro="">
      <xdr:nvGraphicFramePr>
        <xdr:cNvPr id="13" name="Chart 1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8</xdr:col>
      <xdr:colOff>342900</xdr:colOff>
      <xdr:row>1</xdr:row>
      <xdr:rowOff>167640</xdr:rowOff>
    </xdr:from>
    <xdr:to>
      <xdr:col>13</xdr:col>
      <xdr:colOff>541020</xdr:colOff>
      <xdr:row>13</xdr:row>
      <xdr:rowOff>7620</xdr:rowOff>
    </xdr:to>
    <xdr:graphicFrame macro="">
      <xdr:nvGraphicFramePr>
        <xdr:cNvPr id="7" name="Chart 6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3</xdr:col>
      <xdr:colOff>365760</xdr:colOff>
      <xdr:row>14</xdr:row>
      <xdr:rowOff>133350</xdr:rowOff>
    </xdr:from>
    <xdr:to>
      <xdr:col>10</xdr:col>
      <xdr:colOff>548640</xdr:colOff>
      <xdr:row>33</xdr:row>
      <xdr:rowOff>83820</xdr:rowOff>
    </xdr:to>
    <xdr:graphicFrame macro="">
      <xdr:nvGraphicFramePr>
        <xdr:cNvPr id="14" name="Chart 1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  <xdr:twoCellAnchor>
    <xdr:from>
      <xdr:col>13</xdr:col>
      <xdr:colOff>83820</xdr:colOff>
      <xdr:row>14</xdr:row>
      <xdr:rowOff>7620</xdr:rowOff>
    </xdr:from>
    <xdr:to>
      <xdr:col>22</xdr:col>
      <xdr:colOff>167640</xdr:colOff>
      <xdr:row>32</xdr:row>
      <xdr:rowOff>11430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0"/>
  <sheetViews>
    <sheetView tabSelected="1" zoomScale="130" zoomScaleNormal="130" workbookViewId="0">
      <selection activeCell="M11" sqref="M11"/>
    </sheetView>
  </sheetViews>
  <sheetFormatPr defaultRowHeight="14.4" x14ac:dyDescent="0.3"/>
  <cols>
    <col min="1" max="1" width="3.33203125" customWidth="1"/>
    <col min="2" max="11" width="8.88671875" style="12" customWidth="1"/>
    <col min="12" max="18" width="8.88671875" style="12"/>
  </cols>
  <sheetData>
    <row r="1" spans="1:8" x14ac:dyDescent="0.3">
      <c r="A1" s="12"/>
      <c r="B1" s="14" t="s">
        <v>16</v>
      </c>
      <c r="C1" s="14" t="s">
        <v>12</v>
      </c>
      <c r="D1" s="14" t="s">
        <v>11</v>
      </c>
      <c r="E1" s="14" t="s">
        <v>10</v>
      </c>
      <c r="F1" s="14" t="s">
        <v>13</v>
      </c>
      <c r="G1" s="14" t="s">
        <v>14</v>
      </c>
      <c r="H1" s="14" t="s">
        <v>0</v>
      </c>
    </row>
    <row r="2" spans="1:8" x14ac:dyDescent="0.3">
      <c r="A2" s="12"/>
      <c r="B2" s="15">
        <v>-10</v>
      </c>
      <c r="C2" s="15">
        <v>0.47799999999999998</v>
      </c>
      <c r="D2" s="16">
        <v>-1.143251503157807</v>
      </c>
      <c r="E2" s="17">
        <v>3.3483399767315909</v>
      </c>
      <c r="F2" s="17">
        <v>-1.7704346329793603</v>
      </c>
      <c r="G2" s="18">
        <v>0.4</v>
      </c>
      <c r="H2" s="18">
        <v>1.734</v>
      </c>
    </row>
    <row r="3" spans="1:8" x14ac:dyDescent="0.3">
      <c r="A3" s="12"/>
      <c r="B3" s="15">
        <v>0</v>
      </c>
      <c r="C3" s="15">
        <v>0.47799999999999998</v>
      </c>
      <c r="D3" s="16">
        <v>-1.143251503157807</v>
      </c>
      <c r="E3" s="17">
        <v>3.5247557002832086</v>
      </c>
      <c r="F3" s="17">
        <v>-1.7704346329793603</v>
      </c>
      <c r="G3" s="18">
        <v>0.4</v>
      </c>
      <c r="H3" s="18">
        <v>1.734</v>
      </c>
    </row>
    <row r="4" spans="1:8" x14ac:dyDescent="0.3">
      <c r="A4" s="12"/>
      <c r="B4" s="15">
        <v>10</v>
      </c>
      <c r="C4" s="15">
        <v>0.47799999999999998</v>
      </c>
      <c r="D4" s="16">
        <v>-1.143251503157807</v>
      </c>
      <c r="E4" s="17">
        <v>3.5539644353434743</v>
      </c>
      <c r="F4" s="17">
        <v>-1.7704346329793603</v>
      </c>
      <c r="G4" s="18">
        <v>0.4</v>
      </c>
      <c r="H4" s="18">
        <v>1.734</v>
      </c>
    </row>
    <row r="5" spans="1:8" x14ac:dyDescent="0.3">
      <c r="A5" s="12"/>
      <c r="B5" s="15">
        <v>20</v>
      </c>
      <c r="C5" s="15">
        <v>0.47799999999999998</v>
      </c>
      <c r="D5" s="16">
        <v>-0.57795540028306935</v>
      </c>
      <c r="E5" s="17">
        <v>2.7782710208104895</v>
      </c>
      <c r="F5" s="17">
        <v>-1.0994517959124805</v>
      </c>
      <c r="G5" s="18">
        <v>0.4</v>
      </c>
      <c r="H5" s="18">
        <v>1.734</v>
      </c>
    </row>
    <row r="6" spans="1:8" x14ac:dyDescent="0.3">
      <c r="A6" s="12"/>
      <c r="B6" s="15">
        <v>30</v>
      </c>
      <c r="C6" s="15">
        <v>0.47799999999999998</v>
      </c>
      <c r="D6" s="16">
        <v>-0.55329798798696006</v>
      </c>
      <c r="E6" s="17">
        <v>2.8069059976624819</v>
      </c>
      <c r="F6" s="17">
        <v>-1.1254678290104727</v>
      </c>
      <c r="G6" s="18">
        <v>0.4</v>
      </c>
      <c r="H6" s="18">
        <v>1.734</v>
      </c>
    </row>
    <row r="7" spans="1:8" x14ac:dyDescent="0.3">
      <c r="A7" s="12"/>
      <c r="B7" s="15">
        <v>40</v>
      </c>
      <c r="C7" s="15">
        <v>0.47799999999999998</v>
      </c>
      <c r="D7" s="16">
        <v>-0.55710475700016193</v>
      </c>
      <c r="E7" s="17">
        <v>2.8512557761146389</v>
      </c>
      <c r="F7" s="17">
        <v>-1.1592275633503999</v>
      </c>
      <c r="G7" s="18">
        <v>0.4</v>
      </c>
      <c r="H7" s="18">
        <v>1.734</v>
      </c>
    </row>
    <row r="8" spans="1:8" x14ac:dyDescent="0.3">
      <c r="A8" s="12"/>
      <c r="B8" s="15">
        <v>50.000010000000003</v>
      </c>
      <c r="C8" s="15">
        <v>0.47799999999999998</v>
      </c>
      <c r="D8" s="16">
        <v>-0.45551626024511238</v>
      </c>
      <c r="E8" s="17">
        <v>2.7310417617626701</v>
      </c>
      <c r="F8" s="17">
        <v>-1.0590283827915401</v>
      </c>
      <c r="G8" s="18">
        <v>0.4</v>
      </c>
      <c r="H8" s="18">
        <v>1.734</v>
      </c>
    </row>
    <row r="9" spans="1:8" x14ac:dyDescent="0.3">
      <c r="A9" s="12"/>
      <c r="B9" s="13"/>
      <c r="C9" s="16"/>
      <c r="D9" s="16"/>
      <c r="E9" s="16"/>
      <c r="F9" s="16"/>
      <c r="G9" s="16"/>
    </row>
    <row r="10" spans="1:8" x14ac:dyDescent="0.3">
      <c r="B10" s="12" t="s">
        <v>15</v>
      </c>
    </row>
  </sheetData>
  <sheetProtection selectLockedCell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34"/>
  <sheetViews>
    <sheetView topLeftCell="K16" workbookViewId="0">
      <selection activeCell="A31" sqref="A31:XFD32"/>
    </sheetView>
  </sheetViews>
  <sheetFormatPr defaultRowHeight="14.4" x14ac:dyDescent="0.3"/>
  <cols>
    <col min="1" max="1" width="9" bestFit="1" customWidth="1"/>
    <col min="2" max="2" width="9.109375" bestFit="1" customWidth="1"/>
    <col min="3" max="10" width="6.21875" bestFit="1" customWidth="1"/>
    <col min="12" max="12" width="9.5546875" bestFit="1" customWidth="1"/>
    <col min="21" max="21" width="16.33203125" bestFit="1" customWidth="1"/>
    <col min="22" max="22" width="16.6640625" bestFit="1" customWidth="1"/>
  </cols>
  <sheetData>
    <row r="1" spans="1:28" x14ac:dyDescent="0.3">
      <c r="B1" s="6" t="s">
        <v>12</v>
      </c>
      <c r="C1" s="8">
        <f ca="1">FORECAST(C$8,OFFSET('Coefficients Table'!$C$2:$C$8,MATCH(C$8,'Coefficients Table'!$B$2:$B$8,1)-1,0,2),OFFSET('Coefficients Table'!$B$2:$B$8,MATCH(C$8,'Coefficients Table'!$B$2:$B$8,1)-1,0,2))</f>
        <v>0.47799999999999998</v>
      </c>
      <c r="D1" s="8">
        <f ca="1">FORECAST(D$8,OFFSET('Coefficients Table'!$C$2:$C$8,MATCH(D$8,'Coefficients Table'!$B$2:$B$8,1)-1,0,2),OFFSET('Coefficients Table'!$B$2:$B$8,MATCH(D$8,'Coefficients Table'!$B$2:$B$8,1)-1,0,2))</f>
        <v>0.47799999999999998</v>
      </c>
      <c r="E1" s="8">
        <f ca="1">FORECAST(E$8,OFFSET('Coefficients Table'!$C$2:$C$8,MATCH(E$8,'Coefficients Table'!$B$2:$B$8,1)-1,0,2),OFFSET('Coefficients Table'!$B$2:$B$8,MATCH(E$8,'Coefficients Table'!$B$2:$B$8,1)-1,0,2))</f>
        <v>0.47799999999999998</v>
      </c>
      <c r="F1" s="8">
        <f ca="1">FORECAST(F$8,OFFSET('Coefficients Table'!$C$2:$C$8,MATCH(F$8,'Coefficients Table'!$B$2:$B$8,1)-1,0,2),OFFSET('Coefficients Table'!$B$2:$B$8,MATCH(F$8,'Coefficients Table'!$B$2:$B$8,1)-1,0,2))</f>
        <v>0.47799999999999998</v>
      </c>
      <c r="G1" s="8">
        <f ca="1">FORECAST(G$8,OFFSET('Coefficients Table'!$C$2:$C$8,MATCH(G$8,'Coefficients Table'!$B$2:$B$8,1)-1,0,2),OFFSET('Coefficients Table'!$B$2:$B$8,MATCH(G$8,'Coefficients Table'!$B$2:$B$8,1)-1,0,2))</f>
        <v>0.47799999999999998</v>
      </c>
      <c r="H1" s="8">
        <f ca="1">FORECAST(H$8,OFFSET('Coefficients Table'!$C$2:$C$8,MATCH(H$8,'Coefficients Table'!$B$2:$B$8,1)-1,0,2),OFFSET('Coefficients Table'!$B$2:$B$8,MATCH(H$8,'Coefficients Table'!$B$2:$B$8,1)-1,0,2))</f>
        <v>0.47799999999999998</v>
      </c>
      <c r="I1" s="8">
        <f ca="1">FORECAST(I$8,OFFSET('Coefficients Table'!$C$2:$C$8,MATCH(I$8,'Coefficients Table'!$B$2:$B$8,1)-1,0,2),OFFSET('Coefficients Table'!$B$2:$B$8,MATCH(I$8,'Coefficients Table'!$B$2:$B$8,1)-1,0,2))</f>
        <v>0.47799999999999998</v>
      </c>
      <c r="J1" s="8">
        <f ca="1">FORECAST(J$8,OFFSET('Coefficients Table'!$C$2:$C$8,MATCH(J$8,'Coefficients Table'!$B$2:$B$8,1)-1,0,2),OFFSET('Coefficients Table'!$B$2:$B$8,MATCH(J$8,'Coefficients Table'!$B$2:$B$8,1)-1,0,2))</f>
        <v>0.47799999999999998</v>
      </c>
      <c r="L1" s="8">
        <f ca="1">FORECAST(L$8,OFFSET('Coefficients Table'!$C$2:$C$8,MATCH(L$8,'Coefficients Table'!$B$2:$B$8,1)-1,0,2),OFFSET('Coefficients Table'!$B$2:$B$8,MATCH(L$8,'Coefficients Table'!$B$2:$B$8,1)-1,0,2))</f>
        <v>0.47799999999999998</v>
      </c>
      <c r="M1" s="8">
        <f ca="1">FORECAST(M$8,OFFSET('Coefficients Table'!$C$2:$C$8,MATCH(M$8,'Coefficients Table'!$B$2:$B$8,1)-1,0,2),OFFSET('Coefficients Table'!$B$2:$B$8,MATCH(M$8,'Coefficients Table'!$B$2:$B$8,1)-1,0,2))</f>
        <v>0.47799999999999998</v>
      </c>
      <c r="N1" s="8">
        <f ca="1">FORECAST(N$8,OFFSET('Coefficients Table'!$C$2:$C$8,MATCH(N$8,'Coefficients Table'!$B$2:$B$8,1)-1,0,2),OFFSET('Coefficients Table'!$B$2:$B$8,MATCH(N$8,'Coefficients Table'!$B$2:$B$8,1)-1,0,2))</f>
        <v>0.47799999999999998</v>
      </c>
      <c r="O1" s="8">
        <f ca="1">FORECAST(O$8,OFFSET('Coefficients Table'!$C$2:$C$8,MATCH(O$8,'Coefficients Table'!$B$2:$B$8,1)-1,0,2),OFFSET('Coefficients Table'!$B$2:$B$8,MATCH(O$8,'Coefficients Table'!$B$2:$B$8,1)-1,0,2))</f>
        <v>0.47799999999999998</v>
      </c>
      <c r="P1" s="8">
        <f ca="1">FORECAST(P$8,OFFSET('Coefficients Table'!$C$2:$C$8,MATCH(P$8,'Coefficients Table'!$B$2:$B$8,1)-1,0,2),OFFSET('Coefficients Table'!$B$2:$B$8,MATCH(P$8,'Coefficients Table'!$B$2:$B$8,1)-1,0,2))</f>
        <v>0.47799999999999998</v>
      </c>
      <c r="Q1" s="8">
        <f ca="1">FORECAST(Q$8,OFFSET('Coefficients Table'!$C$2:$C$8,MATCH(Q$8,'Coefficients Table'!$B$2:$B$8,1)-1,0,2),OFFSET('Coefficients Table'!$B$2:$B$8,MATCH(Q$8,'Coefficients Table'!$B$2:$B$8,1)-1,0,2))</f>
        <v>0.47799999999999998</v>
      </c>
      <c r="R1" s="8">
        <f ca="1">FORECAST(R$8,OFFSET('Coefficients Table'!$C$2:$C$8,MATCH(R$8,'Coefficients Table'!$B$2:$B$8,1)-1,0,2),OFFSET('Coefficients Table'!$B$2:$B$8,MATCH(R$8,'Coefficients Table'!$B$2:$B$8,1)-1,0,2))</f>
        <v>0.47799999999999998</v>
      </c>
      <c r="S1" s="8">
        <f ca="1">FORECAST(S$8,OFFSET('Coefficients Table'!$C$2:$C$8,MATCH(S$8,'Coefficients Table'!$B$2:$B$8,1)-1,0,2),OFFSET('Coefficients Table'!$B$2:$B$8,MATCH(S$8,'Coefficients Table'!$B$2:$B$8,1)-1,0,2))</f>
        <v>0.47799999999999998</v>
      </c>
      <c r="U1" s="8">
        <f ca="1">FORECAST(U$8,OFFSET('Coefficients Table'!$C$2:$C$8,MATCH(U$8,'Coefficients Table'!$B$2:$B$8,1)-1,0,2),OFFSET('Coefficients Table'!$B$2:$B$8,MATCH(U$8,'Coefficients Table'!$B$2:$B$8,1)-1,0,2))</f>
        <v>0.47799999999999998</v>
      </c>
      <c r="V1" s="8">
        <f ca="1">FORECAST(V$8,OFFSET('Coefficients Table'!$C$2:$C$8,MATCH(V$8,'Coefficients Table'!$B$2:$B$8,1)-1,0,2),OFFSET('Coefficients Table'!$B$2:$B$8,MATCH(V$8,'Coefficients Table'!$B$2:$B$8,1)-1,0,2))</f>
        <v>0.47799999999999998</v>
      </c>
      <c r="W1" s="8">
        <f ca="1">FORECAST(W$8,OFFSET('Coefficients Table'!$C$2:$C$8,MATCH(W$8,'Coefficients Table'!$B$2:$B$8,1)-1,0,2),OFFSET('Coefficients Table'!$B$2:$B$8,MATCH(W$8,'Coefficients Table'!$B$2:$B$8,1)-1,0,2))</f>
        <v>0.47799999999999998</v>
      </c>
      <c r="X1" s="8">
        <f ca="1">FORECAST(X$8,OFFSET('Coefficients Table'!$C$2:$C$8,MATCH(X$8,'Coefficients Table'!$B$2:$B$8,1)-1,0,2),OFFSET('Coefficients Table'!$B$2:$B$8,MATCH(X$8,'Coefficients Table'!$B$2:$B$8,1)-1,0,2))</f>
        <v>0.47799999999999998</v>
      </c>
      <c r="Y1" s="8">
        <f ca="1">FORECAST(Y$8,OFFSET('Coefficients Table'!$C$2:$C$8,MATCH(Y$8,'Coefficients Table'!$B$2:$B$8,1)-1,0,2),OFFSET('Coefficients Table'!$B$2:$B$8,MATCH(Y$8,'Coefficients Table'!$B$2:$B$8,1)-1,0,2))</f>
        <v>0.47799999999999998</v>
      </c>
      <c r="Z1" s="8">
        <f ca="1">FORECAST(Z$8,OFFSET('Coefficients Table'!$C$2:$C$8,MATCH(Z$8,'Coefficients Table'!$B$2:$B$8,1)-1,0,2),OFFSET('Coefficients Table'!$B$2:$B$8,MATCH(Z$8,'Coefficients Table'!$B$2:$B$8,1)-1,0,2))</f>
        <v>0.47799999999999998</v>
      </c>
      <c r="AA1" s="8">
        <f ca="1">FORECAST(AA$8,OFFSET('Coefficients Table'!$C$2:$C$8,MATCH(AA$8,'Coefficients Table'!$B$2:$B$8,1)-1,0,2),OFFSET('Coefficients Table'!$B$2:$B$8,MATCH(AA$8,'Coefficients Table'!$B$2:$B$8,1)-1,0,2))</f>
        <v>0.47799999999999998</v>
      </c>
      <c r="AB1" s="8">
        <f ca="1">FORECAST(AB$8,OFFSET('Coefficients Table'!$C$2:$C$8,MATCH(AB$8,'Coefficients Table'!$B$2:$B$8,1)-1,0,2),OFFSET('Coefficients Table'!$B$2:$B$8,MATCH(AB$8,'Coefficients Table'!$B$2:$B$8,1)-1,0,2))</f>
        <v>0.47799999999999998</v>
      </c>
    </row>
    <row r="2" spans="1:28" x14ac:dyDescent="0.3">
      <c r="B2" s="6" t="s">
        <v>11</v>
      </c>
      <c r="C2" s="8">
        <f ca="1">FORECAST(C$8,OFFSET('Coefficients Table'!$D$2:$D$8,MATCH(C$8,'Coefficients Table'!$B$2:$B$8,1)-1,0,2),OFFSET('Coefficients Table'!$B$2:$B$8,MATCH(C$8,'Coefficients Table'!$B$2:$B$8,1)-1,0,2))</f>
        <v>-1.143251503157807</v>
      </c>
      <c r="D2" s="8">
        <f ca="1">FORECAST(D$8,OFFSET('Coefficients Table'!$D$2:$D$8,MATCH(D$8,'Coefficients Table'!$B$2:$B$8,1)-1,0,2),OFFSET('Coefficients Table'!$B$2:$B$8,MATCH(D$8,'Coefficients Table'!$B$2:$B$8,1)-1,0,2))</f>
        <v>-1.143251503157807</v>
      </c>
      <c r="E2" s="8">
        <f ca="1">FORECAST(E$8,OFFSET('Coefficients Table'!$D$2:$D$8,MATCH(E$8,'Coefficients Table'!$B$2:$B$8,1)-1,0,2),OFFSET('Coefficients Table'!$B$2:$B$8,MATCH(E$8,'Coefficients Table'!$B$2:$B$8,1)-1,0,2))</f>
        <v>-1.143251503157807</v>
      </c>
      <c r="F2" s="8">
        <f ca="1">FORECAST(F$8,OFFSET('Coefficients Table'!$D$2:$D$8,MATCH(F$8,'Coefficients Table'!$B$2:$B$8,1)-1,0,2),OFFSET('Coefficients Table'!$B$2:$B$8,MATCH(F$8,'Coefficients Table'!$B$2:$B$8,1)-1,0,2))</f>
        <v>-0.86060345172043817</v>
      </c>
      <c r="G2" s="8">
        <f ca="1">FORECAST(G$8,OFFSET('Coefficients Table'!$D$2:$D$8,MATCH(G$8,'Coefficients Table'!$B$2:$B$8,1)-1,0,2),OFFSET('Coefficients Table'!$B$2:$B$8,MATCH(G$8,'Coefficients Table'!$B$2:$B$8,1)-1,0,2))</f>
        <v>-0.57795540028306935</v>
      </c>
      <c r="H2" s="8">
        <f ca="1">FORECAST(H$8,OFFSET('Coefficients Table'!$D$2:$D$8,MATCH(H$8,'Coefficients Table'!$B$2:$B$8,1)-1,0,2),OFFSET('Coefficients Table'!$B$2:$B$8,MATCH(H$8,'Coefficients Table'!$B$2:$B$8,1)-1,0,2))</f>
        <v>-0.56562669413501476</v>
      </c>
      <c r="I2" s="8">
        <f ca="1">FORECAST(I$8,OFFSET('Coefficients Table'!$D$2:$D$8,MATCH(I$8,'Coefficients Table'!$B$2:$B$8,1)-1,0,2),OFFSET('Coefficients Table'!$B$2:$B$8,MATCH(I$8,'Coefficients Table'!$B$2:$B$8,1)-1,0,2))</f>
        <v>-0.55329798798696006</v>
      </c>
      <c r="J2" s="8">
        <f ca="1">FORECAST(J$8,OFFSET('Coefficients Table'!$D$2:$D$8,MATCH(J$8,'Coefficients Table'!$B$2:$B$8,1)-1,0,2),OFFSET('Coefficients Table'!$B$2:$B$8,MATCH(J$8,'Coefficients Table'!$B$2:$B$8,1)-1,0,2))</f>
        <v>-0.55520137249356094</v>
      </c>
      <c r="L2" s="8">
        <f ca="1">FORECAST(L$8,OFFSET('Coefficients Table'!$D$2:$D$8,MATCH(L$8,'Coefficients Table'!$B$2:$B$8,1)-1,0,2),OFFSET('Coefficients Table'!$B$2:$B$8,MATCH(L$8,'Coefficients Table'!$B$2:$B$8,1)-1,0,2))</f>
        <v>-1.143251503157807</v>
      </c>
      <c r="M2" s="8">
        <f ca="1">FORECAST(M$8,OFFSET('Coefficients Table'!$D$2:$D$8,MATCH(M$8,'Coefficients Table'!$B$2:$B$8,1)-1,0,2),OFFSET('Coefficients Table'!$B$2:$B$8,MATCH(M$8,'Coefficients Table'!$B$2:$B$8,1)-1,0,2))</f>
        <v>-1.143251503157807</v>
      </c>
      <c r="N2" s="8">
        <f ca="1">FORECAST(N$8,OFFSET('Coefficients Table'!$D$2:$D$8,MATCH(N$8,'Coefficients Table'!$B$2:$B$8,1)-1,0,2),OFFSET('Coefficients Table'!$B$2:$B$8,MATCH(N$8,'Coefficients Table'!$B$2:$B$8,1)-1,0,2))</f>
        <v>-1.143251503157807</v>
      </c>
      <c r="O2" s="8">
        <f ca="1">FORECAST(O$8,OFFSET('Coefficients Table'!$D$2:$D$8,MATCH(O$8,'Coefficients Table'!$B$2:$B$8,1)-1,0,2),OFFSET('Coefficients Table'!$B$2:$B$8,MATCH(O$8,'Coefficients Table'!$B$2:$B$8,1)-1,0,2))</f>
        <v>-0.86060345172043817</v>
      </c>
      <c r="P2" s="8">
        <f ca="1">FORECAST(P$8,OFFSET('Coefficients Table'!$D$2:$D$8,MATCH(P$8,'Coefficients Table'!$B$2:$B$8,1)-1,0,2),OFFSET('Coefficients Table'!$B$2:$B$8,MATCH(P$8,'Coefficients Table'!$B$2:$B$8,1)-1,0,2))</f>
        <v>-0.57795540028306935</v>
      </c>
      <c r="Q2" s="8">
        <f ca="1">FORECAST(Q$8,OFFSET('Coefficients Table'!$D$2:$D$8,MATCH(Q$8,'Coefficients Table'!$B$2:$B$8,1)-1,0,2),OFFSET('Coefficients Table'!$B$2:$B$8,MATCH(Q$8,'Coefficients Table'!$B$2:$B$8,1)-1,0,2))</f>
        <v>-0.56562669413501476</v>
      </c>
      <c r="R2" s="8">
        <f ca="1">FORECAST(R$8,OFFSET('Coefficients Table'!$D$2:$D$8,MATCH(R$8,'Coefficients Table'!$B$2:$B$8,1)-1,0,2),OFFSET('Coefficients Table'!$B$2:$B$8,MATCH(R$8,'Coefficients Table'!$B$2:$B$8,1)-1,0,2))</f>
        <v>-0.55329798798696006</v>
      </c>
      <c r="S2" s="8">
        <f ca="1">FORECAST(S$8,OFFSET('Coefficients Table'!$D$2:$D$8,MATCH(S$8,'Coefficients Table'!$B$2:$B$8,1)-1,0,2),OFFSET('Coefficients Table'!$B$2:$B$8,MATCH(S$8,'Coefficients Table'!$B$2:$B$8,1)-1,0,2))</f>
        <v>-0.55520137249356094</v>
      </c>
      <c r="U2" s="8">
        <f ca="1">FORECAST(U$8,OFFSET('Coefficients Table'!$D$2:$D$8,MATCH(U$8,'Coefficients Table'!$B$2:$B$8,1)-1,0,2),OFFSET('Coefficients Table'!$B$2:$B$8,MATCH(U$8,'Coefficients Table'!$B$2:$B$8,1)-1,0,2))</f>
        <v>-1.143251503157807</v>
      </c>
      <c r="V2" s="8">
        <f ca="1">FORECAST(V$8,OFFSET('Coefficients Table'!$D$2:$D$8,MATCH(V$8,'Coefficients Table'!$B$2:$B$8,1)-1,0,2),OFFSET('Coefficients Table'!$B$2:$B$8,MATCH(V$8,'Coefficients Table'!$B$2:$B$8,1)-1,0,2))</f>
        <v>-1.143251503157807</v>
      </c>
      <c r="W2" s="8">
        <f ca="1">FORECAST(W$8,OFFSET('Coefficients Table'!$D$2:$D$8,MATCH(W$8,'Coefficients Table'!$B$2:$B$8,1)-1,0,2),OFFSET('Coefficients Table'!$B$2:$B$8,MATCH(W$8,'Coefficients Table'!$B$2:$B$8,1)-1,0,2))</f>
        <v>-1.143251503157807</v>
      </c>
      <c r="X2" s="8">
        <f ca="1">FORECAST(X$8,OFFSET('Coefficients Table'!$D$2:$D$8,MATCH(X$8,'Coefficients Table'!$B$2:$B$8,1)-1,0,2),OFFSET('Coefficients Table'!$B$2:$B$8,MATCH(X$8,'Coefficients Table'!$B$2:$B$8,1)-1,0,2))</f>
        <v>-0.86060345172043817</v>
      </c>
      <c r="Y2" s="8">
        <f ca="1">FORECAST(Y$8,OFFSET('Coefficients Table'!$D$2:$D$8,MATCH(Y$8,'Coefficients Table'!$B$2:$B$8,1)-1,0,2),OFFSET('Coefficients Table'!$B$2:$B$8,MATCH(Y$8,'Coefficients Table'!$B$2:$B$8,1)-1,0,2))</f>
        <v>-0.57795540028306935</v>
      </c>
      <c r="Z2" s="8">
        <f ca="1">FORECAST(Z$8,OFFSET('Coefficients Table'!$D$2:$D$8,MATCH(Z$8,'Coefficients Table'!$B$2:$B$8,1)-1,0,2),OFFSET('Coefficients Table'!$B$2:$B$8,MATCH(Z$8,'Coefficients Table'!$B$2:$B$8,1)-1,0,2))</f>
        <v>-0.56562669413501476</v>
      </c>
      <c r="AA2" s="8">
        <f ca="1">FORECAST(AA$8,OFFSET('Coefficients Table'!$D$2:$D$8,MATCH(AA$8,'Coefficients Table'!$B$2:$B$8,1)-1,0,2),OFFSET('Coefficients Table'!$B$2:$B$8,MATCH(AA$8,'Coefficients Table'!$B$2:$B$8,1)-1,0,2))</f>
        <v>-0.55329798798696006</v>
      </c>
      <c r="AB2" s="8">
        <f ca="1">FORECAST(AB$8,OFFSET('Coefficients Table'!$D$2:$D$8,MATCH(AB$8,'Coefficients Table'!$B$2:$B$8,1)-1,0,2),OFFSET('Coefficients Table'!$B$2:$B$8,MATCH(AB$8,'Coefficients Table'!$B$2:$B$8,1)-1,0,2))</f>
        <v>-0.55520137249356094</v>
      </c>
    </row>
    <row r="3" spans="1:28" x14ac:dyDescent="0.3">
      <c r="B3" s="6" t="s">
        <v>10</v>
      </c>
      <c r="C3" s="8">
        <f ca="1">FORECAST(C$8,OFFSET('Coefficients Table'!$E$2:$E$8,MATCH(C$8,'Coefficients Table'!$B$2:$B$8,1)-1,0,2),OFFSET('Coefficients Table'!$B$2:$B$8,MATCH(C$8,'Coefficients Table'!$B$2:$B$8,1)-1,0,2))</f>
        <v>3.3483399767315905</v>
      </c>
      <c r="D3" s="8">
        <f ca="1">FORECAST(D$8,OFFSET('Coefficients Table'!$E$2:$E$8,MATCH(D$8,'Coefficients Table'!$B$2:$B$8,1)-1,0,2),OFFSET('Coefficients Table'!$B$2:$B$8,MATCH(D$8,'Coefficients Table'!$B$2:$B$8,1)-1,0,2))</f>
        <v>3.5247557002832086</v>
      </c>
      <c r="E3" s="8">
        <f ca="1">FORECAST(E$8,OFFSET('Coefficients Table'!$E$2:$E$8,MATCH(E$8,'Coefficients Table'!$B$2:$B$8,1)-1,0,2),OFFSET('Coefficients Table'!$B$2:$B$8,MATCH(E$8,'Coefficients Table'!$B$2:$B$8,1)-1,0,2))</f>
        <v>3.5539644353434743</v>
      </c>
      <c r="F3" s="8">
        <f ca="1">FORECAST(F$8,OFFSET('Coefficients Table'!$E$2:$E$8,MATCH(F$8,'Coefficients Table'!$B$2:$B$8,1)-1,0,2),OFFSET('Coefficients Table'!$B$2:$B$8,MATCH(F$8,'Coefficients Table'!$B$2:$B$8,1)-1,0,2))</f>
        <v>3.1661177280769817</v>
      </c>
      <c r="G3" s="8">
        <f ca="1">FORECAST(G$8,OFFSET('Coefficients Table'!$E$2:$E$8,MATCH(G$8,'Coefficients Table'!$B$2:$B$8,1)-1,0,2),OFFSET('Coefficients Table'!$B$2:$B$8,MATCH(G$8,'Coefficients Table'!$B$2:$B$8,1)-1,0,2))</f>
        <v>2.7782710208104895</v>
      </c>
      <c r="H3" s="8">
        <f ca="1">FORECAST(H$8,OFFSET('Coefficients Table'!$E$2:$E$8,MATCH(H$8,'Coefficients Table'!$B$2:$B$8,1)-1,0,2),OFFSET('Coefficients Table'!$B$2:$B$8,MATCH(H$8,'Coefficients Table'!$B$2:$B$8,1)-1,0,2))</f>
        <v>2.7925885092364857</v>
      </c>
      <c r="I3" s="8">
        <f ca="1">FORECAST(I$8,OFFSET('Coefficients Table'!$E$2:$E$8,MATCH(I$8,'Coefficients Table'!$B$2:$B$8,1)-1,0,2),OFFSET('Coefficients Table'!$B$2:$B$8,MATCH(I$8,'Coefficients Table'!$B$2:$B$8,1)-1,0,2))</f>
        <v>2.8069059976624815</v>
      </c>
      <c r="J3" s="8">
        <f ca="1">FORECAST(J$8,OFFSET('Coefficients Table'!$E$2:$E$8,MATCH(J$8,'Coefficients Table'!$B$2:$B$8,1)-1,0,2),OFFSET('Coefficients Table'!$B$2:$B$8,MATCH(J$8,'Coefficients Table'!$B$2:$B$8,1)-1,0,2))</f>
        <v>2.8290808868885602</v>
      </c>
      <c r="L3" s="8">
        <f ca="1">FORECAST(L$8,OFFSET('Coefficients Table'!$E$2:$E$8,MATCH(L$8,'Coefficients Table'!$B$2:$B$8,1)-1,0,2),OFFSET('Coefficients Table'!$B$2:$B$8,MATCH(L$8,'Coefficients Table'!$B$2:$B$8,1)-1,0,2))</f>
        <v>3.3483399767315905</v>
      </c>
      <c r="M3" s="8">
        <f ca="1">FORECAST(M$8,OFFSET('Coefficients Table'!$E$2:$E$8,MATCH(M$8,'Coefficients Table'!$B$2:$B$8,1)-1,0,2),OFFSET('Coefficients Table'!$B$2:$B$8,MATCH(M$8,'Coefficients Table'!$B$2:$B$8,1)-1,0,2))</f>
        <v>3.5247557002832086</v>
      </c>
      <c r="N3" s="8">
        <f ca="1">FORECAST(N$8,OFFSET('Coefficients Table'!$E$2:$E$8,MATCH(N$8,'Coefficients Table'!$B$2:$B$8,1)-1,0,2),OFFSET('Coefficients Table'!$B$2:$B$8,MATCH(N$8,'Coefficients Table'!$B$2:$B$8,1)-1,0,2))</f>
        <v>3.5539644353434743</v>
      </c>
      <c r="O3" s="8">
        <f ca="1">FORECAST(O$8,OFFSET('Coefficients Table'!$E$2:$E$8,MATCH(O$8,'Coefficients Table'!$B$2:$B$8,1)-1,0,2),OFFSET('Coefficients Table'!$B$2:$B$8,MATCH(O$8,'Coefficients Table'!$B$2:$B$8,1)-1,0,2))</f>
        <v>3.1661177280769817</v>
      </c>
      <c r="P3" s="8">
        <f ca="1">FORECAST(P$8,OFFSET('Coefficients Table'!$E$2:$E$8,MATCH(P$8,'Coefficients Table'!$B$2:$B$8,1)-1,0,2),OFFSET('Coefficients Table'!$B$2:$B$8,MATCH(P$8,'Coefficients Table'!$B$2:$B$8,1)-1,0,2))</f>
        <v>2.7782710208104895</v>
      </c>
      <c r="Q3" s="8">
        <f ca="1">FORECAST(Q$8,OFFSET('Coefficients Table'!$E$2:$E$8,MATCH(Q$8,'Coefficients Table'!$B$2:$B$8,1)-1,0,2),OFFSET('Coefficients Table'!$B$2:$B$8,MATCH(Q$8,'Coefficients Table'!$B$2:$B$8,1)-1,0,2))</f>
        <v>2.7925885092364857</v>
      </c>
      <c r="R3" s="8">
        <f ca="1">FORECAST(R$8,OFFSET('Coefficients Table'!$E$2:$E$8,MATCH(R$8,'Coefficients Table'!$B$2:$B$8,1)-1,0,2),OFFSET('Coefficients Table'!$B$2:$B$8,MATCH(R$8,'Coefficients Table'!$B$2:$B$8,1)-1,0,2))</f>
        <v>2.8069059976624815</v>
      </c>
      <c r="S3" s="8">
        <f ca="1">FORECAST(S$8,OFFSET('Coefficients Table'!$E$2:$E$8,MATCH(S$8,'Coefficients Table'!$B$2:$B$8,1)-1,0,2),OFFSET('Coefficients Table'!$B$2:$B$8,MATCH(S$8,'Coefficients Table'!$B$2:$B$8,1)-1,0,2))</f>
        <v>2.8290808868885602</v>
      </c>
      <c r="U3" s="8">
        <f ca="1">FORECAST(U$8,OFFSET('Coefficients Table'!$E$2:$E$8,MATCH(U$8,'Coefficients Table'!$B$2:$B$8,1)-1,0,2),OFFSET('Coefficients Table'!$B$2:$B$8,MATCH(U$8,'Coefficients Table'!$B$2:$B$8,1)-1,0,2))</f>
        <v>3.3483399767315905</v>
      </c>
      <c r="V3" s="8">
        <f ca="1">FORECAST(V$8,OFFSET('Coefficients Table'!$E$2:$E$8,MATCH(V$8,'Coefficients Table'!$B$2:$B$8,1)-1,0,2),OFFSET('Coefficients Table'!$B$2:$B$8,MATCH(V$8,'Coefficients Table'!$B$2:$B$8,1)-1,0,2))</f>
        <v>3.5247557002832086</v>
      </c>
      <c r="W3" s="8">
        <f ca="1">FORECAST(W$8,OFFSET('Coefficients Table'!$E$2:$E$8,MATCH(W$8,'Coefficients Table'!$B$2:$B$8,1)-1,0,2),OFFSET('Coefficients Table'!$B$2:$B$8,MATCH(W$8,'Coefficients Table'!$B$2:$B$8,1)-1,0,2))</f>
        <v>3.5539644353434743</v>
      </c>
      <c r="X3" s="8">
        <f ca="1">FORECAST(X$8,OFFSET('Coefficients Table'!$E$2:$E$8,MATCH(X$8,'Coefficients Table'!$B$2:$B$8,1)-1,0,2),OFFSET('Coefficients Table'!$B$2:$B$8,MATCH(X$8,'Coefficients Table'!$B$2:$B$8,1)-1,0,2))</f>
        <v>3.1661177280769817</v>
      </c>
      <c r="Y3" s="8">
        <f ca="1">FORECAST(Y$8,OFFSET('Coefficients Table'!$E$2:$E$8,MATCH(Y$8,'Coefficients Table'!$B$2:$B$8,1)-1,0,2),OFFSET('Coefficients Table'!$B$2:$B$8,MATCH(Y$8,'Coefficients Table'!$B$2:$B$8,1)-1,0,2))</f>
        <v>2.7782710208104895</v>
      </c>
      <c r="Z3" s="8">
        <f ca="1">FORECAST(Z$8,OFFSET('Coefficients Table'!$E$2:$E$8,MATCH(Z$8,'Coefficients Table'!$B$2:$B$8,1)-1,0,2),OFFSET('Coefficients Table'!$B$2:$B$8,MATCH(Z$8,'Coefficients Table'!$B$2:$B$8,1)-1,0,2))</f>
        <v>2.7925885092364857</v>
      </c>
      <c r="AA3" s="8">
        <f ca="1">FORECAST(AA$8,OFFSET('Coefficients Table'!$E$2:$E$8,MATCH(AA$8,'Coefficients Table'!$B$2:$B$8,1)-1,0,2),OFFSET('Coefficients Table'!$B$2:$B$8,MATCH(AA$8,'Coefficients Table'!$B$2:$B$8,1)-1,0,2))</f>
        <v>2.8069059976624815</v>
      </c>
      <c r="AB3" s="8">
        <f ca="1">FORECAST(AB$8,OFFSET('Coefficients Table'!$E$2:$E$8,MATCH(AB$8,'Coefficients Table'!$B$2:$B$8,1)-1,0,2),OFFSET('Coefficients Table'!$B$2:$B$8,MATCH(AB$8,'Coefficients Table'!$B$2:$B$8,1)-1,0,2))</f>
        <v>2.8290808868885602</v>
      </c>
    </row>
    <row r="4" spans="1:28" x14ac:dyDescent="0.3">
      <c r="B4" s="6" t="s">
        <v>13</v>
      </c>
      <c r="C4" s="8">
        <f ca="1">FORECAST(C$8,OFFSET('Coefficients Table'!$F$2:$F$8,MATCH(C$8,'Coefficients Table'!$B$2:$B$8,1)-1,0,2),OFFSET('Coefficients Table'!$B$2:$B$8,MATCH(C$8,'Coefficients Table'!$B$2:$B$8,1)-1,0,2))</f>
        <v>-1.7704346329793603</v>
      </c>
      <c r="D4" s="8">
        <f ca="1">FORECAST(D$8,OFFSET('Coefficients Table'!$F$2:$F$8,MATCH(D$8,'Coefficients Table'!$B$2:$B$8,1)-1,0,2),OFFSET('Coefficients Table'!$B$2:$B$8,MATCH(D$8,'Coefficients Table'!$B$2:$B$8,1)-1,0,2))</f>
        <v>-1.7704346329793603</v>
      </c>
      <c r="E4" s="8">
        <f ca="1">FORECAST(E$8,OFFSET('Coefficients Table'!$F$2:$F$8,MATCH(E$8,'Coefficients Table'!$B$2:$B$8,1)-1,0,2),OFFSET('Coefficients Table'!$B$2:$B$8,MATCH(E$8,'Coefficients Table'!$B$2:$B$8,1)-1,0,2))</f>
        <v>-1.7704346329793603</v>
      </c>
      <c r="F4" s="8">
        <f ca="1">FORECAST(F$8,OFFSET('Coefficients Table'!$F$2:$F$8,MATCH(F$8,'Coefficients Table'!$B$2:$B$8,1)-1,0,2),OFFSET('Coefficients Table'!$B$2:$B$8,MATCH(F$8,'Coefficients Table'!$B$2:$B$8,1)-1,0,2))</f>
        <v>-1.4349432144459204</v>
      </c>
      <c r="G4" s="8">
        <f ca="1">FORECAST(G$8,OFFSET('Coefficients Table'!$F$2:$F$8,MATCH(G$8,'Coefficients Table'!$B$2:$B$8,1)-1,0,2),OFFSET('Coefficients Table'!$B$2:$B$8,MATCH(G$8,'Coefficients Table'!$B$2:$B$8,1)-1,0,2))</f>
        <v>-1.0994517959124805</v>
      </c>
      <c r="H4" s="8">
        <f ca="1">FORECAST(H$8,OFFSET('Coefficients Table'!$F$2:$F$8,MATCH(H$8,'Coefficients Table'!$B$2:$B$8,1)-1,0,2),OFFSET('Coefficients Table'!$B$2:$B$8,MATCH(H$8,'Coefficients Table'!$B$2:$B$8,1)-1,0,2))</f>
        <v>-1.1124598124614766</v>
      </c>
      <c r="I4" s="8">
        <f ca="1">FORECAST(I$8,OFFSET('Coefficients Table'!$F$2:$F$8,MATCH(I$8,'Coefficients Table'!$B$2:$B$8,1)-1,0,2),OFFSET('Coefficients Table'!$B$2:$B$8,MATCH(I$8,'Coefficients Table'!$B$2:$B$8,1)-1,0,2))</f>
        <v>-1.1254678290104729</v>
      </c>
      <c r="J4" s="8">
        <f ca="1">FORECAST(J$8,OFFSET('Coefficients Table'!$F$2:$F$8,MATCH(J$8,'Coefficients Table'!$B$2:$B$8,1)-1,0,2),OFFSET('Coefficients Table'!$B$2:$B$8,MATCH(J$8,'Coefficients Table'!$B$2:$B$8,1)-1,0,2))</f>
        <v>-1.1423476961804364</v>
      </c>
      <c r="L4" s="8">
        <f ca="1">FORECAST(L$8,OFFSET('Coefficients Table'!$F$2:$F$8,MATCH(L$8,'Coefficients Table'!$B$2:$B$8,1)-1,0,2),OFFSET('Coefficients Table'!$B$2:$B$8,MATCH(L$8,'Coefficients Table'!$B$2:$B$8,1)-1,0,2))</f>
        <v>-1.7704346329793603</v>
      </c>
      <c r="M4" s="8">
        <f ca="1">FORECAST(M$8,OFFSET('Coefficients Table'!$F$2:$F$8,MATCH(M$8,'Coefficients Table'!$B$2:$B$8,1)-1,0,2),OFFSET('Coefficients Table'!$B$2:$B$8,MATCH(M$8,'Coefficients Table'!$B$2:$B$8,1)-1,0,2))</f>
        <v>-1.7704346329793603</v>
      </c>
      <c r="N4" s="8">
        <f ca="1">FORECAST(N$8,OFFSET('Coefficients Table'!$F$2:$F$8,MATCH(N$8,'Coefficients Table'!$B$2:$B$8,1)-1,0,2),OFFSET('Coefficients Table'!$B$2:$B$8,MATCH(N$8,'Coefficients Table'!$B$2:$B$8,1)-1,0,2))</f>
        <v>-1.7704346329793603</v>
      </c>
      <c r="O4" s="8">
        <f ca="1">FORECAST(O$8,OFFSET('Coefficients Table'!$F$2:$F$8,MATCH(O$8,'Coefficients Table'!$B$2:$B$8,1)-1,0,2),OFFSET('Coefficients Table'!$B$2:$B$8,MATCH(O$8,'Coefficients Table'!$B$2:$B$8,1)-1,0,2))</f>
        <v>-1.4349432144459204</v>
      </c>
      <c r="P4" s="8">
        <f ca="1">FORECAST(P$8,OFFSET('Coefficients Table'!$F$2:$F$8,MATCH(P$8,'Coefficients Table'!$B$2:$B$8,1)-1,0,2),OFFSET('Coefficients Table'!$B$2:$B$8,MATCH(P$8,'Coefficients Table'!$B$2:$B$8,1)-1,0,2))</f>
        <v>-1.0994517959124805</v>
      </c>
      <c r="Q4" s="8">
        <f ca="1">FORECAST(Q$8,OFFSET('Coefficients Table'!$F$2:$F$8,MATCH(Q$8,'Coefficients Table'!$B$2:$B$8,1)-1,0,2),OFFSET('Coefficients Table'!$B$2:$B$8,MATCH(Q$8,'Coefficients Table'!$B$2:$B$8,1)-1,0,2))</f>
        <v>-1.1124598124614766</v>
      </c>
      <c r="R4" s="8">
        <f ca="1">FORECAST(R$8,OFFSET('Coefficients Table'!$F$2:$F$8,MATCH(R$8,'Coefficients Table'!$B$2:$B$8,1)-1,0,2),OFFSET('Coefficients Table'!$B$2:$B$8,MATCH(R$8,'Coefficients Table'!$B$2:$B$8,1)-1,0,2))</f>
        <v>-1.1254678290104729</v>
      </c>
      <c r="S4" s="8">
        <f ca="1">FORECAST(S$8,OFFSET('Coefficients Table'!$F$2:$F$8,MATCH(S$8,'Coefficients Table'!$B$2:$B$8,1)-1,0,2),OFFSET('Coefficients Table'!$B$2:$B$8,MATCH(S$8,'Coefficients Table'!$B$2:$B$8,1)-1,0,2))</f>
        <v>-1.1423476961804364</v>
      </c>
      <c r="U4" s="8">
        <f ca="1">FORECAST(U$8,OFFSET('Coefficients Table'!$F$2:$F$8,MATCH(U$8,'Coefficients Table'!$B$2:$B$8,1)-1,0,2),OFFSET('Coefficients Table'!$B$2:$B$8,MATCH(U$8,'Coefficients Table'!$B$2:$B$8,1)-1,0,2))</f>
        <v>-1.7704346329793603</v>
      </c>
      <c r="V4" s="8">
        <f ca="1">FORECAST(V$8,OFFSET('Coefficients Table'!$F$2:$F$8,MATCH(V$8,'Coefficients Table'!$B$2:$B$8,1)-1,0,2),OFFSET('Coefficients Table'!$B$2:$B$8,MATCH(V$8,'Coefficients Table'!$B$2:$B$8,1)-1,0,2))</f>
        <v>-1.7704346329793603</v>
      </c>
      <c r="W4" s="8">
        <f ca="1">FORECAST(W$8,OFFSET('Coefficients Table'!$F$2:$F$8,MATCH(W$8,'Coefficients Table'!$B$2:$B$8,1)-1,0,2),OFFSET('Coefficients Table'!$B$2:$B$8,MATCH(W$8,'Coefficients Table'!$B$2:$B$8,1)-1,0,2))</f>
        <v>-1.7704346329793603</v>
      </c>
      <c r="X4" s="8">
        <f ca="1">FORECAST(X$8,OFFSET('Coefficients Table'!$F$2:$F$8,MATCH(X$8,'Coefficients Table'!$B$2:$B$8,1)-1,0,2),OFFSET('Coefficients Table'!$B$2:$B$8,MATCH(X$8,'Coefficients Table'!$B$2:$B$8,1)-1,0,2))</f>
        <v>-1.4349432144459204</v>
      </c>
      <c r="Y4" s="8">
        <f ca="1">FORECAST(Y$8,OFFSET('Coefficients Table'!$F$2:$F$8,MATCH(Y$8,'Coefficients Table'!$B$2:$B$8,1)-1,0,2),OFFSET('Coefficients Table'!$B$2:$B$8,MATCH(Y$8,'Coefficients Table'!$B$2:$B$8,1)-1,0,2))</f>
        <v>-1.0994517959124805</v>
      </c>
      <c r="Z4" s="8">
        <f ca="1">FORECAST(Z$8,OFFSET('Coefficients Table'!$F$2:$F$8,MATCH(Z$8,'Coefficients Table'!$B$2:$B$8,1)-1,0,2),OFFSET('Coefficients Table'!$B$2:$B$8,MATCH(Z$8,'Coefficients Table'!$B$2:$B$8,1)-1,0,2))</f>
        <v>-1.1124598124614766</v>
      </c>
      <c r="AA4" s="8">
        <f ca="1">FORECAST(AA$8,OFFSET('Coefficients Table'!$F$2:$F$8,MATCH(AA$8,'Coefficients Table'!$B$2:$B$8,1)-1,0,2),OFFSET('Coefficients Table'!$B$2:$B$8,MATCH(AA$8,'Coefficients Table'!$B$2:$B$8,1)-1,0,2))</f>
        <v>-1.1254678290104729</v>
      </c>
      <c r="AB4" s="8">
        <f ca="1">FORECAST(AB$8,OFFSET('Coefficients Table'!$F$2:$F$8,MATCH(AB$8,'Coefficients Table'!$B$2:$B$8,1)-1,0,2),OFFSET('Coefficients Table'!$B$2:$B$8,MATCH(AB$8,'Coefficients Table'!$B$2:$B$8,1)-1,0,2))</f>
        <v>-1.1423476961804364</v>
      </c>
    </row>
    <row r="5" spans="1:28" x14ac:dyDescent="0.3">
      <c r="B5" s="6" t="s">
        <v>14</v>
      </c>
      <c r="C5" s="8">
        <f ca="1">FORECAST(C$8,OFFSET('Coefficients Table'!$G$2:$G$8,MATCH(C$8,'Coefficients Table'!$B$2:$B$8,1)-1,0,2),OFFSET('Coefficients Table'!$B$2:$B$8,MATCH(C$8,'Coefficients Table'!$B$2:$B$8,1)-1,0,2))</f>
        <v>0.4</v>
      </c>
      <c r="D5" s="8">
        <f ca="1">FORECAST(D$8,OFFSET('Coefficients Table'!$G$2:$G$8,MATCH(D$8,'Coefficients Table'!$B$2:$B$8,1)-1,0,2),OFFSET('Coefficients Table'!$B$2:$B$8,MATCH(D$8,'Coefficients Table'!$B$2:$B$8,1)-1,0,2))</f>
        <v>0.4</v>
      </c>
      <c r="E5" s="8">
        <f ca="1">FORECAST(E$8,OFFSET('Coefficients Table'!$G$2:$G$8,MATCH(E$8,'Coefficients Table'!$B$2:$B$8,1)-1,0,2),OFFSET('Coefficients Table'!$B$2:$B$8,MATCH(E$8,'Coefficients Table'!$B$2:$B$8,1)-1,0,2))</f>
        <v>0.4</v>
      </c>
      <c r="F5" s="8">
        <f ca="1">FORECAST(F$8,OFFSET('Coefficients Table'!$G$2:$G$8,MATCH(F$8,'Coefficients Table'!$B$2:$B$8,1)-1,0,2),OFFSET('Coefficients Table'!$B$2:$B$8,MATCH(F$8,'Coefficients Table'!$B$2:$B$8,1)-1,0,2))</f>
        <v>0.4</v>
      </c>
      <c r="G5" s="8">
        <f ca="1">FORECAST(G$8,OFFSET('Coefficients Table'!$G$2:$G$8,MATCH(G$8,'Coefficients Table'!$B$2:$B$8,1)-1,0,2),OFFSET('Coefficients Table'!$B$2:$B$8,MATCH(G$8,'Coefficients Table'!$B$2:$B$8,1)-1,0,2))</f>
        <v>0.4</v>
      </c>
      <c r="H5" s="8">
        <f ca="1">FORECAST(H$8,OFFSET('Coefficients Table'!$G$2:$G$8,MATCH(H$8,'Coefficients Table'!$B$2:$B$8,1)-1,0,2),OFFSET('Coefficients Table'!$B$2:$B$8,MATCH(H$8,'Coefficients Table'!$B$2:$B$8,1)-1,0,2))</f>
        <v>0.4</v>
      </c>
      <c r="I5" s="8">
        <f ca="1">FORECAST(I$8,OFFSET('Coefficients Table'!$G$2:$G$8,MATCH(I$8,'Coefficients Table'!$B$2:$B$8,1)-1,0,2),OFFSET('Coefficients Table'!$B$2:$B$8,MATCH(I$8,'Coefficients Table'!$B$2:$B$8,1)-1,0,2))</f>
        <v>0.4</v>
      </c>
      <c r="J5" s="8">
        <f ca="1">FORECAST(J$8,OFFSET('Coefficients Table'!$G$2:$G$8,MATCH(J$8,'Coefficients Table'!$B$2:$B$8,1)-1,0,2),OFFSET('Coefficients Table'!$B$2:$B$8,MATCH(J$8,'Coefficients Table'!$B$2:$B$8,1)-1,0,2))</f>
        <v>0.4</v>
      </c>
      <c r="L5" s="8">
        <f ca="1">FORECAST(L$8,OFFSET('Coefficients Table'!$G$2:$G$8,MATCH(L$8,'Coefficients Table'!$B$2:$B$8,1)-1,0,2),OFFSET('Coefficients Table'!$B$2:$B$8,MATCH(L$8,'Coefficients Table'!$B$2:$B$8,1)-1,0,2))</f>
        <v>0.4</v>
      </c>
      <c r="M5" s="8">
        <f ca="1">FORECAST(M$8,OFFSET('Coefficients Table'!$G$2:$G$8,MATCH(M$8,'Coefficients Table'!$B$2:$B$8,1)-1,0,2),OFFSET('Coefficients Table'!$B$2:$B$8,MATCH(M$8,'Coefficients Table'!$B$2:$B$8,1)-1,0,2))</f>
        <v>0.4</v>
      </c>
      <c r="N5" s="8">
        <f ca="1">FORECAST(N$8,OFFSET('Coefficients Table'!$G$2:$G$8,MATCH(N$8,'Coefficients Table'!$B$2:$B$8,1)-1,0,2),OFFSET('Coefficients Table'!$B$2:$B$8,MATCH(N$8,'Coefficients Table'!$B$2:$B$8,1)-1,0,2))</f>
        <v>0.4</v>
      </c>
      <c r="O5" s="8">
        <f ca="1">FORECAST(O$8,OFFSET('Coefficients Table'!$G$2:$G$8,MATCH(O$8,'Coefficients Table'!$B$2:$B$8,1)-1,0,2),OFFSET('Coefficients Table'!$B$2:$B$8,MATCH(O$8,'Coefficients Table'!$B$2:$B$8,1)-1,0,2))</f>
        <v>0.4</v>
      </c>
      <c r="P5" s="8">
        <f ca="1">FORECAST(P$8,OFFSET('Coefficients Table'!$G$2:$G$8,MATCH(P$8,'Coefficients Table'!$B$2:$B$8,1)-1,0,2),OFFSET('Coefficients Table'!$B$2:$B$8,MATCH(P$8,'Coefficients Table'!$B$2:$B$8,1)-1,0,2))</f>
        <v>0.4</v>
      </c>
      <c r="Q5" s="8">
        <f ca="1">FORECAST(Q$8,OFFSET('Coefficients Table'!$G$2:$G$8,MATCH(Q$8,'Coefficients Table'!$B$2:$B$8,1)-1,0,2),OFFSET('Coefficients Table'!$B$2:$B$8,MATCH(Q$8,'Coefficients Table'!$B$2:$B$8,1)-1,0,2))</f>
        <v>0.4</v>
      </c>
      <c r="R5" s="8">
        <f ca="1">FORECAST(R$8,OFFSET('Coefficients Table'!$G$2:$G$8,MATCH(R$8,'Coefficients Table'!$B$2:$B$8,1)-1,0,2),OFFSET('Coefficients Table'!$B$2:$B$8,MATCH(R$8,'Coefficients Table'!$B$2:$B$8,1)-1,0,2))</f>
        <v>0.4</v>
      </c>
      <c r="S5" s="8">
        <f ca="1">FORECAST(S$8,OFFSET('Coefficients Table'!$G$2:$G$8,MATCH(S$8,'Coefficients Table'!$B$2:$B$8,1)-1,0,2),OFFSET('Coefficients Table'!$B$2:$B$8,MATCH(S$8,'Coefficients Table'!$B$2:$B$8,1)-1,0,2))</f>
        <v>0.4</v>
      </c>
      <c r="U5" s="8">
        <f ca="1">FORECAST(U$8,OFFSET('Coefficients Table'!$G$2:$G$8,MATCH(U$8,'Coefficients Table'!$B$2:$B$8,1)-1,0,2),OFFSET('Coefficients Table'!$B$2:$B$8,MATCH(U$8,'Coefficients Table'!$B$2:$B$8,1)-1,0,2))</f>
        <v>0.4</v>
      </c>
      <c r="V5" s="8">
        <f ca="1">FORECAST(V$8,OFFSET('Coefficients Table'!$G$2:$G$8,MATCH(V$8,'Coefficients Table'!$B$2:$B$8,1)-1,0,2),OFFSET('Coefficients Table'!$B$2:$B$8,MATCH(V$8,'Coefficients Table'!$B$2:$B$8,1)-1,0,2))</f>
        <v>0.4</v>
      </c>
      <c r="W5" s="8">
        <f ca="1">FORECAST(W$8,OFFSET('Coefficients Table'!$G$2:$G$8,MATCH(W$8,'Coefficients Table'!$B$2:$B$8,1)-1,0,2),OFFSET('Coefficients Table'!$B$2:$B$8,MATCH(W$8,'Coefficients Table'!$B$2:$B$8,1)-1,0,2))</f>
        <v>0.4</v>
      </c>
      <c r="X5" s="8">
        <f ca="1">FORECAST(X$8,OFFSET('Coefficients Table'!$G$2:$G$8,MATCH(X$8,'Coefficients Table'!$B$2:$B$8,1)-1,0,2),OFFSET('Coefficients Table'!$B$2:$B$8,MATCH(X$8,'Coefficients Table'!$B$2:$B$8,1)-1,0,2))</f>
        <v>0.4</v>
      </c>
      <c r="Y5" s="8">
        <f ca="1">FORECAST(Y$8,OFFSET('Coefficients Table'!$G$2:$G$8,MATCH(Y$8,'Coefficients Table'!$B$2:$B$8,1)-1,0,2),OFFSET('Coefficients Table'!$B$2:$B$8,MATCH(Y$8,'Coefficients Table'!$B$2:$B$8,1)-1,0,2))</f>
        <v>0.4</v>
      </c>
      <c r="Z5" s="8">
        <f ca="1">FORECAST(Z$8,OFFSET('Coefficients Table'!$G$2:$G$8,MATCH(Z$8,'Coefficients Table'!$B$2:$B$8,1)-1,0,2),OFFSET('Coefficients Table'!$B$2:$B$8,MATCH(Z$8,'Coefficients Table'!$B$2:$B$8,1)-1,0,2))</f>
        <v>0.4</v>
      </c>
      <c r="AA5" s="8">
        <f ca="1">FORECAST(AA$8,OFFSET('Coefficients Table'!$G$2:$G$8,MATCH(AA$8,'Coefficients Table'!$B$2:$B$8,1)-1,0,2),OFFSET('Coefficients Table'!$B$2:$B$8,MATCH(AA$8,'Coefficients Table'!$B$2:$B$8,1)-1,0,2))</f>
        <v>0.4</v>
      </c>
      <c r="AB5" s="8">
        <f ca="1">FORECAST(AB$8,OFFSET('Coefficients Table'!$G$2:$G$8,MATCH(AB$8,'Coefficients Table'!$B$2:$B$8,1)-1,0,2),OFFSET('Coefficients Table'!$B$2:$B$8,MATCH(AB$8,'Coefficients Table'!$B$2:$B$8,1)-1,0,2))</f>
        <v>0.4</v>
      </c>
    </row>
    <row r="6" spans="1:28" x14ac:dyDescent="0.3">
      <c r="B6" s="6" t="s">
        <v>0</v>
      </c>
      <c r="C6" s="8">
        <f ca="1">FORECAST(C$8,OFFSET('Coefficients Table'!$H$2:$H$8,MATCH(C$8,'Coefficients Table'!$B$2:$B$8,1)-1,0,2),OFFSET('Coefficients Table'!$B$2:$B$8,MATCH(C$8,'Coefficients Table'!$B$2:$B$8,1)-1,0,2))</f>
        <v>1.734</v>
      </c>
      <c r="D6" s="8">
        <f ca="1">FORECAST(D$8,OFFSET('Coefficients Table'!$H$2:$H$8,MATCH(D$8,'Coefficients Table'!$B$2:$B$8,1)-1,0,2),OFFSET('Coefficients Table'!$B$2:$B$8,MATCH(D$8,'Coefficients Table'!$B$2:$B$8,1)-1,0,2))</f>
        <v>1.734</v>
      </c>
      <c r="E6" s="8">
        <f ca="1">FORECAST(E$8,OFFSET('Coefficients Table'!$H$2:$H$8,MATCH(E$8,'Coefficients Table'!$B$2:$B$8,1)-1,0,2),OFFSET('Coefficients Table'!$B$2:$B$8,MATCH(E$8,'Coefficients Table'!$B$2:$B$8,1)-1,0,2))</f>
        <v>1.734</v>
      </c>
      <c r="F6" s="8">
        <f ca="1">FORECAST(F$8,OFFSET('Coefficients Table'!$H$2:$H$8,MATCH(F$8,'Coefficients Table'!$B$2:$B$8,1)-1,0,2),OFFSET('Coefficients Table'!$B$2:$B$8,MATCH(F$8,'Coefficients Table'!$B$2:$B$8,1)-1,0,2))</f>
        <v>1.734</v>
      </c>
      <c r="G6" s="8">
        <f ca="1">FORECAST(G$8,OFFSET('Coefficients Table'!$H$2:$H$8,MATCH(G$8,'Coefficients Table'!$B$2:$B$8,1)-1,0,2),OFFSET('Coefficients Table'!$B$2:$B$8,MATCH(G$8,'Coefficients Table'!$B$2:$B$8,1)-1,0,2))</f>
        <v>1.734</v>
      </c>
      <c r="H6" s="8">
        <f ca="1">FORECAST(H$8,OFFSET('Coefficients Table'!$H$2:$H$8,MATCH(H$8,'Coefficients Table'!$B$2:$B$8,1)-1,0,2),OFFSET('Coefficients Table'!$B$2:$B$8,MATCH(H$8,'Coefficients Table'!$B$2:$B$8,1)-1,0,2))</f>
        <v>1.734</v>
      </c>
      <c r="I6" s="8">
        <f ca="1">FORECAST(I$8,OFFSET('Coefficients Table'!$H$2:$H$8,MATCH(I$8,'Coefficients Table'!$B$2:$B$8,1)-1,0,2),OFFSET('Coefficients Table'!$B$2:$B$8,MATCH(I$8,'Coefficients Table'!$B$2:$B$8,1)-1,0,2))</f>
        <v>1.734</v>
      </c>
      <c r="J6" s="8">
        <f ca="1">FORECAST(J$8,OFFSET('Coefficients Table'!$H$2:$H$8,MATCH(J$8,'Coefficients Table'!$B$2:$B$8,1)-1,0,2),OFFSET('Coefficients Table'!$B$2:$B$8,MATCH(J$8,'Coefficients Table'!$B$2:$B$8,1)-1,0,2))</f>
        <v>1.734</v>
      </c>
      <c r="L6" s="8">
        <f ca="1">FORECAST(L$8,OFFSET('Coefficients Table'!$H$2:$H$8,MATCH(L$8,'Coefficients Table'!$B$2:$B$8,1)-1,0,2),OFFSET('Coefficients Table'!$B$2:$B$8,MATCH(L$8,'Coefficients Table'!$B$2:$B$8,1)-1,0,2))</f>
        <v>1.734</v>
      </c>
      <c r="M6" s="8">
        <f ca="1">FORECAST(M$8,OFFSET('Coefficients Table'!$H$2:$H$8,MATCH(M$8,'Coefficients Table'!$B$2:$B$8,1)-1,0,2),OFFSET('Coefficients Table'!$B$2:$B$8,MATCH(M$8,'Coefficients Table'!$B$2:$B$8,1)-1,0,2))</f>
        <v>1.734</v>
      </c>
      <c r="N6" s="8">
        <f ca="1">FORECAST(N$8,OFFSET('Coefficients Table'!$H$2:$H$8,MATCH(N$8,'Coefficients Table'!$B$2:$B$8,1)-1,0,2),OFFSET('Coefficients Table'!$B$2:$B$8,MATCH(N$8,'Coefficients Table'!$B$2:$B$8,1)-1,0,2))</f>
        <v>1.734</v>
      </c>
      <c r="O6" s="8">
        <f ca="1">FORECAST(O$8,OFFSET('Coefficients Table'!$H$2:$H$8,MATCH(O$8,'Coefficients Table'!$B$2:$B$8,1)-1,0,2),OFFSET('Coefficients Table'!$B$2:$B$8,MATCH(O$8,'Coefficients Table'!$B$2:$B$8,1)-1,0,2))</f>
        <v>1.734</v>
      </c>
      <c r="P6" s="8">
        <f ca="1">FORECAST(P$8,OFFSET('Coefficients Table'!$H$2:$H$8,MATCH(P$8,'Coefficients Table'!$B$2:$B$8,1)-1,0,2),OFFSET('Coefficients Table'!$B$2:$B$8,MATCH(P$8,'Coefficients Table'!$B$2:$B$8,1)-1,0,2))</f>
        <v>1.734</v>
      </c>
      <c r="Q6" s="8">
        <f ca="1">FORECAST(Q$8,OFFSET('Coefficients Table'!$H$2:$H$8,MATCH(Q$8,'Coefficients Table'!$B$2:$B$8,1)-1,0,2),OFFSET('Coefficients Table'!$B$2:$B$8,MATCH(Q$8,'Coefficients Table'!$B$2:$B$8,1)-1,0,2))</f>
        <v>1.734</v>
      </c>
      <c r="R6" s="8">
        <f ca="1">FORECAST(R$8,OFFSET('Coefficients Table'!$H$2:$H$8,MATCH(R$8,'Coefficients Table'!$B$2:$B$8,1)-1,0,2),OFFSET('Coefficients Table'!$B$2:$B$8,MATCH(R$8,'Coefficients Table'!$B$2:$B$8,1)-1,0,2))</f>
        <v>1.734</v>
      </c>
      <c r="S6" s="8">
        <f ca="1">FORECAST(S$8,OFFSET('Coefficients Table'!$H$2:$H$8,MATCH(S$8,'Coefficients Table'!$B$2:$B$8,1)-1,0,2),OFFSET('Coefficients Table'!$B$2:$B$8,MATCH(S$8,'Coefficients Table'!$B$2:$B$8,1)-1,0,2))</f>
        <v>1.734</v>
      </c>
      <c r="U6" s="8">
        <f ca="1">FORECAST(U$8,OFFSET('Coefficients Table'!$H$2:$H$8,MATCH(U$8,'Coefficients Table'!$B$2:$B$8,1)-1,0,2),OFFSET('Coefficients Table'!$B$2:$B$8,MATCH(U$8,'Coefficients Table'!$B$2:$B$8,1)-1,0,2))</f>
        <v>1.734</v>
      </c>
      <c r="V6" s="8">
        <f ca="1">FORECAST(V$8,OFFSET('Coefficients Table'!$H$2:$H$8,MATCH(V$8,'Coefficients Table'!$B$2:$B$8,1)-1,0,2),OFFSET('Coefficients Table'!$B$2:$B$8,MATCH(V$8,'Coefficients Table'!$B$2:$B$8,1)-1,0,2))</f>
        <v>1.734</v>
      </c>
      <c r="W6" s="8">
        <f ca="1">FORECAST(W$8,OFFSET('Coefficients Table'!$H$2:$H$8,MATCH(W$8,'Coefficients Table'!$B$2:$B$8,1)-1,0,2),OFFSET('Coefficients Table'!$B$2:$B$8,MATCH(W$8,'Coefficients Table'!$B$2:$B$8,1)-1,0,2))</f>
        <v>1.734</v>
      </c>
      <c r="X6" s="8">
        <f ca="1">FORECAST(X$8,OFFSET('Coefficients Table'!$H$2:$H$8,MATCH(X$8,'Coefficients Table'!$B$2:$B$8,1)-1,0,2),OFFSET('Coefficients Table'!$B$2:$B$8,MATCH(X$8,'Coefficients Table'!$B$2:$B$8,1)-1,0,2))</f>
        <v>1.734</v>
      </c>
      <c r="Y6" s="8">
        <f ca="1">FORECAST(Y$8,OFFSET('Coefficients Table'!$H$2:$H$8,MATCH(Y$8,'Coefficients Table'!$B$2:$B$8,1)-1,0,2),OFFSET('Coefficients Table'!$B$2:$B$8,MATCH(Y$8,'Coefficients Table'!$B$2:$B$8,1)-1,0,2))</f>
        <v>1.734</v>
      </c>
      <c r="Z6" s="8">
        <f ca="1">FORECAST(Z$8,OFFSET('Coefficients Table'!$H$2:$H$8,MATCH(Z$8,'Coefficients Table'!$B$2:$B$8,1)-1,0,2),OFFSET('Coefficients Table'!$B$2:$B$8,MATCH(Z$8,'Coefficients Table'!$B$2:$B$8,1)-1,0,2))</f>
        <v>1.734</v>
      </c>
      <c r="AA6" s="8">
        <f ca="1">FORECAST(AA$8,OFFSET('Coefficients Table'!$H$2:$H$8,MATCH(AA$8,'Coefficients Table'!$B$2:$B$8,1)-1,0,2),OFFSET('Coefficients Table'!$B$2:$B$8,MATCH(AA$8,'Coefficients Table'!$B$2:$B$8,1)-1,0,2))</f>
        <v>1.734</v>
      </c>
      <c r="AB6" s="8">
        <f ca="1">FORECAST(AB$8,OFFSET('Coefficients Table'!$H$2:$H$8,MATCH(AB$8,'Coefficients Table'!$B$2:$B$8,1)-1,0,2),OFFSET('Coefficients Table'!$B$2:$B$8,MATCH(AB$8,'Coefficients Table'!$B$2:$B$8,1)-1,0,2))</f>
        <v>1.734</v>
      </c>
    </row>
    <row r="7" spans="1:28" x14ac:dyDescent="0.3">
      <c r="B7" s="6" t="s">
        <v>36</v>
      </c>
      <c r="C7" s="10">
        <v>4</v>
      </c>
      <c r="D7" s="10">
        <v>4</v>
      </c>
      <c r="E7" s="10">
        <v>4</v>
      </c>
      <c r="F7" s="10">
        <v>4</v>
      </c>
      <c r="G7" s="10">
        <v>4</v>
      </c>
      <c r="H7" s="10">
        <v>4</v>
      </c>
      <c r="I7" s="10">
        <v>4</v>
      </c>
      <c r="J7" s="10">
        <v>4</v>
      </c>
      <c r="L7" s="10">
        <v>4</v>
      </c>
      <c r="M7" s="10">
        <v>4</v>
      </c>
      <c r="N7" s="10">
        <v>4</v>
      </c>
      <c r="O7" s="10">
        <v>4</v>
      </c>
      <c r="P7" s="10">
        <v>4</v>
      </c>
      <c r="Q7" s="10">
        <v>4</v>
      </c>
      <c r="R7" s="10">
        <v>4</v>
      </c>
      <c r="S7" s="10">
        <v>4</v>
      </c>
      <c r="U7" s="10">
        <v>4</v>
      </c>
      <c r="V7" s="10">
        <v>4</v>
      </c>
      <c r="W7" s="10">
        <v>4</v>
      </c>
      <c r="X7" s="10">
        <v>4</v>
      </c>
      <c r="Y7" s="10">
        <v>4</v>
      </c>
      <c r="Z7" s="10">
        <v>4</v>
      </c>
      <c r="AA7" s="10">
        <v>4</v>
      </c>
      <c r="AB7" s="10">
        <v>4</v>
      </c>
    </row>
    <row r="8" spans="1:28" x14ac:dyDescent="0.3">
      <c r="A8" s="6" t="s">
        <v>30</v>
      </c>
      <c r="B8" s="6" t="s">
        <v>37</v>
      </c>
      <c r="C8" s="10">
        <v>-10</v>
      </c>
      <c r="D8" s="10">
        <v>0</v>
      </c>
      <c r="E8" s="10">
        <v>10</v>
      </c>
      <c r="F8" s="10">
        <v>15</v>
      </c>
      <c r="G8" s="10">
        <v>20</v>
      </c>
      <c r="H8" s="10">
        <v>25</v>
      </c>
      <c r="I8" s="10">
        <v>30</v>
      </c>
      <c r="J8" s="10">
        <v>35</v>
      </c>
      <c r="L8" s="10">
        <v>-10</v>
      </c>
      <c r="M8" s="10">
        <v>0</v>
      </c>
      <c r="N8" s="10">
        <v>10</v>
      </c>
      <c r="O8" s="10">
        <v>15</v>
      </c>
      <c r="P8" s="10">
        <v>20</v>
      </c>
      <c r="Q8" s="10">
        <v>25</v>
      </c>
      <c r="R8" s="10">
        <v>30</v>
      </c>
      <c r="S8" s="10">
        <v>35</v>
      </c>
      <c r="U8" s="10">
        <v>-10</v>
      </c>
      <c r="V8" s="10">
        <v>0</v>
      </c>
      <c r="W8" s="10">
        <v>10</v>
      </c>
      <c r="X8" s="10">
        <v>15</v>
      </c>
      <c r="Y8" s="10">
        <v>20</v>
      </c>
      <c r="Z8" s="10">
        <v>25</v>
      </c>
      <c r="AA8" s="10">
        <v>30</v>
      </c>
      <c r="AB8" s="10">
        <v>35</v>
      </c>
    </row>
    <row r="9" spans="1:28" x14ac:dyDescent="0.3">
      <c r="A9" s="6"/>
      <c r="B9" s="6" t="s">
        <v>38</v>
      </c>
      <c r="C9" s="11" t="s">
        <v>40</v>
      </c>
      <c r="D9" s="11" t="s">
        <v>39</v>
      </c>
      <c r="E9" s="11" t="s">
        <v>41</v>
      </c>
      <c r="F9" s="11" t="s">
        <v>42</v>
      </c>
      <c r="G9" s="11" t="s">
        <v>43</v>
      </c>
      <c r="H9" s="11" t="s">
        <v>44</v>
      </c>
      <c r="I9" s="11" t="s">
        <v>45</v>
      </c>
      <c r="J9" s="11" t="s">
        <v>46</v>
      </c>
      <c r="K9" s="7"/>
      <c r="L9" s="11" t="s">
        <v>40</v>
      </c>
      <c r="M9" s="11" t="s">
        <v>39</v>
      </c>
      <c r="N9" s="11" t="s">
        <v>41</v>
      </c>
      <c r="O9" s="11" t="s">
        <v>42</v>
      </c>
      <c r="P9" s="11" t="s">
        <v>43</v>
      </c>
      <c r="Q9" s="11" t="s">
        <v>44</v>
      </c>
      <c r="R9" s="11" t="s">
        <v>45</v>
      </c>
      <c r="S9" s="11" t="s">
        <v>46</v>
      </c>
      <c r="U9" s="11" t="s">
        <v>40</v>
      </c>
      <c r="V9" s="11" t="s">
        <v>39</v>
      </c>
      <c r="W9" s="11" t="s">
        <v>41</v>
      </c>
      <c r="X9" s="11" t="s">
        <v>42</v>
      </c>
      <c r="Y9" s="11" t="s">
        <v>43</v>
      </c>
      <c r="Z9" s="11" t="s">
        <v>44</v>
      </c>
      <c r="AA9" s="11" t="s">
        <v>45</v>
      </c>
      <c r="AB9" s="11" t="s">
        <v>46</v>
      </c>
    </row>
    <row r="10" spans="1:28" x14ac:dyDescent="0.3">
      <c r="A10">
        <f>1-0.000001</f>
        <v>0.99999899999999997</v>
      </c>
      <c r="B10">
        <f t="shared" ref="B10:B34" si="0">A10*100</f>
        <v>99.999899999999997</v>
      </c>
      <c r="C10" s="9">
        <f t="shared" ref="C10:J20" ca="1" si="1">C$7*(C$3+C$2*(-LN($A10))^C$1+C$4*$A10+C$6*EXP(C$5*($A10-1)))</f>
        <v>13.241428391535834</v>
      </c>
      <c r="D10" s="9">
        <f t="shared" ca="1" si="1"/>
        <v>13.947091285742307</v>
      </c>
      <c r="E10" s="9">
        <f t="shared" ca="1" si="1"/>
        <v>14.063926225983369</v>
      </c>
      <c r="F10" s="9">
        <f t="shared" ca="1" si="1"/>
        <v>13.856035896038611</v>
      </c>
      <c r="G10" s="9">
        <f t="shared" ca="1" si="1"/>
        <v>13.648145566093856</v>
      </c>
      <c r="H10" s="9">
        <f t="shared" ca="1" si="1"/>
        <v>13.653450336578056</v>
      </c>
      <c r="I10" s="9">
        <f t="shared" ca="1" si="1"/>
        <v>13.658755107062252</v>
      </c>
      <c r="J10" s="9">
        <f t="shared" ca="1" si="1"/>
        <v>13.679924945017591</v>
      </c>
      <c r="L10" s="10">
        <f ca="1">L$7*(-L$2*L$1*(-LN($A10))^(L$1-1)/$A10+L$4+L$6*L$5*EXP(L$5*($A10-1)))</f>
        <v>2957.9991496458574</v>
      </c>
      <c r="M10" s="10">
        <f ca="1">M$7*(-M$2*M$1*(-LN($A10))^(M$1-1)/$A10+M$4+M$6*M$5*EXP(M$5*($A10-1)))</f>
        <v>2957.9991496458574</v>
      </c>
      <c r="N10" s="10">
        <f ca="1">N$7*(-N$2*N$1*(-LN($A10))^(N$1-1)/$A10+N$4+N$6*N$5*EXP(N$5*($A10-1)))</f>
        <v>2957.9991496458574</v>
      </c>
      <c r="O10" s="10">
        <f t="shared" ref="M10:S22" ca="1" si="2">O$7*(-O$2*O$1*(-LN($A10))^(O$1-1)/$A10+O$4+O$6*O$5*EXP(O$5*($A10-1)))</f>
        <v>2226.9649455579647</v>
      </c>
      <c r="P10" s="10">
        <f t="shared" ca="1" si="2"/>
        <v>1495.9307414700711</v>
      </c>
      <c r="Q10" s="10">
        <f t="shared" ca="1" si="2"/>
        <v>1463.9335021366865</v>
      </c>
      <c r="R10" s="10">
        <f t="shared" ca="1" si="2"/>
        <v>1431.9362628033014</v>
      </c>
      <c r="S10" s="10">
        <f t="shared" ca="1" si="2"/>
        <v>1436.800648746457</v>
      </c>
      <c r="U10" s="9">
        <f ca="1">U$7*(U$2*U$1/$A10^2*((U$1-1)*(-LN($A10))^(U$1-2)+(-LN($A10))^(U$1-1))+U$6*U$5^2*EXP(U$5*($A10-1)))</f>
        <v>1546321799.3265698</v>
      </c>
      <c r="V10" s="9">
        <f t="shared" ref="V10:AB23" ca="1" si="3">V$7*(V$2*V$1/$A10^2*((V$1-1)*(-LN($A10))^(V$1-2)+(-LN($A10))^(V$1-1))+V$6*V$5^2*EXP(V$5*($A10-1)))</f>
        <v>1546321799.3265698</v>
      </c>
      <c r="W10" s="9">
        <f t="shared" ca="1" si="3"/>
        <v>1546321799.3265698</v>
      </c>
      <c r="X10" s="9">
        <f t="shared" ca="1" si="3"/>
        <v>1164021979.9483488</v>
      </c>
      <c r="Y10" s="9">
        <f t="shared" ca="1" si="3"/>
        <v>781722160.57012713</v>
      </c>
      <c r="Z10" s="9">
        <f t="shared" ca="1" si="3"/>
        <v>765046785.98466742</v>
      </c>
      <c r="AA10" s="9">
        <f t="shared" ca="1" si="3"/>
        <v>748371411.39920747</v>
      </c>
      <c r="AB10" s="9">
        <f t="shared" ca="1" si="3"/>
        <v>750945862.3794297</v>
      </c>
    </row>
    <row r="11" spans="1:28" x14ac:dyDescent="0.3">
      <c r="A11">
        <v>0.99</v>
      </c>
      <c r="B11">
        <f t="shared" si="0"/>
        <v>99</v>
      </c>
      <c r="C11" s="9">
        <f t="shared" ca="1" si="1"/>
        <v>12.783474441295841</v>
      </c>
      <c r="D11" s="9">
        <f t="shared" ca="1" si="1"/>
        <v>13.489137335502313</v>
      </c>
      <c r="E11" s="9">
        <f t="shared" ca="1" si="1"/>
        <v>13.605972275743376</v>
      </c>
      <c r="F11" s="9">
        <f t="shared" ca="1" si="1"/>
        <v>13.50854612314739</v>
      </c>
      <c r="G11" s="9">
        <f t="shared" ca="1" si="1"/>
        <v>13.411119970551404</v>
      </c>
      <c r="H11" s="9">
        <f t="shared" ca="1" si="1"/>
        <v>13.422348587841693</v>
      </c>
      <c r="I11" s="9">
        <f t="shared" ca="1" si="1"/>
        <v>13.433577205131979</v>
      </c>
      <c r="J11" s="9">
        <f t="shared" ca="1" si="1"/>
        <v>13.454587931295809</v>
      </c>
      <c r="L11" s="9">
        <f t="shared" ref="L11:S23" ca="1" si="4">L$7*(-L$2*L$1*(-LN($A11))^(L$1-1)/$A11+L$4+L$6*L$5*EXP(L$5*($A11-1)))</f>
        <v>20.051624479598839</v>
      </c>
      <c r="M11" s="9">
        <f t="shared" ca="1" si="2"/>
        <v>20.051624479598839</v>
      </c>
      <c r="N11" s="9">
        <f t="shared" ca="1" si="2"/>
        <v>20.051624479598839</v>
      </c>
      <c r="O11" s="9">
        <f t="shared" ca="1" si="2"/>
        <v>15.368543292953586</v>
      </c>
      <c r="P11" s="9">
        <f t="shared" ca="1" si="2"/>
        <v>10.685462106308332</v>
      </c>
      <c r="Q11" s="9">
        <f t="shared" ca="1" si="2"/>
        <v>10.370626062172089</v>
      </c>
      <c r="R11" s="9">
        <f t="shared" ca="1" si="2"/>
        <v>10.055790018035845</v>
      </c>
      <c r="S11" s="9">
        <f t="shared" ca="1" si="2"/>
        <v>10.028843908301972</v>
      </c>
      <c r="U11" s="9">
        <f t="shared" ref="U11:AB34" ca="1" si="5">U$7*(U$2*U$1/$A11^2*((U$1-1)*(-LN($A11))^(U$1-2)+(-LN($A11))^(U$1-1))+U$6*U$5^2*EXP(U$5*($A11-1)))</f>
        <v>1255.0192026394234</v>
      </c>
      <c r="V11" s="9">
        <f t="shared" ca="1" si="3"/>
        <v>1255.0192026394234</v>
      </c>
      <c r="W11" s="9">
        <f t="shared" ca="1" si="3"/>
        <v>1255.0192026394234</v>
      </c>
      <c r="X11" s="9">
        <f t="shared" ca="1" si="3"/>
        <v>945.01190167197785</v>
      </c>
      <c r="Y11" s="9">
        <f t="shared" ca="1" si="3"/>
        <v>635.00460070453209</v>
      </c>
      <c r="Z11" s="9">
        <f t="shared" ca="1" si="3"/>
        <v>621.48252299006379</v>
      </c>
      <c r="AA11" s="9">
        <f t="shared" ca="1" si="3"/>
        <v>607.96044527559536</v>
      </c>
      <c r="AB11" s="9">
        <f t="shared" ca="1" si="3"/>
        <v>610.0480701171391</v>
      </c>
    </row>
    <row r="12" spans="1:28" x14ac:dyDescent="0.3">
      <c r="A12">
        <v>0.98</v>
      </c>
      <c r="B12">
        <f t="shared" ref="B12" si="6">A12*100</f>
        <v>98</v>
      </c>
      <c r="C12" s="9">
        <f t="shared" ca="1" si="1"/>
        <v>12.625737933744897</v>
      </c>
      <c r="D12" s="9">
        <f t="shared" ca="1" si="1"/>
        <v>13.33140082795137</v>
      </c>
      <c r="E12" s="9">
        <f t="shared" ca="1" si="1"/>
        <v>13.448235768192433</v>
      </c>
      <c r="F12" s="9">
        <f t="shared" ca="1" si="1"/>
        <v>13.387077564277481</v>
      </c>
      <c r="G12" s="9">
        <f t="shared" ca="1" si="1"/>
        <v>13.32591936036253</v>
      </c>
      <c r="H12" s="9">
        <f t="shared" ca="1" si="1"/>
        <v>13.339835601019814</v>
      </c>
      <c r="I12" s="9">
        <f t="shared" ca="1" si="1"/>
        <v>13.353751841677093</v>
      </c>
      <c r="J12" s="9">
        <f t="shared" ca="1" si="1"/>
        <v>13.37510316047457</v>
      </c>
      <c r="L12" s="9">
        <f t="shared" ca="1" si="4"/>
        <v>12.769912484492654</v>
      </c>
      <c r="M12" s="9">
        <f t="shared" ca="1" si="2"/>
        <v>12.769912484492654</v>
      </c>
      <c r="N12" s="9">
        <f t="shared" ca="1" si="2"/>
        <v>12.769912484492654</v>
      </c>
      <c r="O12" s="9">
        <f t="shared" ca="1" si="2"/>
        <v>9.8843743124126942</v>
      </c>
      <c r="P12" s="9">
        <f t="shared" ca="1" si="2"/>
        <v>6.9988361403327346</v>
      </c>
      <c r="Q12" s="9">
        <f t="shared" ca="1" si="2"/>
        <v>6.7624063668301133</v>
      </c>
      <c r="R12" s="9">
        <f t="shared" ca="1" si="2"/>
        <v>6.5259765933274867</v>
      </c>
      <c r="S12" s="9">
        <f t="shared" ca="1" si="2"/>
        <v>6.4869256220653906</v>
      </c>
      <c r="U12" s="9">
        <f t="shared" ca="1" si="5"/>
        <v>434.48450723051621</v>
      </c>
      <c r="V12" s="9">
        <f t="shared" ca="1" si="3"/>
        <v>434.48450723051621</v>
      </c>
      <c r="W12" s="9">
        <f t="shared" ca="1" si="3"/>
        <v>434.48450723051621</v>
      </c>
      <c r="X12" s="9">
        <f t="shared" ca="1" si="3"/>
        <v>327.33833084696607</v>
      </c>
      <c r="Y12" s="9">
        <f t="shared" ca="1" si="3"/>
        <v>220.19215446341582</v>
      </c>
      <c r="Z12" s="9">
        <f t="shared" ca="1" si="3"/>
        <v>215.51859058493591</v>
      </c>
      <c r="AA12" s="9">
        <f t="shared" ca="1" si="3"/>
        <v>210.84502670645594</v>
      </c>
      <c r="AB12" s="9">
        <f t="shared" ca="1" si="3"/>
        <v>211.56656138901565</v>
      </c>
    </row>
    <row r="13" spans="1:28" x14ac:dyDescent="0.3">
      <c r="A13">
        <v>0.97</v>
      </c>
      <c r="B13">
        <f t="shared" ref="B13:B14" si="7">A13*100</f>
        <v>97</v>
      </c>
      <c r="C13" s="9">
        <f t="shared" ca="1" si="1"/>
        <v>12.515513584477986</v>
      </c>
      <c r="D13" s="9">
        <f t="shared" ca="1" si="1"/>
        <v>13.221176478684459</v>
      </c>
      <c r="E13" s="9">
        <f t="shared" ca="1" si="1"/>
        <v>13.338011418925522</v>
      </c>
      <c r="F13" s="9">
        <f t="shared" ca="1" si="1"/>
        <v>13.301401868623078</v>
      </c>
      <c r="G13" s="9">
        <f t="shared" ca="1" si="1"/>
        <v>13.264792318320637</v>
      </c>
      <c r="H13" s="9">
        <f t="shared" ca="1" si="1"/>
        <v>13.280885003355964</v>
      </c>
      <c r="I13" s="9">
        <f t="shared" ca="1" si="1"/>
        <v>13.296977688391287</v>
      </c>
      <c r="J13" s="9">
        <f t="shared" ca="1" si="1"/>
        <v>13.318748518904099</v>
      </c>
      <c r="L13" s="9">
        <f t="shared" ca="1" si="4"/>
        <v>9.602586844656587</v>
      </c>
      <c r="M13" s="9">
        <f t="shared" ca="1" si="2"/>
        <v>9.602586844656587</v>
      </c>
      <c r="N13" s="9">
        <f t="shared" ca="1" si="2"/>
        <v>9.602586844656587</v>
      </c>
      <c r="O13" s="9">
        <f t="shared" ca="1" si="2"/>
        <v>7.497395701776254</v>
      </c>
      <c r="P13" s="9">
        <f t="shared" ca="1" si="2"/>
        <v>5.3922045588959193</v>
      </c>
      <c r="Q13" s="9">
        <f t="shared" ca="1" si="2"/>
        <v>5.189812413346452</v>
      </c>
      <c r="R13" s="9">
        <f t="shared" ca="1" si="2"/>
        <v>4.987420267796983</v>
      </c>
      <c r="S13" s="9">
        <f t="shared" ca="1" si="2"/>
        <v>4.9431143498349286</v>
      </c>
      <c r="U13" s="9">
        <f t="shared" ca="1" si="5"/>
        <v>233.06344335074499</v>
      </c>
      <c r="V13" s="9">
        <f t="shared" ca="1" si="3"/>
        <v>233.06344335074499</v>
      </c>
      <c r="W13" s="9">
        <f t="shared" ca="1" si="3"/>
        <v>233.06344335074499</v>
      </c>
      <c r="X13" s="9">
        <f t="shared" ca="1" si="3"/>
        <v>175.71385928682966</v>
      </c>
      <c r="Y13" s="9">
        <f t="shared" ca="1" si="3"/>
        <v>118.36427522291434</v>
      </c>
      <c r="Z13" s="9">
        <f t="shared" ca="1" si="3"/>
        <v>115.86276790297502</v>
      </c>
      <c r="AA13" s="9">
        <f t="shared" ca="1" si="3"/>
        <v>113.36126058303567</v>
      </c>
      <c r="AB13" s="9">
        <f t="shared" ca="1" si="3"/>
        <v>113.74745928213213</v>
      </c>
    </row>
    <row r="14" spans="1:28" x14ac:dyDescent="0.3">
      <c r="A14">
        <v>0.95</v>
      </c>
      <c r="B14">
        <f t="shared" si="7"/>
        <v>95</v>
      </c>
      <c r="C14" s="9">
        <f t="shared" ca="1" si="1"/>
        <v>12.358733953297349</v>
      </c>
      <c r="D14" s="9">
        <f t="shared" ca="1" si="1"/>
        <v>13.064396847503822</v>
      </c>
      <c r="E14" s="9">
        <f t="shared" ca="1" si="1"/>
        <v>13.181231787744885</v>
      </c>
      <c r="F14" s="9">
        <f t="shared" ca="1" si="1"/>
        <v>13.178059751180225</v>
      </c>
      <c r="G14" s="9">
        <f t="shared" ca="1" si="1"/>
        <v>13.174887714615567</v>
      </c>
      <c r="H14" s="9">
        <f t="shared" ca="1" si="1"/>
        <v>13.194650230479425</v>
      </c>
      <c r="I14" s="9">
        <f t="shared" ca="1" si="1"/>
        <v>13.214412746343282</v>
      </c>
      <c r="J14" s="9">
        <f t="shared" ca="1" si="1"/>
        <v>13.237128055138299</v>
      </c>
      <c r="L14" s="9">
        <f t="shared" ca="1" si="4"/>
        <v>6.4833459203634547</v>
      </c>
      <c r="M14" s="9">
        <f t="shared" ca="1" si="2"/>
        <v>6.4833459203634547</v>
      </c>
      <c r="N14" s="9">
        <f t="shared" ca="1" si="2"/>
        <v>6.4833459203634547</v>
      </c>
      <c r="O14" s="9">
        <f t="shared" ca="1" si="2"/>
        <v>5.1439298466163237</v>
      </c>
      <c r="P14" s="9">
        <f t="shared" ca="1" si="2"/>
        <v>3.8045137728691905</v>
      </c>
      <c r="Q14" s="9">
        <f t="shared" ca="1" si="2"/>
        <v>3.6355236470925063</v>
      </c>
      <c r="R14" s="9">
        <f t="shared" ca="1" si="2"/>
        <v>3.4665335213158204</v>
      </c>
      <c r="S14" s="9">
        <f t="shared" ca="1" si="2"/>
        <v>3.4170707859098912</v>
      </c>
      <c r="U14" s="9">
        <f t="shared" ca="1" si="5"/>
        <v>105.85384755379341</v>
      </c>
      <c r="V14" s="9">
        <f t="shared" ca="1" si="3"/>
        <v>105.85384755379341</v>
      </c>
      <c r="W14" s="9">
        <f t="shared" ca="1" si="3"/>
        <v>105.85384755379341</v>
      </c>
      <c r="X14" s="9">
        <f t="shared" ca="1" si="3"/>
        <v>79.952352321336036</v>
      </c>
      <c r="Y14" s="9">
        <f t="shared" ca="1" si="3"/>
        <v>54.050857088878651</v>
      </c>
      <c r="Z14" s="9">
        <f t="shared" ca="1" si="3"/>
        <v>52.921070692360843</v>
      </c>
      <c r="AA14" s="9">
        <f t="shared" ca="1" si="3"/>
        <v>51.791284295843035</v>
      </c>
      <c r="AB14" s="9">
        <f t="shared" ca="1" si="3"/>
        <v>51.965707945581798</v>
      </c>
    </row>
    <row r="15" spans="1:28" x14ac:dyDescent="0.3">
      <c r="A15">
        <v>0.9</v>
      </c>
      <c r="B15">
        <f t="shared" si="0"/>
        <v>90</v>
      </c>
      <c r="C15" s="9">
        <f t="shared" ca="1" si="1"/>
        <v>12.124128154813484</v>
      </c>
      <c r="D15" s="9">
        <f t="shared" ca="1" si="1"/>
        <v>12.829791049019956</v>
      </c>
      <c r="E15" s="9">
        <f t="shared" ca="1" si="1"/>
        <v>12.946625989261019</v>
      </c>
      <c r="F15" s="9">
        <f t="shared" ca="1" si="1"/>
        <v>12.9886162508921</v>
      </c>
      <c r="G15" s="9">
        <f t="shared" ca="1" si="1"/>
        <v>13.030606512523184</v>
      </c>
      <c r="H15" s="9">
        <f t="shared" ca="1" si="1"/>
        <v>13.057867278672635</v>
      </c>
      <c r="I15" s="9">
        <f t="shared" ca="1" si="1"/>
        <v>13.085128044822085</v>
      </c>
      <c r="J15" s="9">
        <f t="shared" ca="1" si="1"/>
        <v>13.110463351373188</v>
      </c>
      <c r="L15" s="9">
        <f t="shared" ca="1" si="4"/>
        <v>3.4461700980464935</v>
      </c>
      <c r="M15" s="9">
        <f t="shared" ca="1" si="2"/>
        <v>3.4461700980464935</v>
      </c>
      <c r="N15" s="9">
        <f t="shared" ca="1" si="2"/>
        <v>3.4461700980464935</v>
      </c>
      <c r="O15" s="9">
        <f t="shared" ca="1" si="2"/>
        <v>2.8443270925769331</v>
      </c>
      <c r="P15" s="9">
        <f t="shared" ca="1" si="2"/>
        <v>2.2424840871073721</v>
      </c>
      <c r="Q15" s="9">
        <f t="shared" ca="1" si="2"/>
        <v>2.1056658499224201</v>
      </c>
      <c r="R15" s="9">
        <f t="shared" ca="1" si="2"/>
        <v>1.9688476127374663</v>
      </c>
      <c r="S15" s="9">
        <f t="shared" ca="1" si="2"/>
        <v>1.9144179754070181</v>
      </c>
      <c r="U15" s="9">
        <f t="shared" ca="1" si="5"/>
        <v>35.611574470876462</v>
      </c>
      <c r="V15" s="9">
        <f t="shared" ca="1" si="3"/>
        <v>35.611574470876462</v>
      </c>
      <c r="W15" s="9">
        <f t="shared" ca="1" si="3"/>
        <v>35.611574470876462</v>
      </c>
      <c r="X15" s="9">
        <f t="shared" ca="1" si="3"/>
        <v>27.070872936896247</v>
      </c>
      <c r="Y15" s="9">
        <f t="shared" ca="1" si="3"/>
        <v>18.530171402916029</v>
      </c>
      <c r="Z15" s="9">
        <f t="shared" ca="1" si="3"/>
        <v>18.157638144769678</v>
      </c>
      <c r="AA15" s="9">
        <f t="shared" ca="1" si="3"/>
        <v>17.785104886623319</v>
      </c>
      <c r="AB15" s="9">
        <f t="shared" ca="1" si="3"/>
        <v>17.842618953649829</v>
      </c>
    </row>
    <row r="16" spans="1:28" x14ac:dyDescent="0.3">
      <c r="A16">
        <v>0.85</v>
      </c>
      <c r="B16">
        <f t="shared" si="0"/>
        <v>85</v>
      </c>
      <c r="C16" s="9">
        <f t="shared" ca="1" si="1"/>
        <v>11.987230977513462</v>
      </c>
      <c r="D16" s="9">
        <f t="shared" ca="1" si="1"/>
        <v>12.692893871719935</v>
      </c>
      <c r="E16" s="9">
        <f t="shared" ca="1" si="1"/>
        <v>12.809728811960998</v>
      </c>
      <c r="F16" s="9">
        <f t="shared" ca="1" si="1"/>
        <v>12.873383746346533</v>
      </c>
      <c r="G16" s="9">
        <f t="shared" ca="1" si="1"/>
        <v>12.937038680732067</v>
      </c>
      <c r="H16" s="9">
        <f t="shared" ca="1" si="1"/>
        <v>12.970772764153176</v>
      </c>
      <c r="I16" s="9">
        <f t="shared" ca="1" si="1"/>
        <v>13.004506847574282</v>
      </c>
      <c r="J16" s="9">
        <f t="shared" ca="1" si="1"/>
        <v>13.032620387595387</v>
      </c>
      <c r="L16" s="9">
        <f t="shared" ca="1" si="4"/>
        <v>2.1703408128275017</v>
      </c>
      <c r="M16" s="9">
        <f t="shared" ca="1" si="2"/>
        <v>2.1703408128275017</v>
      </c>
      <c r="N16" s="9">
        <f t="shared" ca="1" si="2"/>
        <v>2.1703408128275017</v>
      </c>
      <c r="O16" s="9">
        <f t="shared" ca="1" si="2"/>
        <v>1.8708737357844045</v>
      </c>
      <c r="P16" s="9">
        <f t="shared" ca="1" si="2"/>
        <v>1.5714066587413078</v>
      </c>
      <c r="Q16" s="9">
        <f t="shared" ca="1" si="2"/>
        <v>1.4477776296505112</v>
      </c>
      <c r="R16" s="9">
        <f t="shared" ca="1" si="2"/>
        <v>1.3241486005597136</v>
      </c>
      <c r="S16" s="9">
        <f t="shared" ca="1" si="2"/>
        <v>1.2676827289286599</v>
      </c>
      <c r="U16" s="9">
        <f t="shared" ca="1" si="5"/>
        <v>18.322279570606003</v>
      </c>
      <c r="V16" s="9">
        <f t="shared" ca="1" si="3"/>
        <v>18.322279570606003</v>
      </c>
      <c r="W16" s="9">
        <f t="shared" ca="1" si="3"/>
        <v>18.322279570606003</v>
      </c>
      <c r="X16" s="9">
        <f t="shared" ca="1" si="3"/>
        <v>14.050820569969858</v>
      </c>
      <c r="Y16" s="9">
        <f t="shared" ca="1" si="3"/>
        <v>9.7793615693337088</v>
      </c>
      <c r="Z16" s="9">
        <f t="shared" ca="1" si="3"/>
        <v>9.5930466006845254</v>
      </c>
      <c r="AA16" s="9">
        <f t="shared" ca="1" si="3"/>
        <v>9.4067316320353402</v>
      </c>
      <c r="AB16" s="9">
        <f t="shared" ca="1" si="3"/>
        <v>9.4354961285215051</v>
      </c>
    </row>
    <row r="17" spans="1:28" x14ac:dyDescent="0.3">
      <c r="A17">
        <v>0.8</v>
      </c>
      <c r="B17">
        <f t="shared" si="0"/>
        <v>80</v>
      </c>
      <c r="C17" s="9">
        <f t="shared" ca="1" si="1"/>
        <v>11.898031230846632</v>
      </c>
      <c r="D17" s="9">
        <f t="shared" ca="1" si="1"/>
        <v>12.603694125053105</v>
      </c>
      <c r="E17" s="9">
        <f t="shared" ca="1" si="1"/>
        <v>12.720529065294167</v>
      </c>
      <c r="F17" s="9">
        <f t="shared" ca="1" si="1"/>
        <v>12.794702350355386</v>
      </c>
      <c r="G17" s="9">
        <f t="shared" ca="1" si="1"/>
        <v>12.868875635416604</v>
      </c>
      <c r="H17" s="9">
        <f t="shared" ca="1" si="1"/>
        <v>12.90859684938761</v>
      </c>
      <c r="I17" s="9">
        <f t="shared" ca="1" si="1"/>
        <v>12.948318063358609</v>
      </c>
      <c r="J17" s="9">
        <f t="shared" ca="1" si="1"/>
        <v>12.979284897465355</v>
      </c>
      <c r="L17" s="9">
        <f t="shared" ca="1" si="4"/>
        <v>1.457668556697282</v>
      </c>
      <c r="M17" s="9">
        <f t="shared" ca="1" si="2"/>
        <v>1.457668556697282</v>
      </c>
      <c r="N17" s="9">
        <f t="shared" ca="1" si="2"/>
        <v>1.457668556697282</v>
      </c>
      <c r="O17" s="9">
        <f t="shared" ca="1" si="2"/>
        <v>1.3216055178674893</v>
      </c>
      <c r="P17" s="9">
        <f t="shared" ca="1" si="2"/>
        <v>1.1855424790376965</v>
      </c>
      <c r="Q17" s="9">
        <f t="shared" ca="1" si="2"/>
        <v>1.069040901773624</v>
      </c>
      <c r="R17" s="9">
        <f t="shared" ca="1" si="2"/>
        <v>0.95253932450955059</v>
      </c>
      <c r="S17" s="9">
        <f t="shared" ca="1" si="2"/>
        <v>0.89497307128000525</v>
      </c>
      <c r="U17" s="9">
        <f t="shared" ca="1" si="5"/>
        <v>11.032890736026408</v>
      </c>
      <c r="V17" s="9">
        <f t="shared" ca="1" si="3"/>
        <v>11.032890736026408</v>
      </c>
      <c r="W17" s="9">
        <f t="shared" ca="1" si="3"/>
        <v>11.032890736026408</v>
      </c>
      <c r="X17" s="9">
        <f t="shared" ca="1" si="3"/>
        <v>8.5584835124566254</v>
      </c>
      <c r="Y17" s="9">
        <f t="shared" ca="1" si="3"/>
        <v>6.0840762888868412</v>
      </c>
      <c r="Z17" s="9">
        <f t="shared" ca="1" si="3"/>
        <v>5.9761461637899931</v>
      </c>
      <c r="AA17" s="9">
        <f t="shared" ca="1" si="3"/>
        <v>5.8682160386931432</v>
      </c>
      <c r="AB17" s="9">
        <f t="shared" ca="1" si="3"/>
        <v>5.8848789817009344</v>
      </c>
    </row>
    <row r="18" spans="1:28" x14ac:dyDescent="0.3">
      <c r="A18">
        <v>0.75</v>
      </c>
      <c r="B18">
        <f t="shared" si="0"/>
        <v>75</v>
      </c>
      <c r="C18" s="9">
        <f t="shared" ca="1" si="1"/>
        <v>11.837070772416274</v>
      </c>
      <c r="D18" s="9">
        <f t="shared" ca="1" si="1"/>
        <v>12.542733666622746</v>
      </c>
      <c r="E18" s="9">
        <f t="shared" ca="1" si="1"/>
        <v>12.659568606863809</v>
      </c>
      <c r="F18" s="9">
        <f t="shared" ca="1" si="1"/>
        <v>12.737911799219862</v>
      </c>
      <c r="G18" s="9">
        <f t="shared" ca="1" si="1"/>
        <v>12.816254991575917</v>
      </c>
      <c r="H18" s="9">
        <f t="shared" ca="1" si="1"/>
        <v>12.861686426022462</v>
      </c>
      <c r="I18" s="9">
        <f t="shared" ca="1" si="1"/>
        <v>12.907117860469</v>
      </c>
      <c r="J18" s="9">
        <f t="shared" ca="1" si="1"/>
        <v>12.940980739809717</v>
      </c>
      <c r="L18" s="9">
        <f t="shared" ca="1" si="4"/>
        <v>1.0135491314089928</v>
      </c>
      <c r="M18" s="9">
        <f t="shared" ca="1" si="2"/>
        <v>1.0135491314089928</v>
      </c>
      <c r="N18" s="9">
        <f t="shared" ca="1" si="2"/>
        <v>1.0135491314089928</v>
      </c>
      <c r="O18" s="9">
        <f t="shared" ca="1" si="2"/>
        <v>0.97474863069900985</v>
      </c>
      <c r="P18" s="9">
        <f t="shared" ca="1" si="2"/>
        <v>0.93594812998902555</v>
      </c>
      <c r="Q18" s="9">
        <f t="shared" ca="1" si="2"/>
        <v>0.82368900635445907</v>
      </c>
      <c r="R18" s="9">
        <f t="shared" ca="1" si="2"/>
        <v>0.71142988271989083</v>
      </c>
      <c r="S18" s="9">
        <f t="shared" ca="1" si="2"/>
        <v>0.65320865236530068</v>
      </c>
      <c r="U18" s="9">
        <f t="shared" ca="1" si="5"/>
        <v>7.0693838490746685</v>
      </c>
      <c r="V18" s="9">
        <f t="shared" ca="1" si="3"/>
        <v>7.0693838490746685</v>
      </c>
      <c r="W18" s="9">
        <f t="shared" ca="1" si="3"/>
        <v>7.0693838490746685</v>
      </c>
      <c r="X18" s="9">
        <f t="shared" ca="1" si="3"/>
        <v>5.5698661546017352</v>
      </c>
      <c r="Y18" s="9">
        <f t="shared" ca="1" si="3"/>
        <v>4.0703484601287983</v>
      </c>
      <c r="Z18" s="9">
        <f t="shared" ca="1" si="3"/>
        <v>4.0049416302392906</v>
      </c>
      <c r="AA18" s="9">
        <f t="shared" ca="1" si="3"/>
        <v>3.9395348003497808</v>
      </c>
      <c r="AB18" s="9">
        <f t="shared" ca="1" si="3"/>
        <v>3.9496327250746077</v>
      </c>
    </row>
    <row r="19" spans="1:28" x14ac:dyDescent="0.3">
      <c r="A19">
        <v>0.7</v>
      </c>
      <c r="B19">
        <f t="shared" si="0"/>
        <v>70</v>
      </c>
      <c r="C19" s="9">
        <f t="shared" ca="1" si="1"/>
        <v>11.794069638800476</v>
      </c>
      <c r="D19" s="9">
        <f t="shared" ca="1" si="1"/>
        <v>12.499732533006949</v>
      </c>
      <c r="E19" s="9">
        <f t="shared" ca="1" si="1"/>
        <v>12.616567473248011</v>
      </c>
      <c r="F19" s="9">
        <f t="shared" ca="1" si="1"/>
        <v>12.695261124404134</v>
      </c>
      <c r="G19" s="9">
        <f t="shared" ca="1" si="1"/>
        <v>12.773954775560256</v>
      </c>
      <c r="H19" s="9">
        <f t="shared" ca="1" si="1"/>
        <v>12.824929831569309</v>
      </c>
      <c r="I19" s="9">
        <f t="shared" ca="1" si="1"/>
        <v>12.875904887578358</v>
      </c>
      <c r="J19" s="9">
        <f t="shared" ca="1" si="1"/>
        <v>12.912689532758767</v>
      </c>
      <c r="L19" s="9">
        <f t="shared" ca="1" si="4"/>
        <v>0.72759770393020862</v>
      </c>
      <c r="M19" s="9">
        <f t="shared" ca="1" si="2"/>
        <v>0.72759770393020862</v>
      </c>
      <c r="N19" s="9">
        <f t="shared" ca="1" si="2"/>
        <v>0.72759770393020862</v>
      </c>
      <c r="O19" s="9">
        <f t="shared" ca="1" si="2"/>
        <v>0.74720385959794022</v>
      </c>
      <c r="P19" s="9">
        <f t="shared" ca="1" si="2"/>
        <v>0.76681001526567139</v>
      </c>
      <c r="Q19" s="9">
        <f t="shared" ca="1" si="2"/>
        <v>0.6570985069424764</v>
      </c>
      <c r="R19" s="9">
        <f t="shared" ca="1" si="2"/>
        <v>0.54738699861927964</v>
      </c>
      <c r="S19" s="9">
        <f t="shared" ca="1" si="2"/>
        <v>0.48877245111898038</v>
      </c>
      <c r="U19" s="9">
        <f t="shared" ca="1" si="5"/>
        <v>4.5259818430000731</v>
      </c>
      <c r="V19" s="9">
        <f t="shared" ca="1" si="3"/>
        <v>4.5259818430000731</v>
      </c>
      <c r="W19" s="9">
        <f t="shared" ca="1" si="3"/>
        <v>4.5259818430000731</v>
      </c>
      <c r="X19" s="9">
        <f t="shared" ca="1" si="3"/>
        <v>3.6503579922133227</v>
      </c>
      <c r="Y19" s="9">
        <f t="shared" ca="1" si="3"/>
        <v>2.7747341414265714</v>
      </c>
      <c r="Z19" s="9">
        <f t="shared" ca="1" si="3"/>
        <v>2.7365406739758678</v>
      </c>
      <c r="AA19" s="9">
        <f t="shared" ca="1" si="3"/>
        <v>2.6983472065251646</v>
      </c>
      <c r="AB19" s="9">
        <f t="shared" ca="1" si="3"/>
        <v>2.7042437583065131</v>
      </c>
    </row>
    <row r="20" spans="1:28" x14ac:dyDescent="0.3">
      <c r="A20">
        <v>0.65</v>
      </c>
      <c r="B20">
        <f t="shared" si="0"/>
        <v>65</v>
      </c>
      <c r="C20" s="9">
        <f t="shared" ca="1" si="1"/>
        <v>11.76252215158212</v>
      </c>
      <c r="D20" s="9">
        <f t="shared" ca="1" si="1"/>
        <v>12.468185045788593</v>
      </c>
      <c r="E20" s="9">
        <f t="shared" ca="1" si="1"/>
        <v>12.585019986029655</v>
      </c>
      <c r="F20" s="9">
        <f t="shared" ca="1" si="1"/>
        <v>12.661840767625982</v>
      </c>
      <c r="G20" s="9">
        <f t="shared" ca="1" si="1"/>
        <v>12.738661549222307</v>
      </c>
      <c r="H20" s="9">
        <f t="shared" ca="1" si="1"/>
        <v>12.795083248371835</v>
      </c>
      <c r="I20" s="9">
        <f t="shared" ca="1" si="1"/>
        <v>12.851504947521359</v>
      </c>
      <c r="J20" s="9">
        <f t="shared" ca="1" si="1"/>
        <v>12.891226330690504</v>
      </c>
      <c r="L20" s="9">
        <f t="shared" ca="1" si="4"/>
        <v>0.54976289694832481</v>
      </c>
      <c r="M20" s="9">
        <f t="shared" ca="1" si="2"/>
        <v>0.54976289694832481</v>
      </c>
      <c r="N20" s="9">
        <f t="shared" ca="1" si="2"/>
        <v>0.54976289694832481</v>
      </c>
      <c r="O20" s="9">
        <f t="shared" ca="1" si="2"/>
        <v>0.60128920004177022</v>
      </c>
      <c r="P20" s="9">
        <f t="shared" ca="1" si="2"/>
        <v>0.65281550313521608</v>
      </c>
      <c r="Q20" s="9">
        <f t="shared" ca="1" si="2"/>
        <v>0.54449630626017331</v>
      </c>
      <c r="R20" s="9">
        <f t="shared" ca="1" si="2"/>
        <v>0.43617710938512877</v>
      </c>
      <c r="S20" s="9">
        <f t="shared" ca="1" si="2"/>
        <v>0.37734760793857225</v>
      </c>
      <c r="U20" s="9">
        <f t="shared" ca="1" si="5"/>
        <v>2.6651267252520374</v>
      </c>
      <c r="V20" s="9">
        <f t="shared" ca="1" si="3"/>
        <v>2.6651267252520374</v>
      </c>
      <c r="W20" s="9">
        <f t="shared" ca="1" si="3"/>
        <v>2.6651267252520374</v>
      </c>
      <c r="X20" s="9">
        <f t="shared" ca="1" si="3"/>
        <v>2.2447468077055963</v>
      </c>
      <c r="Y20" s="9">
        <f t="shared" ca="1" si="3"/>
        <v>1.8243668901591552</v>
      </c>
      <c r="Z20" s="9">
        <f t="shared" ca="1" si="3"/>
        <v>1.8060305158320817</v>
      </c>
      <c r="AA20" s="9">
        <f t="shared" ca="1" si="3"/>
        <v>1.7876941415050083</v>
      </c>
      <c r="AB20" s="9">
        <f t="shared" ca="1" si="3"/>
        <v>1.7905250282486991</v>
      </c>
    </row>
    <row r="21" spans="1:28" x14ac:dyDescent="0.3">
      <c r="A21">
        <v>0.6</v>
      </c>
      <c r="B21">
        <f t="shared" si="0"/>
        <v>60</v>
      </c>
      <c r="C21" s="9">
        <f t="shared" ref="C21:J34" ca="1" si="8">C$7*(C$3+C$2*(-LN($A21))^C$1+C$4*$A21+C$6*EXP(C$5*($A21-1)))</f>
        <v>11.737704849502093</v>
      </c>
      <c r="D21" s="9">
        <f t="shared" ca="1" si="8"/>
        <v>12.443367743708565</v>
      </c>
      <c r="E21" s="9">
        <f t="shared" ca="1" si="8"/>
        <v>12.560202683949628</v>
      </c>
      <c r="F21" s="9">
        <f t="shared" ca="1" si="8"/>
        <v>12.634083010481703</v>
      </c>
      <c r="G21" s="9">
        <f t="shared" ca="1" si="8"/>
        <v>12.707963337013783</v>
      </c>
      <c r="H21" s="9">
        <f t="shared" ca="1" si="8"/>
        <v>12.769785112741921</v>
      </c>
      <c r="I21" s="9">
        <f t="shared" ca="1" si="8"/>
        <v>12.831606888470059</v>
      </c>
      <c r="J21" s="9">
        <f t="shared" ca="1" si="8"/>
        <v>12.874272198871594</v>
      </c>
      <c r="L21" s="9">
        <f t="shared" ca="1" si="4"/>
        <v>0.45565889116229119</v>
      </c>
      <c r="M21" s="9">
        <f t="shared" ca="1" si="2"/>
        <v>0.45565889116229119</v>
      </c>
      <c r="N21" s="9">
        <f t="shared" ca="1" si="2"/>
        <v>0.45565889116229119</v>
      </c>
      <c r="O21" s="9">
        <f t="shared" ca="1" si="2"/>
        <v>0.51864296245369435</v>
      </c>
      <c r="P21" s="9">
        <f t="shared" ca="1" si="2"/>
        <v>0.58162703374509706</v>
      </c>
      <c r="Q21" s="9">
        <f t="shared" ca="1" si="2"/>
        <v>0.4738076084287357</v>
      </c>
      <c r="R21" s="9">
        <f t="shared" ca="1" si="2"/>
        <v>0.36598818311237302</v>
      </c>
      <c r="S21" s="9">
        <f t="shared" ca="1" si="2"/>
        <v>0.30708152373616704</v>
      </c>
      <c r="U21" s="9">
        <f t="shared" ca="1" si="5"/>
        <v>1.1342828038674722</v>
      </c>
      <c r="V21" s="9">
        <f t="shared" ca="1" si="3"/>
        <v>1.1342828038674722</v>
      </c>
      <c r="W21" s="9">
        <f t="shared" ca="1" si="3"/>
        <v>1.1342828038674722</v>
      </c>
      <c r="X21" s="9">
        <f t="shared" ca="1" si="3"/>
        <v>1.0876529920438462</v>
      </c>
      <c r="Y21" s="9">
        <f t="shared" ca="1" si="3"/>
        <v>1.0410231802202206</v>
      </c>
      <c r="Z21" s="9">
        <f t="shared" ca="1" si="3"/>
        <v>1.0389892541245369</v>
      </c>
      <c r="AA21" s="9">
        <f t="shared" ca="1" si="3"/>
        <v>1.0369553280288535</v>
      </c>
      <c r="AB21" s="9">
        <f t="shared" ca="1" si="3"/>
        <v>1.0372693385480114</v>
      </c>
    </row>
    <row r="22" spans="1:28" x14ac:dyDescent="0.3">
      <c r="A22">
        <v>0.55000000000000004</v>
      </c>
      <c r="B22">
        <f t="shared" si="0"/>
        <v>55.000000000000007</v>
      </c>
      <c r="C22" s="9">
        <f t="shared" ca="1" si="8"/>
        <v>11.71574867453146</v>
      </c>
      <c r="D22" s="9">
        <f t="shared" ca="1" si="8"/>
        <v>12.421411568737932</v>
      </c>
      <c r="E22" s="9">
        <f t="shared" ca="1" si="8"/>
        <v>12.538246508978995</v>
      </c>
      <c r="F22" s="9">
        <f t="shared" ca="1" si="8"/>
        <v>12.609063540745598</v>
      </c>
      <c r="G22" s="9">
        <f t="shared" ca="1" si="8"/>
        <v>12.679880572512205</v>
      </c>
      <c r="H22" s="9">
        <f t="shared" ca="1" si="8"/>
        <v>12.747097066725839</v>
      </c>
      <c r="I22" s="9">
        <f t="shared" ca="1" si="8"/>
        <v>12.814313560939469</v>
      </c>
      <c r="J22" s="9">
        <f t="shared" ca="1" si="8"/>
        <v>12.859923625790071</v>
      </c>
      <c r="L22" s="9">
        <f t="shared" ca="1" si="4"/>
        <v>0.43428733820456866</v>
      </c>
      <c r="M22" s="9">
        <f t="shared" ca="1" si="2"/>
        <v>0.43428733820456866</v>
      </c>
      <c r="N22" s="9">
        <f t="shared" ca="1" si="2"/>
        <v>0.43428733820456866</v>
      </c>
      <c r="O22" s="9">
        <f t="shared" ca="1" si="2"/>
        <v>0.49098121595461519</v>
      </c>
      <c r="P22" s="9">
        <f t="shared" ca="1" si="2"/>
        <v>0.54767509370466216</v>
      </c>
      <c r="Q22" s="9">
        <f t="shared" ca="1" si="2"/>
        <v>0.4395812990891268</v>
      </c>
      <c r="R22" s="9">
        <f t="shared" ca="1" si="2"/>
        <v>0.3314875044735901</v>
      </c>
      <c r="S22" s="9">
        <f t="shared" ca="1" si="2"/>
        <v>0.27262320398459128</v>
      </c>
      <c r="U22" s="9">
        <f t="shared" ca="1" si="5"/>
        <v>-0.27207054274253406</v>
      </c>
      <c r="V22" s="9">
        <f t="shared" ca="1" si="3"/>
        <v>-0.27207054274253406</v>
      </c>
      <c r="W22" s="9">
        <f t="shared" ca="1" si="3"/>
        <v>-0.27207054274253406</v>
      </c>
      <c r="X22" s="9">
        <f t="shared" ca="1" si="3"/>
        <v>2.4365253972298939E-2</v>
      </c>
      <c r="Y22" s="9">
        <f t="shared" ca="1" si="3"/>
        <v>0.32080105068713216</v>
      </c>
      <c r="Z22" s="9">
        <f t="shared" ca="1" si="3"/>
        <v>0.33373115868142511</v>
      </c>
      <c r="AA22" s="9">
        <f t="shared" ca="1" si="3"/>
        <v>0.34666126667571806</v>
      </c>
      <c r="AB22" s="9">
        <f t="shared" ca="1" si="3"/>
        <v>0.34466503390567216</v>
      </c>
    </row>
    <row r="23" spans="1:28" x14ac:dyDescent="0.3">
      <c r="A23">
        <v>0.5</v>
      </c>
      <c r="B23">
        <f t="shared" si="0"/>
        <v>50</v>
      </c>
      <c r="C23" s="9">
        <f t="shared" ca="1" si="8"/>
        <v>11.693106641659901</v>
      </c>
      <c r="D23" s="9">
        <f t="shared" ca="1" si="8"/>
        <v>12.398769535866373</v>
      </c>
      <c r="E23" s="9">
        <f t="shared" ca="1" si="8"/>
        <v>12.515604476107436</v>
      </c>
      <c r="F23" s="9">
        <f t="shared" ca="1" si="8"/>
        <v>12.584100726356212</v>
      </c>
      <c r="G23" s="9">
        <f t="shared" ca="1" si="8"/>
        <v>12.65259697660499</v>
      </c>
      <c r="H23" s="9">
        <f t="shared" ca="1" si="8"/>
        <v>12.725240576676306</v>
      </c>
      <c r="I23" s="9">
        <f t="shared" ca="1" si="8"/>
        <v>12.797884176747624</v>
      </c>
      <c r="J23" s="9">
        <f t="shared" ca="1" si="8"/>
        <v>12.846433995877636</v>
      </c>
      <c r="L23" s="9">
        <f t="shared" ca="1" si="4"/>
        <v>0.48331945432714729</v>
      </c>
      <c r="M23" s="9">
        <f t="shared" ca="1" si="4"/>
        <v>0.48331945432714729</v>
      </c>
      <c r="N23" s="9">
        <f t="shared" ca="1" si="4"/>
        <v>0.48331945432714729</v>
      </c>
      <c r="O23" s="9">
        <f t="shared" ca="1" si="4"/>
        <v>0.51654629631830584</v>
      </c>
      <c r="P23" s="9">
        <f t="shared" ca="1" si="4"/>
        <v>0.54977313830946306</v>
      </c>
      <c r="Q23" s="9">
        <f t="shared" ca="1" si="4"/>
        <v>0.44065574495844784</v>
      </c>
      <c r="R23" s="9">
        <f t="shared" ca="1" si="4"/>
        <v>0.33153835160743084</v>
      </c>
      <c r="S23" s="9">
        <f t="shared" ca="1" si="4"/>
        <v>0.27283208083790855</v>
      </c>
      <c r="U23" s="9">
        <f t="shared" ca="1" si="5"/>
        <v>-1.705510539513887</v>
      </c>
      <c r="V23" s="9">
        <f t="shared" ca="1" si="3"/>
        <v>-1.705510539513887</v>
      </c>
      <c r="W23" s="9">
        <f t="shared" ca="1" si="3"/>
        <v>-1.705510539513887</v>
      </c>
      <c r="X23" s="9">
        <f t="shared" ca="1" si="3"/>
        <v>-1.0592207831894704</v>
      </c>
      <c r="Y23" s="9">
        <f t="shared" ca="1" si="3"/>
        <v>-0.41293102686505367</v>
      </c>
      <c r="Z23" s="9">
        <f t="shared" ca="1" si="3"/>
        <v>-0.3847407865584187</v>
      </c>
      <c r="AA23" s="9">
        <f t="shared" ca="1" si="3"/>
        <v>-0.35655054625178351</v>
      </c>
      <c r="AB23" s="9">
        <f t="shared" ca="1" si="3"/>
        <v>-0.36090273584837562</v>
      </c>
    </row>
    <row r="24" spans="1:28" x14ac:dyDescent="0.3">
      <c r="A24">
        <v>0.45</v>
      </c>
      <c r="B24">
        <f t="shared" si="0"/>
        <v>45</v>
      </c>
      <c r="C24" s="9">
        <f t="shared" ca="1" si="8"/>
        <v>11.666164904745523</v>
      </c>
      <c r="D24" s="9">
        <f t="shared" ca="1" si="8"/>
        <v>12.371827798951996</v>
      </c>
      <c r="E24" s="9">
        <f t="shared" ca="1" si="8"/>
        <v>12.488662739193058</v>
      </c>
      <c r="F24" s="9">
        <f t="shared" ca="1" si="8"/>
        <v>12.556462833500611</v>
      </c>
      <c r="G24" s="9">
        <f t="shared" ca="1" si="8"/>
        <v>12.624262927808163</v>
      </c>
      <c r="H24" s="9">
        <f t="shared" ca="1" si="8"/>
        <v>12.702404497595005</v>
      </c>
      <c r="I24" s="9">
        <f t="shared" ca="1" si="8"/>
        <v>12.780546067381842</v>
      </c>
      <c r="J24" s="9">
        <f t="shared" ca="1" si="8"/>
        <v>12.832024700375662</v>
      </c>
      <c r="L24" s="9">
        <f t="shared" ref="L24:S34" ca="1" si="9">L$7*(-L$2*L$1*(-LN($A24))^(L$1-1)/$A24+L$4+L$6*L$5*EXP(L$5*($A24-1)))</f>
        <v>0.60772259104628201</v>
      </c>
      <c r="M24" s="9">
        <f t="shared" ca="1" si="9"/>
        <v>0.60772259104628201</v>
      </c>
      <c r="N24" s="9">
        <f t="shared" ca="1" si="9"/>
        <v>0.60772259104628201</v>
      </c>
      <c r="O24" s="9">
        <f t="shared" ca="1" si="9"/>
        <v>0.59907293008510898</v>
      </c>
      <c r="P24" s="9">
        <f t="shared" ca="1" si="9"/>
        <v>0.5904232691239355</v>
      </c>
      <c r="Q24" s="9">
        <f t="shared" ca="1" si="9"/>
        <v>0.47947928225217229</v>
      </c>
      <c r="R24" s="9">
        <f t="shared" ca="1" si="9"/>
        <v>0.36853529538040775</v>
      </c>
      <c r="S24" s="9">
        <f t="shared" ca="1" si="9"/>
        <v>0.31011102580107552</v>
      </c>
      <c r="U24" s="9">
        <f t="shared" ca="1" si="5"/>
        <v>-3.3132066078494784</v>
      </c>
      <c r="V24" s="9">
        <f t="shared" ca="1" si="5"/>
        <v>-3.3132066078494784</v>
      </c>
      <c r="W24" s="9">
        <f t="shared" ca="1" si="5"/>
        <v>-3.3132066078494784</v>
      </c>
      <c r="X24" s="9">
        <f t="shared" ca="1" si="5"/>
        <v>-2.2738914048292811</v>
      </c>
      <c r="Y24" s="9">
        <f t="shared" ca="1" si="5"/>
        <v>-1.2345762018090836</v>
      </c>
      <c r="Z24" s="9">
        <f t="shared" ca="1" si="5"/>
        <v>-1.1892427503025871</v>
      </c>
      <c r="AA24" s="9">
        <f t="shared" ca="1" si="5"/>
        <v>-1.1439092987960902</v>
      </c>
      <c r="AB24" s="9">
        <f t="shared" ca="1" si="5"/>
        <v>-1.1509081669816073</v>
      </c>
    </row>
    <row r="25" spans="1:28" x14ac:dyDescent="0.3">
      <c r="A25">
        <v>0.4</v>
      </c>
      <c r="B25">
        <f t="shared" si="0"/>
        <v>40</v>
      </c>
      <c r="C25" s="9">
        <f t="shared" ca="1" si="8"/>
        <v>11.630866222328329</v>
      </c>
      <c r="D25" s="9">
        <f t="shared" ca="1" si="8"/>
        <v>12.336529116534802</v>
      </c>
      <c r="E25" s="9">
        <f t="shared" ca="1" si="8"/>
        <v>12.453364056775865</v>
      </c>
      <c r="F25" s="9">
        <f t="shared" ca="1" si="8"/>
        <v>12.52308457908947</v>
      </c>
      <c r="G25" s="9">
        <f t="shared" ca="1" si="8"/>
        <v>12.592805101403084</v>
      </c>
      <c r="H25" s="9">
        <f t="shared" ca="1" si="8"/>
        <v>12.676558772577089</v>
      </c>
      <c r="I25" s="9">
        <f t="shared" ca="1" si="8"/>
        <v>12.760312443751094</v>
      </c>
      <c r="J25" s="9">
        <f t="shared" ca="1" si="8"/>
        <v>12.814702270231296</v>
      </c>
      <c r="L25" s="9">
        <f t="shared" ca="1" si="9"/>
        <v>0.82057999046126762</v>
      </c>
      <c r="M25" s="9">
        <f t="shared" ca="1" si="9"/>
        <v>0.82057999046126762</v>
      </c>
      <c r="N25" s="9">
        <f t="shared" ca="1" si="9"/>
        <v>0.82057999046126762</v>
      </c>
      <c r="O25" s="9">
        <f t="shared" ca="1" si="9"/>
        <v>0.74840531853658687</v>
      </c>
      <c r="P25" s="9">
        <f t="shared" ca="1" si="9"/>
        <v>0.67623064661190568</v>
      </c>
      <c r="Q25" s="9">
        <f t="shared" ca="1" si="9"/>
        <v>0.56251578907877331</v>
      </c>
      <c r="R25" s="9">
        <f t="shared" ca="1" si="9"/>
        <v>0.44880093154563916</v>
      </c>
      <c r="S25" s="9">
        <f t="shared" ca="1" si="9"/>
        <v>0.39080444670083736</v>
      </c>
      <c r="U25" s="9">
        <f t="shared" ca="1" si="5"/>
        <v>-5.2803813505314121</v>
      </c>
      <c r="V25" s="9">
        <f t="shared" ca="1" si="5"/>
        <v>-5.2803813505314121</v>
      </c>
      <c r="W25" s="9">
        <f t="shared" ca="1" si="5"/>
        <v>-5.2803813505314121</v>
      </c>
      <c r="X25" s="9">
        <f t="shared" ca="1" si="5"/>
        <v>-3.7590780877566998</v>
      </c>
      <c r="Y25" s="9">
        <f t="shared" ca="1" si="5"/>
        <v>-2.2377748249819844</v>
      </c>
      <c r="Z25" s="9">
        <f t="shared" ca="1" si="5"/>
        <v>-2.1714177395768437</v>
      </c>
      <c r="AA25" s="9">
        <f t="shared" ca="1" si="5"/>
        <v>-2.1050606541717021</v>
      </c>
      <c r="AB25" s="9">
        <f t="shared" ca="1" si="5"/>
        <v>-2.1153052854206402</v>
      </c>
    </row>
    <row r="26" spans="1:28" x14ac:dyDescent="0.3">
      <c r="A26">
        <v>0.35</v>
      </c>
      <c r="B26">
        <f t="shared" si="0"/>
        <v>35</v>
      </c>
      <c r="C26" s="9">
        <f t="shared" ca="1" si="8"/>
        <v>11.582234639435786</v>
      </c>
      <c r="D26" s="9">
        <f t="shared" ca="1" si="8"/>
        <v>12.287897533642258</v>
      </c>
      <c r="E26" s="9">
        <f t="shared" ca="1" si="8"/>
        <v>12.404732473883321</v>
      </c>
      <c r="F26" s="9">
        <f t="shared" ca="1" si="8"/>
        <v>12.480209321855689</v>
      </c>
      <c r="G26" s="9">
        <f t="shared" ca="1" si="8"/>
        <v>12.555686169828061</v>
      </c>
      <c r="H26" s="9">
        <f t="shared" ca="1" si="8"/>
        <v>12.645219258791148</v>
      </c>
      <c r="I26" s="9">
        <f t="shared" ca="1" si="8"/>
        <v>12.734752347754231</v>
      </c>
      <c r="J26" s="9">
        <f t="shared" ca="1" si="8"/>
        <v>12.792027536344571</v>
      </c>
      <c r="L26" s="9">
        <f t="shared" ca="1" si="9"/>
        <v>1.1463722691899658</v>
      </c>
      <c r="M26" s="9">
        <f t="shared" ca="1" si="9"/>
        <v>1.1463722691899658</v>
      </c>
      <c r="N26" s="9">
        <f t="shared" ca="1" si="9"/>
        <v>1.1463722691899658</v>
      </c>
      <c r="O26" s="9">
        <f t="shared" ca="1" si="9"/>
        <v>0.98296733288848426</v>
      </c>
      <c r="P26" s="9">
        <f t="shared" ca="1" si="9"/>
        <v>0.8195623965870027</v>
      </c>
      <c r="Q26" s="9">
        <f t="shared" ca="1" si="9"/>
        <v>0.70186820462863331</v>
      </c>
      <c r="R26" s="9">
        <f t="shared" ca="1" si="9"/>
        <v>0.58417401267026214</v>
      </c>
      <c r="S26" s="9">
        <f t="shared" ca="1" si="9"/>
        <v>0.52679188292490187</v>
      </c>
      <c r="U26" s="9">
        <f t="shared" ca="1" si="5"/>
        <v>-7.8909938691876258</v>
      </c>
      <c r="V26" s="9">
        <f t="shared" ca="1" si="5"/>
        <v>-7.8909938691876258</v>
      </c>
      <c r="W26" s="9">
        <f t="shared" ca="1" si="5"/>
        <v>-7.8909938691876258</v>
      </c>
      <c r="X26" s="9">
        <f t="shared" ca="1" si="5"/>
        <v>-5.72853797658383</v>
      </c>
      <c r="Y26" s="9">
        <f t="shared" ca="1" si="5"/>
        <v>-3.5660820839800333</v>
      </c>
      <c r="Z26" s="9">
        <f t="shared" ca="1" si="5"/>
        <v>-3.4717588324222604</v>
      </c>
      <c r="AA26" s="9">
        <f t="shared" ca="1" si="5"/>
        <v>-3.3774355808644874</v>
      </c>
      <c r="AB26" s="9">
        <f t="shared" ca="1" si="5"/>
        <v>-3.3919978077089983</v>
      </c>
    </row>
    <row r="27" spans="1:28" x14ac:dyDescent="0.3">
      <c r="A27">
        <v>0.3</v>
      </c>
      <c r="B27">
        <f t="shared" si="0"/>
        <v>30</v>
      </c>
      <c r="C27" s="9">
        <f t="shared" ca="1" si="8"/>
        <v>11.51364146684325</v>
      </c>
      <c r="D27" s="9">
        <f t="shared" ca="1" si="8"/>
        <v>12.219304361049723</v>
      </c>
      <c r="E27" s="9">
        <f t="shared" ca="1" si="8"/>
        <v>12.336139301290785</v>
      </c>
      <c r="F27" s="9">
        <f t="shared" ca="1" si="8"/>
        <v>12.422836510474729</v>
      </c>
      <c r="G27" s="9">
        <f t="shared" ca="1" si="8"/>
        <v>12.509533719658675</v>
      </c>
      <c r="H27" s="9">
        <f t="shared" ca="1" si="8"/>
        <v>12.605084559873147</v>
      </c>
      <c r="I27" s="9">
        <f t="shared" ca="1" si="8"/>
        <v>12.700635400087616</v>
      </c>
      <c r="J27" s="9">
        <f t="shared" ca="1" si="8"/>
        <v>12.760759155343859</v>
      </c>
      <c r="L27" s="9">
        <f t="shared" ca="1" si="9"/>
        <v>1.6285340391527594</v>
      </c>
      <c r="M27" s="9">
        <f t="shared" ca="1" si="9"/>
        <v>1.6285340391527594</v>
      </c>
      <c r="N27" s="9">
        <f t="shared" ca="1" si="9"/>
        <v>1.6285340391527594</v>
      </c>
      <c r="O27" s="9">
        <f t="shared" ca="1" si="9"/>
        <v>1.3354508968715564</v>
      </c>
      <c r="P27" s="9">
        <f t="shared" ca="1" si="9"/>
        <v>1.0423677545903525</v>
      </c>
      <c r="Q27" s="9">
        <f t="shared" ca="1" si="9"/>
        <v>0.91901718365749296</v>
      </c>
      <c r="R27" s="9">
        <f t="shared" ca="1" si="9"/>
        <v>0.79566661272463168</v>
      </c>
      <c r="S27" s="9">
        <f t="shared" ca="1" si="9"/>
        <v>0.73915775094220404</v>
      </c>
      <c r="U27" s="9">
        <f t="shared" ca="1" si="5"/>
        <v>-11.648190174937602</v>
      </c>
      <c r="V27" s="9">
        <f t="shared" ca="1" si="5"/>
        <v>-11.648190174937602</v>
      </c>
      <c r="W27" s="9">
        <f t="shared" ca="1" si="5"/>
        <v>-11.648190174937602</v>
      </c>
      <c r="X27" s="9">
        <f t="shared" ca="1" si="5"/>
        <v>-8.5610251311928387</v>
      </c>
      <c r="Y27" s="9">
        <f t="shared" ca="1" si="5"/>
        <v>-5.473860087448073</v>
      </c>
      <c r="Z27" s="9">
        <f t="shared" ca="1" si="5"/>
        <v>-5.3392023374253066</v>
      </c>
      <c r="AA27" s="9">
        <f t="shared" ca="1" si="5"/>
        <v>-5.2045445874025384</v>
      </c>
      <c r="AB27" s="9">
        <f t="shared" ca="1" si="5"/>
        <v>-5.2253339120899076</v>
      </c>
    </row>
    <row r="28" spans="1:28" x14ac:dyDescent="0.3">
      <c r="A28">
        <v>0.25</v>
      </c>
      <c r="B28">
        <f t="shared" si="0"/>
        <v>25</v>
      </c>
      <c r="C28" s="9">
        <f t="shared" ca="1" si="8"/>
        <v>11.415490008533659</v>
      </c>
      <c r="D28" s="9">
        <f t="shared" ca="1" si="8"/>
        <v>12.121152902740132</v>
      </c>
      <c r="E28" s="9">
        <f t="shared" ca="1" si="8"/>
        <v>12.237987842981195</v>
      </c>
      <c r="F28" s="9">
        <f t="shared" ca="1" si="8"/>
        <v>12.343731583861121</v>
      </c>
      <c r="G28" s="9">
        <f t="shared" ca="1" si="8"/>
        <v>12.449475324741048</v>
      </c>
      <c r="H28" s="9">
        <f t="shared" ca="1" si="8"/>
        <v>12.551385282636552</v>
      </c>
      <c r="I28" s="9">
        <f t="shared" ca="1" si="8"/>
        <v>12.65329524053206</v>
      </c>
      <c r="J28" s="9">
        <f t="shared" ca="1" si="8"/>
        <v>12.716214860121497</v>
      </c>
      <c r="L28" s="9">
        <f t="shared" ca="1" si="9"/>
        <v>2.346534538178735</v>
      </c>
      <c r="M28" s="9">
        <f t="shared" ca="1" si="9"/>
        <v>2.346534538178735</v>
      </c>
      <c r="N28" s="9">
        <f t="shared" ca="1" si="9"/>
        <v>2.346534538178735</v>
      </c>
      <c r="O28" s="9">
        <f t="shared" ca="1" si="9"/>
        <v>1.8656737417068938</v>
      </c>
      <c r="P28" s="9">
        <f t="shared" ca="1" si="9"/>
        <v>1.3848129452350522</v>
      </c>
      <c r="Q28" s="9">
        <f t="shared" ca="1" si="9"/>
        <v>1.2532717799997926</v>
      </c>
      <c r="R28" s="9">
        <f t="shared" ca="1" si="9"/>
        <v>1.1217306147645316</v>
      </c>
      <c r="S28" s="9">
        <f t="shared" ca="1" si="9"/>
        <v>1.0664862693155963</v>
      </c>
      <c r="U28" s="9">
        <f t="shared" ca="1" si="5"/>
        <v>-17.564719275139524</v>
      </c>
      <c r="V28" s="9">
        <f t="shared" ca="1" si="5"/>
        <v>-17.564719275139524</v>
      </c>
      <c r="W28" s="9">
        <f t="shared" ca="1" si="5"/>
        <v>-17.564719275139524</v>
      </c>
      <c r="X28" s="9">
        <f t="shared" ca="1" si="5"/>
        <v>-13.018906541480881</v>
      </c>
      <c r="Y28" s="9">
        <f t="shared" ca="1" si="5"/>
        <v>-8.4730938078222362</v>
      </c>
      <c r="Z28" s="9">
        <f t="shared" ca="1" si="5"/>
        <v>-8.2748119194017864</v>
      </c>
      <c r="AA28" s="9">
        <f t="shared" ca="1" si="5"/>
        <v>-8.076530030981333</v>
      </c>
      <c r="AB28" s="9">
        <f t="shared" ca="1" si="5"/>
        <v>-8.1071420570793524</v>
      </c>
    </row>
    <row r="29" spans="1:28" x14ac:dyDescent="0.3">
      <c r="A29">
        <v>0.2</v>
      </c>
      <c r="B29">
        <f t="shared" si="0"/>
        <v>20</v>
      </c>
      <c r="C29" s="9">
        <f t="shared" ca="1" si="8"/>
        <v>11.272522352376139</v>
      </c>
      <c r="D29" s="9">
        <f t="shared" ca="1" si="8"/>
        <v>11.978185246582612</v>
      </c>
      <c r="E29" s="9">
        <f t="shared" ca="1" si="8"/>
        <v>12.095020186823675</v>
      </c>
      <c r="F29" s="9">
        <f t="shared" ca="1" si="8"/>
        <v>12.231398604468136</v>
      </c>
      <c r="G29" s="9">
        <f t="shared" ca="1" si="8"/>
        <v>12.367777022112602</v>
      </c>
      <c r="H29" s="9">
        <f t="shared" ca="1" si="8"/>
        <v>12.476551556101558</v>
      </c>
      <c r="I29" s="9">
        <f t="shared" ca="1" si="8"/>
        <v>12.585326090090511</v>
      </c>
      <c r="J29" s="9">
        <f t="shared" ca="1" si="8"/>
        <v>12.650963538110648</v>
      </c>
      <c r="L29" s="9">
        <f t="shared" ca="1" si="9"/>
        <v>3.458308240141736</v>
      </c>
      <c r="M29" s="9">
        <f t="shared" ca="1" si="9"/>
        <v>3.458308240141736</v>
      </c>
      <c r="N29" s="9">
        <f t="shared" ca="1" si="9"/>
        <v>3.458308240141736</v>
      </c>
      <c r="O29" s="9">
        <f t="shared" ca="1" si="9"/>
        <v>2.6925198212508623</v>
      </c>
      <c r="P29" s="9">
        <f t="shared" ca="1" si="9"/>
        <v>1.926731402359986</v>
      </c>
      <c r="Q29" s="9">
        <f t="shared" ca="1" si="9"/>
        <v>1.7827620993314386</v>
      </c>
      <c r="R29" s="9">
        <f t="shared" ca="1" si="9"/>
        <v>1.6387927963028885</v>
      </c>
      <c r="S29" s="9">
        <f t="shared" ca="1" si="9"/>
        <v>1.5854671862538861</v>
      </c>
      <c r="U29" s="9">
        <f t="shared" ca="1" si="5"/>
        <v>-27.995706338031567</v>
      </c>
      <c r="V29" s="9">
        <f t="shared" ca="1" si="5"/>
        <v>-27.995706338031567</v>
      </c>
      <c r="W29" s="9">
        <f t="shared" ca="1" si="5"/>
        <v>-27.995706338031567</v>
      </c>
      <c r="X29" s="9">
        <f t="shared" ca="1" si="5"/>
        <v>-20.875047339211733</v>
      </c>
      <c r="Y29" s="9">
        <f t="shared" ca="1" si="5"/>
        <v>-13.754388340391888</v>
      </c>
      <c r="Z29" s="9">
        <f t="shared" ca="1" si="5"/>
        <v>-13.443795318679856</v>
      </c>
      <c r="AA29" s="9">
        <f t="shared" ca="1" si="5"/>
        <v>-13.13320229696782</v>
      </c>
      <c r="AB29" s="9">
        <f t="shared" ca="1" si="5"/>
        <v>-13.181153634138616</v>
      </c>
    </row>
    <row r="30" spans="1:28" x14ac:dyDescent="0.3">
      <c r="A30">
        <v>0.15</v>
      </c>
      <c r="B30">
        <f t="shared" si="0"/>
        <v>15</v>
      </c>
      <c r="C30" s="9">
        <f t="shared" ca="1" si="8"/>
        <v>11.05737344528508</v>
      </c>
      <c r="D30" s="9">
        <f t="shared" ca="1" si="8"/>
        <v>11.763036339491553</v>
      </c>
      <c r="E30" s="9">
        <f t="shared" ca="1" si="8"/>
        <v>11.879871279732615</v>
      </c>
      <c r="F30" s="9">
        <f t="shared" ca="1" si="8"/>
        <v>12.065227966515709</v>
      </c>
      <c r="G30" s="9">
        <f t="shared" ca="1" si="8"/>
        <v>12.250584653298802</v>
      </c>
      <c r="H30" s="9">
        <f t="shared" ca="1" si="8"/>
        <v>12.367023884800513</v>
      </c>
      <c r="I30" s="9">
        <f t="shared" ca="1" si="8"/>
        <v>12.483463116302222</v>
      </c>
      <c r="J30" s="9">
        <f t="shared" ca="1" si="8"/>
        <v>12.551694864890951</v>
      </c>
      <c r="L30" s="9">
        <f t="shared" ca="1" si="9"/>
        <v>5.3251254771920857</v>
      </c>
      <c r="M30" s="9">
        <f t="shared" ca="1" si="9"/>
        <v>5.3251254771920857</v>
      </c>
      <c r="N30" s="9">
        <f t="shared" ca="1" si="9"/>
        <v>5.3251254771920857</v>
      </c>
      <c r="O30" s="9">
        <f t="shared" ca="1" si="9"/>
        <v>4.0879379521337178</v>
      </c>
      <c r="P30" s="9">
        <f t="shared" ca="1" si="9"/>
        <v>2.8507504270753472</v>
      </c>
      <c r="Q30" s="9">
        <f t="shared" ca="1" si="9"/>
        <v>2.6862193652487472</v>
      </c>
      <c r="R30" s="9">
        <f t="shared" ca="1" si="9"/>
        <v>2.5216883034221453</v>
      </c>
      <c r="S30" s="9">
        <f t="shared" ca="1" si="9"/>
        <v>2.471537149204492</v>
      </c>
      <c r="U30" s="9">
        <f t="shared" ca="1" si="5"/>
        <v>-49.621355089365757</v>
      </c>
      <c r="V30" s="9">
        <f t="shared" ca="1" si="5"/>
        <v>-49.621355089365757</v>
      </c>
      <c r="W30" s="9">
        <f t="shared" ca="1" si="5"/>
        <v>-49.621355089365757</v>
      </c>
      <c r="X30" s="9">
        <f t="shared" ca="1" si="5"/>
        <v>-37.158094510006407</v>
      </c>
      <c r="Y30" s="9">
        <f t="shared" ca="1" si="5"/>
        <v>-24.694833930647054</v>
      </c>
      <c r="Z30" s="9">
        <f t="shared" ca="1" si="5"/>
        <v>-24.151204223850357</v>
      </c>
      <c r="AA30" s="9">
        <f t="shared" ca="1" si="5"/>
        <v>-23.607574517053656</v>
      </c>
      <c r="AB30" s="9">
        <f t="shared" ca="1" si="5"/>
        <v>-23.691503548114884</v>
      </c>
    </row>
    <row r="31" spans="1:28" x14ac:dyDescent="0.3">
      <c r="A31">
        <v>0.1</v>
      </c>
      <c r="B31">
        <f t="shared" si="0"/>
        <v>10</v>
      </c>
      <c r="C31" s="9">
        <f t="shared" ca="1" si="8"/>
        <v>10.711230104579677</v>
      </c>
      <c r="D31" s="9">
        <f t="shared" ca="1" si="8"/>
        <v>11.41689299878615</v>
      </c>
      <c r="E31" s="9">
        <f t="shared" ca="1" si="8"/>
        <v>11.533727939027212</v>
      </c>
      <c r="F31" s="9">
        <f t="shared" ca="1" si="8"/>
        <v>11.800937109482325</v>
      </c>
      <c r="G31" s="9">
        <f t="shared" ca="1" si="8"/>
        <v>12.068146279937437</v>
      </c>
      <c r="H31" s="9">
        <f t="shared" ca="1" si="8"/>
        <v>12.193684135450845</v>
      </c>
      <c r="I31" s="9">
        <f t="shared" ca="1" si="8"/>
        <v>12.319221990964248</v>
      </c>
      <c r="J31" s="9">
        <f t="shared" ca="1" si="8"/>
        <v>12.389826661377619</v>
      </c>
      <c r="L31" s="9">
        <f t="shared" ca="1" si="9"/>
        <v>8.9972704167267334</v>
      </c>
      <c r="M31" s="9">
        <f t="shared" ca="1" si="9"/>
        <v>8.9972704167267334</v>
      </c>
      <c r="N31" s="9">
        <f t="shared" ca="1" si="9"/>
        <v>8.9972704167267334</v>
      </c>
      <c r="O31" s="9">
        <f t="shared" ca="1" si="9"/>
        <v>6.8425447807445341</v>
      </c>
      <c r="P31" s="9">
        <f t="shared" ca="1" si="9"/>
        <v>4.6878191447623321</v>
      </c>
      <c r="Q31" s="9">
        <f t="shared" ca="1" si="9"/>
        <v>4.4832663750495634</v>
      </c>
      <c r="R31" s="9">
        <f t="shared" ca="1" si="9"/>
        <v>4.2787136053367929</v>
      </c>
      <c r="S31" s="9">
        <f t="shared" ca="1" si="9"/>
        <v>4.2347412583519048</v>
      </c>
      <c r="U31" s="9">
        <f t="shared" ca="1" si="5"/>
        <v>-108.59622818906743</v>
      </c>
      <c r="V31" s="9">
        <f t="shared" ca="1" si="5"/>
        <v>-108.59622818906743</v>
      </c>
      <c r="W31" s="9">
        <f t="shared" ca="1" si="5"/>
        <v>-108.59622818906743</v>
      </c>
      <c r="X31" s="9">
        <f t="shared" ca="1" si="5"/>
        <v>-81.556374415418446</v>
      </c>
      <c r="Y31" s="9">
        <f t="shared" ca="1" si="5"/>
        <v>-54.516520641769425</v>
      </c>
      <c r="Z31" s="9">
        <f t="shared" ca="1" si="5"/>
        <v>-53.337080664149227</v>
      </c>
      <c r="AA31" s="9">
        <f t="shared" ca="1" si="5"/>
        <v>-52.157640686529014</v>
      </c>
      <c r="AB31" s="9">
        <f t="shared" ca="1" si="5"/>
        <v>-52.339730173690825</v>
      </c>
    </row>
    <row r="32" spans="1:28" x14ac:dyDescent="0.3">
      <c r="A32">
        <v>0.05</v>
      </c>
      <c r="B32">
        <f t="shared" si="0"/>
        <v>5</v>
      </c>
      <c r="C32" s="9">
        <f t="shared" ca="1" si="8"/>
        <v>10.056259937733959</v>
      </c>
      <c r="D32" s="9">
        <f t="shared" ca="1" si="8"/>
        <v>10.761922831940431</v>
      </c>
      <c r="E32" s="9">
        <f t="shared" ca="1" si="8"/>
        <v>10.878757772181494</v>
      </c>
      <c r="F32" s="9">
        <f t="shared" ca="1" si="8"/>
        <v>11.304649783921581</v>
      </c>
      <c r="G32" s="9">
        <f t="shared" ca="1" si="8"/>
        <v>11.73054179566167</v>
      </c>
      <c r="H32" s="9">
        <f t="shared" ca="1" si="8"/>
        <v>11.868529506152075</v>
      </c>
      <c r="I32" s="9">
        <f t="shared" ca="1" si="8"/>
        <v>12.006517216642482</v>
      </c>
      <c r="J32" s="9">
        <f t="shared" ca="1" si="8"/>
        <v>12.078977424410393</v>
      </c>
      <c r="L32" s="9">
        <f t="shared" ca="1" si="9"/>
        <v>19.471707258737993</v>
      </c>
      <c r="M32" s="9">
        <f t="shared" ca="1" si="9"/>
        <v>19.471707258737993</v>
      </c>
      <c r="N32" s="9">
        <f t="shared" ca="1" si="9"/>
        <v>19.471707258737993</v>
      </c>
      <c r="O32" s="9">
        <f t="shared" ca="1" si="9"/>
        <v>14.717892516484408</v>
      </c>
      <c r="P32" s="9">
        <f t="shared" ca="1" si="9"/>
        <v>9.9640777742308142</v>
      </c>
      <c r="Q32" s="9">
        <f t="shared" ca="1" si="9"/>
        <v>9.646156432964565</v>
      </c>
      <c r="R32" s="9">
        <f t="shared" ca="1" si="9"/>
        <v>9.3282350916983106</v>
      </c>
      <c r="S32" s="9">
        <f t="shared" ca="1" si="9"/>
        <v>9.3017653098681947</v>
      </c>
      <c r="U32" s="9">
        <f t="shared" ca="1" si="5"/>
        <v>-406.43828661655209</v>
      </c>
      <c r="V32" s="9">
        <f t="shared" ca="1" si="5"/>
        <v>-406.43828661655209</v>
      </c>
      <c r="W32" s="9">
        <f t="shared" ca="1" si="5"/>
        <v>-406.43828661655209</v>
      </c>
      <c r="X32" s="9">
        <f t="shared" ca="1" si="5"/>
        <v>-305.7662146718427</v>
      </c>
      <c r="Y32" s="9">
        <f t="shared" ca="1" si="5"/>
        <v>-205.09414272713317</v>
      </c>
      <c r="Z32" s="9">
        <f t="shared" ca="1" si="5"/>
        <v>-200.70297007969972</v>
      </c>
      <c r="AA32" s="9">
        <f t="shared" ca="1" si="5"/>
        <v>-196.31179743226625</v>
      </c>
      <c r="AB32" s="9">
        <f t="shared" ca="1" si="5"/>
        <v>-196.98973475047001</v>
      </c>
    </row>
    <row r="33" spans="1:28" x14ac:dyDescent="0.3">
      <c r="A33">
        <v>2.5000000000000001E-2</v>
      </c>
      <c r="B33">
        <f t="shared" si="0"/>
        <v>2.5</v>
      </c>
      <c r="C33" s="9">
        <f t="shared" ca="1" si="8"/>
        <v>9.3778977969759758</v>
      </c>
      <c r="D33" s="9">
        <f t="shared" ca="1" si="8"/>
        <v>10.083560691182448</v>
      </c>
      <c r="E33" s="9">
        <f t="shared" ca="1" si="8"/>
        <v>10.200395631423511</v>
      </c>
      <c r="F33" s="9">
        <f t="shared" ca="1" si="8"/>
        <v>10.79255350060069</v>
      </c>
      <c r="G33" s="9">
        <f t="shared" ca="1" si="8"/>
        <v>11.384711369777872</v>
      </c>
      <c r="H33" s="9">
        <f t="shared" ca="1" si="8"/>
        <v>11.532715528104703</v>
      </c>
      <c r="I33" s="9">
        <f t="shared" ca="1" si="8"/>
        <v>11.680719686431534</v>
      </c>
      <c r="J33" s="9">
        <f t="shared" ca="1" si="8"/>
        <v>11.753522303715744</v>
      </c>
      <c r="L33" s="9">
        <f t="shared" ca="1" si="9"/>
        <v>39.032168693884003</v>
      </c>
      <c r="M33" s="9">
        <f t="shared" ca="1" si="9"/>
        <v>39.032168693884003</v>
      </c>
      <c r="N33" s="9">
        <f t="shared" ca="1" si="9"/>
        <v>39.032168693884003</v>
      </c>
      <c r="O33" s="9">
        <f t="shared" ca="1" si="9"/>
        <v>29.43771979009454</v>
      </c>
      <c r="P33" s="9">
        <f t="shared" ca="1" si="9"/>
        <v>19.843270886305078</v>
      </c>
      <c r="Q33" s="9">
        <f t="shared" ca="1" si="9"/>
        <v>19.314207965097545</v>
      </c>
      <c r="R33" s="9">
        <f t="shared" ca="1" si="9"/>
        <v>18.785145043890012</v>
      </c>
      <c r="S33" s="9">
        <f t="shared" ca="1" si="9"/>
        <v>18.791272649582417</v>
      </c>
      <c r="U33" s="9">
        <f t="shared" ca="1" si="5"/>
        <v>-1518.2837347675077</v>
      </c>
      <c r="V33" s="9">
        <f t="shared" ca="1" si="5"/>
        <v>-1518.2837347675077</v>
      </c>
      <c r="W33" s="9">
        <f t="shared" ca="1" si="5"/>
        <v>-1518.2837347675077</v>
      </c>
      <c r="X33" s="9">
        <f t="shared" ca="1" si="5"/>
        <v>-1142.7300517663239</v>
      </c>
      <c r="Y33" s="9">
        <f t="shared" ca="1" si="5"/>
        <v>-767.17636876513927</v>
      </c>
      <c r="Z33" s="9">
        <f t="shared" ca="1" si="5"/>
        <v>-750.79525105710786</v>
      </c>
      <c r="AA33" s="9">
        <f t="shared" ca="1" si="5"/>
        <v>-734.41413334907634</v>
      </c>
      <c r="AB33" s="9">
        <f t="shared" ca="1" si="5"/>
        <v>-736.94315507056433</v>
      </c>
    </row>
    <row r="34" spans="1:28" x14ac:dyDescent="0.3">
      <c r="A34">
        <f>0.000001</f>
        <v>9.9999999999999995E-7</v>
      </c>
      <c r="B34">
        <f t="shared" si="0"/>
        <v>9.9999999999999991E-5</v>
      </c>
      <c r="C34" s="9">
        <f t="shared" ca="1" si="8"/>
        <v>1.9992665356091934</v>
      </c>
      <c r="D34" s="9">
        <f t="shared" ca="1" si="8"/>
        <v>2.7049294298156665</v>
      </c>
      <c r="E34" s="9">
        <f t="shared" ca="1" si="8"/>
        <v>2.8217643700567292</v>
      </c>
      <c r="F34" s="9">
        <f t="shared" ca="1" si="8"/>
        <v>5.2368234026735667</v>
      </c>
      <c r="G34" s="9">
        <f t="shared" ca="1" si="8"/>
        <v>7.6518824352904105</v>
      </c>
      <c r="H34" s="9">
        <f t="shared" ca="1" si="8"/>
        <v>7.8821630076089999</v>
      </c>
      <c r="I34" s="9">
        <f t="shared" ca="1" si="8"/>
        <v>8.1124435799275894</v>
      </c>
      <c r="J34" s="9">
        <f t="shared" ca="1" si="8"/>
        <v>8.1744325754430154</v>
      </c>
      <c r="L34" s="10">
        <f t="shared" ca="1" si="9"/>
        <v>555078.03361758136</v>
      </c>
      <c r="M34" s="10">
        <f t="shared" ca="1" si="9"/>
        <v>555078.03361758136</v>
      </c>
      <c r="N34" s="10">
        <f t="shared" ca="1" si="9"/>
        <v>555078.03361758136</v>
      </c>
      <c r="O34" s="10">
        <f t="shared" ca="1" si="9"/>
        <v>417845.17982406804</v>
      </c>
      <c r="P34" s="10">
        <f t="shared" ca="1" si="9"/>
        <v>280612.32603055466</v>
      </c>
      <c r="Q34" s="10">
        <f t="shared" ca="1" si="9"/>
        <v>274626.31349256751</v>
      </c>
      <c r="R34" s="10">
        <f t="shared" ca="1" si="9"/>
        <v>268640.30095458019</v>
      </c>
      <c r="S34" s="10">
        <f t="shared" ca="1" si="9"/>
        <v>269564.38430279144</v>
      </c>
      <c r="U34" s="9">
        <f t="shared" ca="1" si="5"/>
        <v>-534110200861.31</v>
      </c>
      <c r="V34" s="9">
        <f t="shared" ca="1" si="5"/>
        <v>-534110200861.31</v>
      </c>
      <c r="W34" s="9">
        <f t="shared" ca="1" si="5"/>
        <v>-534110200861.31</v>
      </c>
      <c r="X34" s="9">
        <f t="shared" ca="1" si="5"/>
        <v>-402061209795.48071</v>
      </c>
      <c r="Y34" s="9">
        <f t="shared" ca="1" si="5"/>
        <v>-270012218729.65134</v>
      </c>
      <c r="Z34" s="9">
        <f t="shared" ca="1" si="5"/>
        <v>-264252429480.37561</v>
      </c>
      <c r="AA34" s="9">
        <f t="shared" ca="1" si="5"/>
        <v>-258492640231.09982</v>
      </c>
      <c r="AB34" s="9">
        <f t="shared" ca="1" si="5"/>
        <v>-259381873333.64136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5"/>
  <sheetViews>
    <sheetView topLeftCell="A10" workbookViewId="0">
      <selection activeCell="E7" sqref="E7"/>
    </sheetView>
  </sheetViews>
  <sheetFormatPr defaultRowHeight="14.4" x14ac:dyDescent="0.3"/>
  <cols>
    <col min="20" max="20" width="12.109375" bestFit="1" customWidth="1"/>
  </cols>
  <sheetData>
    <row r="1" spans="1:20" x14ac:dyDescent="0.3">
      <c r="A1" t="s">
        <v>3</v>
      </c>
      <c r="B1" t="s">
        <v>1</v>
      </c>
      <c r="C1" t="s">
        <v>9</v>
      </c>
      <c r="D1" t="s">
        <v>2</v>
      </c>
      <c r="E1" t="s">
        <v>8</v>
      </c>
      <c r="F1" t="s">
        <v>4</v>
      </c>
      <c r="G1" t="s">
        <v>5</v>
      </c>
      <c r="H1" t="s">
        <v>6</v>
      </c>
      <c r="I1" t="s">
        <v>7</v>
      </c>
    </row>
    <row r="2" spans="1:20" x14ac:dyDescent="0.3">
      <c r="A2">
        <v>0</v>
      </c>
      <c r="B2">
        <f>(100-A2)/100</f>
        <v>1</v>
      </c>
      <c r="C2">
        <v>12.68</v>
      </c>
      <c r="D2">
        <v>12.9</v>
      </c>
      <c r="E2">
        <v>13.1</v>
      </c>
      <c r="F2">
        <v>13.3</v>
      </c>
      <c r="G2">
        <v>13.31</v>
      </c>
      <c r="H2">
        <v>13.32</v>
      </c>
      <c r="I2">
        <v>13.35</v>
      </c>
    </row>
    <row r="3" spans="1:20" x14ac:dyDescent="0.3">
      <c r="A3">
        <v>2</v>
      </c>
      <c r="B3">
        <f t="shared" ref="B3:B15" si="0">(100-A3)/100</f>
        <v>0.98</v>
      </c>
      <c r="C3">
        <v>12.38</v>
      </c>
      <c r="D3">
        <v>12.85</v>
      </c>
      <c r="E3">
        <v>12.85</v>
      </c>
      <c r="F3">
        <v>12.9</v>
      </c>
      <c r="G3">
        <v>13</v>
      </c>
      <c r="H3">
        <v>13.1</v>
      </c>
      <c r="I3">
        <v>13.15</v>
      </c>
      <c r="S3" t="s">
        <v>32</v>
      </c>
      <c r="T3" t="s">
        <v>34</v>
      </c>
    </row>
    <row r="4" spans="1:20" x14ac:dyDescent="0.3">
      <c r="A4">
        <v>5</v>
      </c>
      <c r="B4">
        <f t="shared" si="0"/>
        <v>0.95</v>
      </c>
      <c r="C4">
        <v>12.26</v>
      </c>
      <c r="D4">
        <v>12.77</v>
      </c>
      <c r="E4">
        <v>12.8</v>
      </c>
      <c r="F4">
        <v>12.85</v>
      </c>
      <c r="G4">
        <v>12.95</v>
      </c>
      <c r="H4">
        <v>13.03</v>
      </c>
      <c r="I4">
        <v>13.08</v>
      </c>
      <c r="S4">
        <v>-10</v>
      </c>
      <c r="T4" s="5" t="s">
        <v>33</v>
      </c>
    </row>
    <row r="5" spans="1:20" x14ac:dyDescent="0.3">
      <c r="A5">
        <v>10</v>
      </c>
      <c r="B5">
        <f t="shared" si="0"/>
        <v>0.9</v>
      </c>
      <c r="C5">
        <v>12.17</v>
      </c>
      <c r="D5">
        <v>12.74</v>
      </c>
      <c r="E5">
        <v>12.77</v>
      </c>
      <c r="F5" s="1">
        <v>12.845000000000001</v>
      </c>
      <c r="G5" s="1">
        <f>$G$4+(A5-$A$4)/($A$8-$A$4)*($G$8-$G$4)</f>
        <v>12.944285714285714</v>
      </c>
      <c r="H5">
        <v>13.01</v>
      </c>
      <c r="I5">
        <v>13.05</v>
      </c>
      <c r="S5">
        <v>0</v>
      </c>
      <c r="T5">
        <v>50</v>
      </c>
    </row>
    <row r="6" spans="1:20" x14ac:dyDescent="0.3">
      <c r="A6">
        <v>20</v>
      </c>
      <c r="B6">
        <f t="shared" si="0"/>
        <v>0.8</v>
      </c>
      <c r="C6">
        <v>12.03</v>
      </c>
      <c r="D6">
        <v>12.68</v>
      </c>
      <c r="E6">
        <v>12.75</v>
      </c>
      <c r="F6" s="1">
        <f>$F$5+(A6-A5)/(A9-A5)*($F$9-$F$5)</f>
        <v>12.831250000000001</v>
      </c>
      <c r="G6" s="1">
        <f t="shared" ref="G6:G7" si="1">$G$4+(A6-$A$4)/($A$8-$A$4)*($G$8-$G$4)</f>
        <v>12.932857142857143</v>
      </c>
      <c r="H6" s="1">
        <f>H$5+($A6-$A$5)/($A$8-$A$5)*(H$8-H$5)</f>
        <v>13.006666666666666</v>
      </c>
      <c r="I6" s="1">
        <f>I$5+($A6-$A$5)/($A$8-$A$5)*(I$8-I$5)</f>
        <v>13.046666666666667</v>
      </c>
      <c r="S6">
        <v>10</v>
      </c>
      <c r="T6">
        <v>60</v>
      </c>
    </row>
    <row r="7" spans="1:20" x14ac:dyDescent="0.3">
      <c r="A7">
        <v>30</v>
      </c>
      <c r="B7">
        <f t="shared" si="0"/>
        <v>0.7</v>
      </c>
      <c r="C7">
        <v>11.98</v>
      </c>
      <c r="D7">
        <v>12.64</v>
      </c>
      <c r="E7">
        <v>12.74</v>
      </c>
      <c r="F7" s="1">
        <f t="shared" ref="F7:F8" si="2">$F$5+(A7-A6)/(A10-A6)*($F$9-$F$5)</f>
        <v>12.831250000000001</v>
      </c>
      <c r="G7" s="1">
        <f t="shared" si="1"/>
        <v>12.921428571428571</v>
      </c>
      <c r="H7" s="1">
        <f>H$5+($A7-$A$5)/($A$8-$A$5)*(H$8-H$5)</f>
        <v>13.003333333333334</v>
      </c>
      <c r="I7" s="1">
        <f>I$5+($A7-$A$5)/($A$8-$A$5)*(I$8-I$5)</f>
        <v>13.043333333333333</v>
      </c>
      <c r="S7">
        <v>20</v>
      </c>
      <c r="T7">
        <v>65</v>
      </c>
    </row>
    <row r="8" spans="1:20" x14ac:dyDescent="0.3">
      <c r="A8">
        <v>40</v>
      </c>
      <c r="B8">
        <f t="shared" si="0"/>
        <v>0.6</v>
      </c>
      <c r="C8">
        <v>11.95</v>
      </c>
      <c r="D8">
        <v>12.6</v>
      </c>
      <c r="E8">
        <v>12.71</v>
      </c>
      <c r="F8" s="1">
        <f t="shared" si="2"/>
        <v>12.831250000000001</v>
      </c>
      <c r="G8">
        <v>12.91</v>
      </c>
      <c r="H8">
        <v>13</v>
      </c>
      <c r="I8">
        <v>13.04</v>
      </c>
      <c r="S8">
        <v>30</v>
      </c>
      <c r="T8">
        <v>78</v>
      </c>
    </row>
    <row r="9" spans="1:20" x14ac:dyDescent="0.3">
      <c r="A9">
        <v>50</v>
      </c>
      <c r="B9">
        <f t="shared" si="0"/>
        <v>0.5</v>
      </c>
      <c r="C9">
        <v>11.9</v>
      </c>
      <c r="D9">
        <v>12.5</v>
      </c>
      <c r="E9">
        <v>12.65</v>
      </c>
      <c r="F9">
        <v>12.79</v>
      </c>
      <c r="G9">
        <v>12.9</v>
      </c>
      <c r="H9">
        <v>12.97</v>
      </c>
      <c r="I9">
        <v>13.01</v>
      </c>
      <c r="S9">
        <v>40</v>
      </c>
      <c r="T9">
        <v>81</v>
      </c>
    </row>
    <row r="10" spans="1:20" x14ac:dyDescent="0.3">
      <c r="A10">
        <v>60</v>
      </c>
      <c r="B10">
        <f t="shared" si="0"/>
        <v>0.4</v>
      </c>
      <c r="C10">
        <v>11.76</v>
      </c>
      <c r="D10">
        <v>12.37</v>
      </c>
      <c r="E10">
        <v>12.49</v>
      </c>
      <c r="F10">
        <v>12.65</v>
      </c>
      <c r="G10">
        <v>12.84</v>
      </c>
      <c r="H10">
        <v>12.91</v>
      </c>
      <c r="I10">
        <v>12.95</v>
      </c>
      <c r="S10">
        <v>50</v>
      </c>
      <c r="T10">
        <v>87</v>
      </c>
    </row>
    <row r="11" spans="1:20" x14ac:dyDescent="0.3">
      <c r="A11">
        <v>70</v>
      </c>
      <c r="B11">
        <f t="shared" si="0"/>
        <v>0.3</v>
      </c>
      <c r="C11">
        <v>11.03</v>
      </c>
      <c r="D11">
        <v>11.97</v>
      </c>
      <c r="E11">
        <v>12.25</v>
      </c>
      <c r="F11">
        <v>12.41</v>
      </c>
      <c r="G11">
        <v>12.7</v>
      </c>
      <c r="H11">
        <v>12.77</v>
      </c>
      <c r="I11">
        <v>12.87</v>
      </c>
    </row>
    <row r="12" spans="1:20" x14ac:dyDescent="0.3">
      <c r="A12">
        <v>80</v>
      </c>
      <c r="B12">
        <f t="shared" si="0"/>
        <v>0.2</v>
      </c>
      <c r="D12">
        <v>11.4</v>
      </c>
      <c r="E12">
        <v>11.78</v>
      </c>
      <c r="F12">
        <v>12.15</v>
      </c>
      <c r="G12">
        <v>12.4</v>
      </c>
      <c r="H12">
        <v>12.55</v>
      </c>
      <c r="I12">
        <v>12.66</v>
      </c>
    </row>
    <row r="13" spans="1:20" x14ac:dyDescent="0.3">
      <c r="A13">
        <v>90</v>
      </c>
      <c r="B13">
        <f t="shared" si="0"/>
        <v>0.1</v>
      </c>
      <c r="D13">
        <v>10.1</v>
      </c>
      <c r="E13">
        <v>11.05</v>
      </c>
      <c r="F13">
        <v>11.59</v>
      </c>
      <c r="G13">
        <v>11.85</v>
      </c>
      <c r="H13">
        <v>12.2</v>
      </c>
      <c r="I13">
        <v>12.43</v>
      </c>
    </row>
    <row r="14" spans="1:20" x14ac:dyDescent="0.3">
      <c r="A14">
        <v>95</v>
      </c>
      <c r="B14">
        <f t="shared" si="0"/>
        <v>0.05</v>
      </c>
      <c r="E14">
        <v>10.1</v>
      </c>
      <c r="F14">
        <v>10.95</v>
      </c>
      <c r="G14">
        <v>11.3</v>
      </c>
      <c r="H14">
        <v>11.6</v>
      </c>
      <c r="I14">
        <v>12.1</v>
      </c>
    </row>
    <row r="15" spans="1:20" x14ac:dyDescent="0.3">
      <c r="A15">
        <v>100</v>
      </c>
      <c r="B15">
        <f t="shared" si="0"/>
        <v>0</v>
      </c>
      <c r="F15">
        <v>10.1</v>
      </c>
      <c r="G15">
        <v>10.45</v>
      </c>
      <c r="H15">
        <v>10.51</v>
      </c>
      <c r="I15">
        <v>11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9"/>
  <sheetViews>
    <sheetView workbookViewId="0">
      <selection activeCell="C15" sqref="C15"/>
    </sheetView>
  </sheetViews>
  <sheetFormatPr defaultRowHeight="14.4" x14ac:dyDescent="0.3"/>
  <sheetData>
    <row r="1" spans="1:22" x14ac:dyDescent="0.3">
      <c r="A1" s="4" t="s">
        <v>31</v>
      </c>
      <c r="Q1" t="s">
        <v>35</v>
      </c>
      <c r="R1">
        <v>20</v>
      </c>
      <c r="S1">
        <v>20</v>
      </c>
    </row>
    <row r="2" spans="1:22" x14ac:dyDescent="0.3">
      <c r="A2" t="s">
        <v>15</v>
      </c>
      <c r="Q2" t="s">
        <v>12</v>
      </c>
      <c r="R2">
        <f>FORECAST(R$1,$B7:$H7,$B$6:$H$6)</f>
        <v>0.47799999999999987</v>
      </c>
      <c r="S2" t="e">
        <f ca="1">FORECAST(S$1,OFFSET($B7,MATCH(TRUE,$B$6:$H$6&lt;=S$1,0),,2),OFFSET($B$6,MATCH(TRUE,$B$6:$B$6&lt;=S$1,0),,2))</f>
        <v>#N/A</v>
      </c>
    </row>
    <row r="3" spans="1:22" x14ac:dyDescent="0.3">
      <c r="Q3" t="s">
        <v>11</v>
      </c>
      <c r="R3">
        <f>FORECAST(R$1,$B8:$H8,$B$6:$H$6)</f>
        <v>-0.79623270214124631</v>
      </c>
    </row>
    <row r="4" spans="1:22" x14ac:dyDescent="0.3">
      <c r="Q4" t="s">
        <v>10</v>
      </c>
      <c r="R4">
        <f t="shared" ref="R4:R7" si="0">FORECAST(R$1,$B9:$H9,$B$6:$H$6)</f>
        <v>3.0849335241012219</v>
      </c>
    </row>
    <row r="5" spans="1:22" x14ac:dyDescent="0.3">
      <c r="Q5" t="s">
        <v>13</v>
      </c>
      <c r="R5">
        <f t="shared" si="0"/>
        <v>-1.393497067143282</v>
      </c>
    </row>
    <row r="6" spans="1:22" x14ac:dyDescent="0.3">
      <c r="A6" t="s">
        <v>16</v>
      </c>
      <c r="B6" s="2">
        <v>-10</v>
      </c>
      <c r="C6" s="2">
        <v>0</v>
      </c>
      <c r="D6" s="2">
        <v>10</v>
      </c>
      <c r="E6" s="2">
        <v>20</v>
      </c>
      <c r="F6" s="2">
        <v>30</v>
      </c>
      <c r="G6" s="2">
        <v>40</v>
      </c>
      <c r="H6" s="2">
        <v>50</v>
      </c>
      <c r="Q6" t="s">
        <v>14</v>
      </c>
      <c r="R6">
        <f t="shared" si="0"/>
        <v>0.39999999999999997</v>
      </c>
    </row>
    <row r="7" spans="1:22" x14ac:dyDescent="0.3">
      <c r="A7" t="s">
        <v>12</v>
      </c>
      <c r="B7" s="2">
        <v>0.47799999999999998</v>
      </c>
      <c r="C7" s="2">
        <v>0.47799999999999998</v>
      </c>
      <c r="D7" s="2">
        <v>0.47799999999999998</v>
      </c>
      <c r="E7" s="2">
        <v>0.47799999999999998</v>
      </c>
      <c r="F7" s="2">
        <v>0.47799999999999998</v>
      </c>
      <c r="G7" s="2">
        <v>0.47799999999999998</v>
      </c>
      <c r="H7" s="2">
        <v>0.47799999999999998</v>
      </c>
      <c r="Q7" t="s">
        <v>0</v>
      </c>
      <c r="R7">
        <f t="shared" si="0"/>
        <v>1.734</v>
      </c>
    </row>
    <row r="8" spans="1:22" x14ac:dyDescent="0.3">
      <c r="A8" t="s">
        <v>11</v>
      </c>
      <c r="B8" s="3">
        <v>-1.143251503157807</v>
      </c>
      <c r="C8" s="3">
        <v>-1.143251503157807</v>
      </c>
      <c r="D8" s="3">
        <v>-1.143251503157807</v>
      </c>
      <c r="E8" s="3">
        <v>-0.57795540028306935</v>
      </c>
      <c r="F8" s="3">
        <v>-0.55329798798696006</v>
      </c>
      <c r="G8" s="3">
        <v>-0.55710475700016193</v>
      </c>
      <c r="H8" s="3">
        <v>-0.45551626024511238</v>
      </c>
      <c r="K8" s="3"/>
      <c r="N8" s="3"/>
      <c r="Q8" s="3"/>
      <c r="T8" s="3"/>
    </row>
    <row r="9" spans="1:22" x14ac:dyDescent="0.3">
      <c r="A9" t="s">
        <v>10</v>
      </c>
      <c r="B9">
        <v>3.3483399767315909</v>
      </c>
      <c r="C9">
        <v>3.5247557002832086</v>
      </c>
      <c r="D9">
        <v>3.5539644353434743</v>
      </c>
      <c r="E9">
        <v>2.7782710208104895</v>
      </c>
      <c r="F9">
        <v>2.8069059976624819</v>
      </c>
      <c r="G9">
        <v>2.8512557761146389</v>
      </c>
      <c r="H9">
        <v>2.7310417617626701</v>
      </c>
    </row>
    <row r="10" spans="1:22" x14ac:dyDescent="0.3">
      <c r="A10" t="s">
        <v>13</v>
      </c>
      <c r="B10">
        <v>-1.7704346329793603</v>
      </c>
      <c r="C10">
        <v>-1.7704346329793603</v>
      </c>
      <c r="D10">
        <v>-1.7704346329793603</v>
      </c>
      <c r="E10">
        <v>-1.0994517959124805</v>
      </c>
      <c r="F10">
        <v>-1.1254678290104727</v>
      </c>
      <c r="G10">
        <v>-1.1592275633503999</v>
      </c>
      <c r="H10">
        <v>-1.0590283827915401</v>
      </c>
    </row>
    <row r="11" spans="1:22" x14ac:dyDescent="0.3">
      <c r="A11" t="s">
        <v>14</v>
      </c>
      <c r="B11" s="2">
        <v>0.4</v>
      </c>
      <c r="C11" s="2">
        <v>0.4</v>
      </c>
      <c r="D11" s="2">
        <v>0.4</v>
      </c>
      <c r="E11" s="2">
        <v>0.4</v>
      </c>
      <c r="F11" s="2">
        <v>0.4</v>
      </c>
      <c r="G11" s="2">
        <v>0.4</v>
      </c>
      <c r="H11" s="2">
        <v>0.4</v>
      </c>
    </row>
    <row r="12" spans="1:22" x14ac:dyDescent="0.3">
      <c r="A12" t="s">
        <v>0</v>
      </c>
      <c r="B12" s="2">
        <v>1.734</v>
      </c>
      <c r="C12" s="2">
        <v>1.734</v>
      </c>
      <c r="D12" s="2">
        <v>1.734</v>
      </c>
      <c r="E12" s="2">
        <v>1.734</v>
      </c>
      <c r="F12" s="2">
        <v>1.734</v>
      </c>
      <c r="G12" s="2">
        <v>1.734</v>
      </c>
      <c r="H12" s="2">
        <v>1.734</v>
      </c>
    </row>
    <row r="14" spans="1:22" x14ac:dyDescent="0.3">
      <c r="A14" t="s">
        <v>30</v>
      </c>
      <c r="B14" t="str">
        <f>'Cap Curves'!C1</f>
        <v>VoC -10C</v>
      </c>
      <c r="C14" t="s">
        <v>19</v>
      </c>
      <c r="D14" t="s">
        <v>20</v>
      </c>
      <c r="E14" t="str">
        <f>'Cap Curves'!D1</f>
        <v>VoC 0C</v>
      </c>
      <c r="F14" t="s">
        <v>21</v>
      </c>
      <c r="G14" t="s">
        <v>22</v>
      </c>
      <c r="H14" t="str">
        <f>'Cap Curves'!E1</f>
        <v>VoC 10C</v>
      </c>
      <c r="I14" t="s">
        <v>23</v>
      </c>
      <c r="J14" t="s">
        <v>24</v>
      </c>
      <c r="K14" t="str">
        <f>'Cap Curves'!F1</f>
        <v>VoC 20C</v>
      </c>
      <c r="L14" t="s">
        <v>18</v>
      </c>
      <c r="M14" t="s">
        <v>17</v>
      </c>
      <c r="N14" t="str">
        <f>'Cap Curves'!G1</f>
        <v>VoC 30C</v>
      </c>
      <c r="O14" t="s">
        <v>25</v>
      </c>
      <c r="P14" t="s">
        <v>26</v>
      </c>
      <c r="Q14" t="str">
        <f>'Cap Curves'!H1</f>
        <v>VoC 40C</v>
      </c>
      <c r="R14" t="s">
        <v>27</v>
      </c>
      <c r="S14" t="s">
        <v>28</v>
      </c>
      <c r="T14" t="str">
        <f>'Cap Curves'!I1</f>
        <v>VoC 50C</v>
      </c>
      <c r="U14" t="s">
        <v>29</v>
      </c>
      <c r="V14" t="s">
        <v>17</v>
      </c>
    </row>
    <row r="15" spans="1:22" x14ac:dyDescent="0.3">
      <c r="A15">
        <v>1</v>
      </c>
      <c r="B15">
        <f>'Cap Curves'!C2</f>
        <v>12.68</v>
      </c>
      <c r="C15">
        <f t="shared" ref="C15:C23" si="1">4*(B$9+B$8*(-LN($A15))^B$7 + B$10*$A15 + B$12*EXP(B$11*($A15-1)))</f>
        <v>13.247621375008922</v>
      </c>
      <c r="D15">
        <f>((C15-B15)/12*100)^2</f>
        <v>22.374585094931938</v>
      </c>
      <c r="E15">
        <f>'Cap Curves'!D2</f>
        <v>12.9</v>
      </c>
      <c r="F15">
        <f t="shared" ref="F15:F26" si="2">(C$9+C$8*(-LN($A15))^C$7 + C$10*$A15 + C$12*EXP(C$11*($A15-1)))*4</f>
        <v>13.953284269215393</v>
      </c>
      <c r="G15">
        <f>((F15-E15)/12*100)^2</f>
        <v>77.042204984486403</v>
      </c>
      <c r="H15">
        <f>'Cap Curves'!E2</f>
        <v>13.1</v>
      </c>
      <c r="I15">
        <f t="shared" ref="I15:I28" si="3">(D$9+D$8*(-LN($A15))^D$7 + D$10*$A15 + D$12*EXP(D$11*($A15-1)))*4</f>
        <v>14.070119209456456</v>
      </c>
      <c r="J15">
        <f>((I15-H15)/12*100)^2</f>
        <v>65.356338927529109</v>
      </c>
      <c r="K15">
        <f>'Cap Curves'!F2</f>
        <v>13.3</v>
      </c>
      <c r="L15">
        <f t="shared" ref="L15:L28" si="4">(E$9+E$8*(-LN($A15))^E$7 + E$10*$A15 + E$12*EXP(E$11*($A15-1)))*4</f>
        <v>13.651276899592036</v>
      </c>
      <c r="M15">
        <f>((L15-K15)/12*100)^2</f>
        <v>8.5691291796522648</v>
      </c>
      <c r="N15">
        <f>'Cap Curves'!G2</f>
        <v>13.31</v>
      </c>
      <c r="O15">
        <f t="shared" ref="O15:O28" si="5">(F$9+F$8*(-LN($A15))^F$7 + F$10*$A15 + F$12*EXP(F$11*($A15-1)))*4</f>
        <v>13.661752674608037</v>
      </c>
      <c r="P15">
        <f>((O15-N15)/12*100)^2</f>
        <v>8.5923572287435519</v>
      </c>
      <c r="Q15">
        <f>'Cap Curves'!H2</f>
        <v>13.32</v>
      </c>
      <c r="R15">
        <f t="shared" ref="R15:R28" si="6">(G$9+G$8*(-LN($A15))^G$7 + G$10*$A15 + G$12*EXP(G$11*($A15-1)))*4</f>
        <v>13.704112851056955</v>
      </c>
      <c r="S15">
        <f>((R15-Q15)/12*100)^2</f>
        <v>10.246019607437656</v>
      </c>
      <c r="T15">
        <f>'Cap Curves'!I2</f>
        <v>13.35</v>
      </c>
      <c r="U15">
        <f t="shared" ref="U15:U28" si="7">(H$9+H$8*(-LN($A15))^H$7 + H$10*$A15 + H$12*EXP(H$11*($A15-1)))*4</f>
        <v>13.624053515884519</v>
      </c>
      <c r="V15">
        <f>((U15-T15)/12*100)^2</f>
        <v>5.2156478867129561</v>
      </c>
    </row>
    <row r="16" spans="1:22" x14ac:dyDescent="0.3">
      <c r="A16">
        <v>0.98</v>
      </c>
      <c r="B16">
        <f>'Cap Curves'!C3</f>
        <v>12.38</v>
      </c>
      <c r="C16">
        <f t="shared" si="1"/>
        <v>12.625737933744901</v>
      </c>
      <c r="D16">
        <f t="shared" ref="D16:D23" si="8">((C16-B16)/12*100)^2</f>
        <v>4.1935508389731213</v>
      </c>
      <c r="E16">
        <f>'Cap Curves'!D3</f>
        <v>12.85</v>
      </c>
      <c r="F16">
        <f t="shared" si="2"/>
        <v>13.33140082795137</v>
      </c>
      <c r="G16">
        <f t="shared" ref="G16:G26" si="9">((F16-E16)/12*100)^2</f>
        <v>16.093524802240619</v>
      </c>
      <c r="H16">
        <f>'Cap Curves'!E3</f>
        <v>12.85</v>
      </c>
      <c r="I16">
        <f t="shared" si="3"/>
        <v>13.448235768192433</v>
      </c>
      <c r="J16">
        <f t="shared" ref="J16:J27" si="10">((I16-H16)/12*100)^2</f>
        <v>24.853196829499336</v>
      </c>
      <c r="K16">
        <f>'Cap Curves'!F3</f>
        <v>12.9</v>
      </c>
      <c r="L16">
        <f t="shared" si="4"/>
        <v>13.32591936036253</v>
      </c>
      <c r="M16">
        <f t="shared" ref="M16:M28" si="11">((L16-K16)/12*100)^2</f>
        <v>12.597729273029604</v>
      </c>
      <c r="N16">
        <f>'Cap Curves'!G3</f>
        <v>13</v>
      </c>
      <c r="O16">
        <f t="shared" si="5"/>
        <v>13.353751841677095</v>
      </c>
      <c r="P16">
        <f t="shared" ref="P16:P28" si="12">((O16-N16)/12*100)^2</f>
        <v>8.6903031590233688</v>
      </c>
      <c r="Q16">
        <f>'Cap Curves'!H3</f>
        <v>13.1</v>
      </c>
      <c r="R16">
        <f t="shared" si="6"/>
        <v>13.396454479272043</v>
      </c>
      <c r="S16">
        <f t="shared" ref="S16:S28" si="13">((R16-Q16)/12*100)^2</f>
        <v>6.1031429361429339</v>
      </c>
      <c r="T16">
        <f>'Cap Curves'!I3</f>
        <v>13.15</v>
      </c>
      <c r="U16">
        <f t="shared" si="7"/>
        <v>13.371313929135514</v>
      </c>
      <c r="V16">
        <f t="shared" ref="V16:V28" si="14">((U16-T16)/12*100)^2</f>
        <v>3.4013788353749441</v>
      </c>
    </row>
    <row r="17" spans="1:22" x14ac:dyDescent="0.3">
      <c r="A17">
        <v>0.95</v>
      </c>
      <c r="B17">
        <f>'Cap Curves'!C4</f>
        <v>12.26</v>
      </c>
      <c r="C17">
        <f t="shared" si="1"/>
        <v>12.358733953297351</v>
      </c>
      <c r="D17">
        <f t="shared" si="8"/>
        <v>0.67697177317524859</v>
      </c>
      <c r="E17">
        <f>'Cap Curves'!D4</f>
        <v>12.77</v>
      </c>
      <c r="F17">
        <f t="shared" si="2"/>
        <v>13.064396847503822</v>
      </c>
      <c r="G17">
        <f t="shared" si="9"/>
        <v>6.0187155430686792</v>
      </c>
      <c r="H17">
        <f>'Cap Curves'!E4</f>
        <v>12.8</v>
      </c>
      <c r="I17">
        <f t="shared" si="3"/>
        <v>13.181231787744885</v>
      </c>
      <c r="J17">
        <f t="shared" si="10"/>
        <v>10.092894165775023</v>
      </c>
      <c r="K17">
        <f>'Cap Curves'!F4</f>
        <v>12.85</v>
      </c>
      <c r="L17">
        <f t="shared" si="4"/>
        <v>13.174887714615567</v>
      </c>
      <c r="M17">
        <f t="shared" si="11"/>
        <v>7.3300018825087614</v>
      </c>
      <c r="N17">
        <f>'Cap Curves'!G4</f>
        <v>12.95</v>
      </c>
      <c r="O17">
        <f t="shared" si="5"/>
        <v>13.214412746343285</v>
      </c>
      <c r="P17">
        <f t="shared" si="12"/>
        <v>4.8551458631110309</v>
      </c>
      <c r="Q17">
        <f>'Cap Curves'!H4</f>
        <v>13.03</v>
      </c>
      <c r="R17">
        <f t="shared" si="6"/>
        <v>13.259843363933317</v>
      </c>
      <c r="S17">
        <f t="shared" si="13"/>
        <v>3.6686091627905308</v>
      </c>
      <c r="T17">
        <f>'Cap Curves'!I4</f>
        <v>13.08</v>
      </c>
      <c r="U17">
        <f t="shared" si="7"/>
        <v>13.257989878502613</v>
      </c>
      <c r="V17">
        <f t="shared" si="14"/>
        <v>2.2000275589843725</v>
      </c>
    </row>
    <row r="18" spans="1:22" x14ac:dyDescent="0.3">
      <c r="A18">
        <v>0.9</v>
      </c>
      <c r="B18">
        <f>'Cap Curves'!C5</f>
        <v>12.17</v>
      </c>
      <c r="C18">
        <f t="shared" si="1"/>
        <v>12.124128154813484</v>
      </c>
      <c r="D18">
        <f t="shared" si="8"/>
        <v>0.14612681811220285</v>
      </c>
      <c r="E18">
        <f>'Cap Curves'!D5</f>
        <v>12.74</v>
      </c>
      <c r="F18">
        <f t="shared" si="2"/>
        <v>12.829791049019956</v>
      </c>
      <c r="G18">
        <f t="shared" si="9"/>
        <v>0.559891144729455</v>
      </c>
      <c r="H18">
        <f>'Cap Curves'!E5</f>
        <v>12.77</v>
      </c>
      <c r="I18">
        <f t="shared" si="3"/>
        <v>12.946625989261019</v>
      </c>
      <c r="J18">
        <f t="shared" si="10"/>
        <v>2.1664402835023426</v>
      </c>
      <c r="K18">
        <f>'Cap Curves'!F5</f>
        <v>12.845000000000001</v>
      </c>
      <c r="L18">
        <f t="shared" si="4"/>
        <v>13.030606512523184</v>
      </c>
      <c r="M18">
        <f t="shared" si="11"/>
        <v>2.3923456590985048</v>
      </c>
      <c r="N18">
        <f>'Cap Curves'!G5</f>
        <v>12.944285714285714</v>
      </c>
      <c r="O18">
        <f t="shared" si="5"/>
        <v>13.085128044822085</v>
      </c>
      <c r="P18">
        <f t="shared" si="12"/>
        <v>1.3775390327025241</v>
      </c>
      <c r="Q18">
        <f>'Cap Curves'!H5</f>
        <v>13.01</v>
      </c>
      <c r="R18">
        <f t="shared" si="6"/>
        <v>13.135798657924287</v>
      </c>
      <c r="S18">
        <f t="shared" si="13"/>
        <v>1.0989793288577647</v>
      </c>
      <c r="T18">
        <f>'Cap Curves'!I5</f>
        <v>13.05</v>
      </c>
      <c r="U18">
        <f t="shared" si="7"/>
        <v>13.154253690818782</v>
      </c>
      <c r="V18">
        <f t="shared" si="14"/>
        <v>0.75478000342625839</v>
      </c>
    </row>
    <row r="19" spans="1:22" x14ac:dyDescent="0.3">
      <c r="A19">
        <v>0.8</v>
      </c>
      <c r="B19">
        <f>'Cap Curves'!C6</f>
        <v>12.03</v>
      </c>
      <c r="C19">
        <f t="shared" si="1"/>
        <v>11.898031230846634</v>
      </c>
      <c r="D19">
        <f t="shared" si="8"/>
        <v>1.2094275022121033</v>
      </c>
      <c r="E19">
        <f>'Cap Curves'!D6</f>
        <v>12.68</v>
      </c>
      <c r="F19">
        <f t="shared" si="2"/>
        <v>12.603694125053105</v>
      </c>
      <c r="G19">
        <f t="shared" ref="G19:G22" si="15">((F19-E19)/12*100)^2*8</f>
        <v>3.2347703063395441</v>
      </c>
      <c r="H19">
        <f>'Cap Curves'!E6</f>
        <v>12.75</v>
      </c>
      <c r="I19">
        <f t="shared" si="3"/>
        <v>12.720529065294167</v>
      </c>
      <c r="J19">
        <f t="shared" ref="J19:J22" si="16">((I19-H19)/12*100)^2*8</f>
        <v>0.48251999579747196</v>
      </c>
      <c r="K19">
        <f>'Cap Curves'!F6</f>
        <v>12.831250000000001</v>
      </c>
      <c r="L19">
        <f t="shared" si="4"/>
        <v>12.868875635416604</v>
      </c>
      <c r="M19">
        <f t="shared" ref="M19:M22" si="17">((L19-K19)/12*100)^2*8</f>
        <v>0.7864935780572998</v>
      </c>
      <c r="N19">
        <f>'Cap Curves'!G6</f>
        <v>12.932857142857143</v>
      </c>
      <c r="O19">
        <f t="shared" si="5"/>
        <v>12.948318063358611</v>
      </c>
      <c r="P19">
        <f t="shared" ref="P19:P22" si="18">((O19-N19)/12*100)^2*8</f>
        <v>0.13280003486261802</v>
      </c>
      <c r="Q19">
        <f>'Cap Curves'!H6</f>
        <v>13.006666666666666</v>
      </c>
      <c r="R19">
        <f t="shared" si="6"/>
        <v>13.010251731572101</v>
      </c>
      <c r="S19">
        <f t="shared" ref="S19:S22" si="19">((R19-Q19)/12*100)^2*8</f>
        <v>7.1403835423230521E-3</v>
      </c>
      <c r="T19">
        <f>'Cap Curves'!I6</f>
        <v>13.046666666666667</v>
      </c>
      <c r="U19">
        <f t="shared" si="7"/>
        <v>13.048426735079993</v>
      </c>
      <c r="V19">
        <f t="shared" ref="V19:V22" si="20">((U19-T19)/12*100)^2*8</f>
        <v>1.7210226775481604E-3</v>
      </c>
    </row>
    <row r="20" spans="1:22" x14ac:dyDescent="0.3">
      <c r="A20">
        <v>0.7</v>
      </c>
      <c r="B20">
        <f>'Cap Curves'!C7</f>
        <v>11.98</v>
      </c>
      <c r="C20">
        <f t="shared" si="1"/>
        <v>11.79406963880048</v>
      </c>
      <c r="D20">
        <f t="shared" si="8"/>
        <v>2.4007013344294661</v>
      </c>
      <c r="E20">
        <f>'Cap Curves'!D7</f>
        <v>12.64</v>
      </c>
      <c r="F20">
        <f t="shared" si="2"/>
        <v>12.499732533006949</v>
      </c>
      <c r="G20">
        <f t="shared" si="15"/>
        <v>10.930534609248282</v>
      </c>
      <c r="H20">
        <f>'Cap Curves'!E7</f>
        <v>12.74</v>
      </c>
      <c r="I20">
        <f t="shared" si="3"/>
        <v>12.616567473248011</v>
      </c>
      <c r="J20">
        <f t="shared" si="16"/>
        <v>8.4642159224335867</v>
      </c>
      <c r="K20">
        <f>'Cap Curves'!F7</f>
        <v>12.831250000000001</v>
      </c>
      <c r="L20">
        <f t="shared" si="4"/>
        <v>12.773954775560256</v>
      </c>
      <c r="M20">
        <f t="shared" si="17"/>
        <v>1.8237459686670776</v>
      </c>
      <c r="N20">
        <f>'Cap Curves'!G7</f>
        <v>12.921428571428571</v>
      </c>
      <c r="O20">
        <f t="shared" si="5"/>
        <v>12.875904887578359</v>
      </c>
      <c r="P20">
        <f t="shared" si="18"/>
        <v>1.1513365507188842</v>
      </c>
      <c r="Q20">
        <f>'Cap Curves'!H7</f>
        <v>13.003333333333334</v>
      </c>
      <c r="R20">
        <f t="shared" si="6"/>
        <v>12.949474177939177</v>
      </c>
      <c r="S20">
        <f t="shared" si="19"/>
        <v>1.6115603443177624</v>
      </c>
      <c r="T20">
        <f>'Cap Curves'!I7</f>
        <v>13.043333333333333</v>
      </c>
      <c r="U20">
        <f t="shared" si="7"/>
        <v>12.997426724505619</v>
      </c>
      <c r="V20">
        <f t="shared" si="20"/>
        <v>1.1707870744781952</v>
      </c>
    </row>
    <row r="21" spans="1:22" x14ac:dyDescent="0.3">
      <c r="A21">
        <v>0.6</v>
      </c>
      <c r="B21">
        <f>'Cap Curves'!C8</f>
        <v>11.95</v>
      </c>
      <c r="C21">
        <f t="shared" si="1"/>
        <v>11.737704849502094</v>
      </c>
      <c r="D21">
        <f t="shared" si="8"/>
        <v>3.1298077031200067</v>
      </c>
      <c r="E21">
        <f>'Cap Curves'!D8</f>
        <v>12.6</v>
      </c>
      <c r="F21">
        <f t="shared" si="2"/>
        <v>12.443367743708565</v>
      </c>
      <c r="G21">
        <f t="shared" si="15"/>
        <v>13.629813172747548</v>
      </c>
      <c r="H21">
        <f>'Cap Curves'!E8</f>
        <v>12.71</v>
      </c>
      <c r="I21">
        <f t="shared" si="3"/>
        <v>12.560202683949628</v>
      </c>
      <c r="J21">
        <f t="shared" si="16"/>
        <v>12.466242164386289</v>
      </c>
      <c r="K21">
        <f>'Cap Curves'!F8</f>
        <v>12.831250000000001</v>
      </c>
      <c r="L21">
        <f t="shared" si="4"/>
        <v>12.707963337013783</v>
      </c>
      <c r="M21">
        <f t="shared" si="17"/>
        <v>8.4442229279317331</v>
      </c>
      <c r="N21">
        <f>'Cap Curves'!G8</f>
        <v>12.91</v>
      </c>
      <c r="O21">
        <f t="shared" si="5"/>
        <v>12.831606888470063</v>
      </c>
      <c r="P21">
        <f t="shared" si="18"/>
        <v>3.4141555196362292</v>
      </c>
      <c r="Q21">
        <f>'Cap Curves'!H8</f>
        <v>13</v>
      </c>
      <c r="R21">
        <f t="shared" si="6"/>
        <v>12.916937509273122</v>
      </c>
      <c r="S21">
        <f t="shared" si="19"/>
        <v>3.8329874254181426</v>
      </c>
      <c r="T21">
        <f>'Cap Curves'!I8</f>
        <v>13.04</v>
      </c>
      <c r="U21">
        <f t="shared" si="7"/>
        <v>12.971312912373676</v>
      </c>
      <c r="V21">
        <f t="shared" si="20"/>
        <v>2.6210644481034153</v>
      </c>
    </row>
    <row r="22" spans="1:22" x14ac:dyDescent="0.3">
      <c r="A22">
        <v>0.5</v>
      </c>
      <c r="B22">
        <f>'Cap Curves'!C9</f>
        <v>11.9</v>
      </c>
      <c r="C22">
        <f t="shared" si="1"/>
        <v>11.693106641659902</v>
      </c>
      <c r="D22">
        <f t="shared" si="8"/>
        <v>2.9725598420308477</v>
      </c>
      <c r="E22">
        <f>'Cap Curves'!D9</f>
        <v>12.5</v>
      </c>
      <c r="F22">
        <f t="shared" si="2"/>
        <v>12.398769535866373</v>
      </c>
      <c r="G22">
        <f t="shared" si="15"/>
        <v>5.6931149270608348</v>
      </c>
      <c r="H22">
        <f>'Cap Curves'!E9</f>
        <v>12.65</v>
      </c>
      <c r="I22">
        <f t="shared" si="3"/>
        <v>12.515604476107436</v>
      </c>
      <c r="J22">
        <f t="shared" si="16"/>
        <v>10.034531579087151</v>
      </c>
      <c r="K22">
        <f>'Cap Curves'!F9</f>
        <v>12.79</v>
      </c>
      <c r="L22">
        <f t="shared" si="4"/>
        <v>12.65259697660499</v>
      </c>
      <c r="M22">
        <f t="shared" si="17"/>
        <v>10.488661576716396</v>
      </c>
      <c r="N22">
        <f>'Cap Curves'!G9</f>
        <v>12.9</v>
      </c>
      <c r="O22">
        <f t="shared" si="5"/>
        <v>12.797884176747626</v>
      </c>
      <c r="P22">
        <f t="shared" si="18"/>
        <v>5.7931340880611844</v>
      </c>
      <c r="Q22">
        <f>'Cap Curves'!H9</f>
        <v>12.97</v>
      </c>
      <c r="R22">
        <f t="shared" si="6"/>
        <v>12.894983815007649</v>
      </c>
      <c r="S22">
        <f t="shared" si="19"/>
        <v>3.1263488948926428</v>
      </c>
      <c r="T22">
        <f>'Cap Curves'!I9</f>
        <v>13.01</v>
      </c>
      <c r="U22">
        <f t="shared" si="7"/>
        <v>12.955576936829443</v>
      </c>
      <c r="V22">
        <f t="shared" si="20"/>
        <v>1.6454832249257789</v>
      </c>
    </row>
    <row r="23" spans="1:22" x14ac:dyDescent="0.3">
      <c r="A23">
        <v>0.4</v>
      </c>
      <c r="B23">
        <f>'Cap Curves'!C10</f>
        <v>11.76</v>
      </c>
      <c r="C23">
        <f t="shared" si="1"/>
        <v>11.630866222328329</v>
      </c>
      <c r="D23">
        <f t="shared" si="8"/>
        <v>1.1580230927608637</v>
      </c>
      <c r="E23">
        <f>'Cap Curves'!D10</f>
        <v>12.37</v>
      </c>
      <c r="F23">
        <f t="shared" si="2"/>
        <v>12.336529116534802</v>
      </c>
      <c r="G23">
        <f>((F23-E23)/12*100)^2*8</f>
        <v>0.62238891107823358</v>
      </c>
      <c r="H23">
        <f>'Cap Curves'!E10</f>
        <v>12.49</v>
      </c>
      <c r="I23">
        <f t="shared" si="3"/>
        <v>12.453364056775865</v>
      </c>
      <c r="J23">
        <f>((I23-H23)/12*100)^2*8</f>
        <v>0.74566240884560642</v>
      </c>
      <c r="K23">
        <f>'Cap Curves'!F10</f>
        <v>12.65</v>
      </c>
      <c r="L23">
        <f t="shared" si="4"/>
        <v>12.592805101403084</v>
      </c>
      <c r="M23">
        <f>((L23-K23)/12*100)^2*8</f>
        <v>1.8173646808397781</v>
      </c>
      <c r="N23">
        <f>'Cap Curves'!G10</f>
        <v>12.84</v>
      </c>
      <c r="O23">
        <f t="shared" si="5"/>
        <v>12.760312443751097</v>
      </c>
      <c r="P23">
        <f>((O23-N23)/12*100)^2*8</f>
        <v>3.5278370116233591</v>
      </c>
      <c r="Q23">
        <f>'Cap Curves'!H10</f>
        <v>12.91</v>
      </c>
      <c r="R23">
        <f t="shared" si="6"/>
        <v>12.869092096711494</v>
      </c>
      <c r="S23">
        <f>((R23-Q23)/12*100)^2*8</f>
        <v>0.92969808414542332</v>
      </c>
      <c r="T23">
        <f>'Cap Curves'!I10</f>
        <v>12.95</v>
      </c>
      <c r="U23">
        <f t="shared" si="7"/>
        <v>12.938278089573135</v>
      </c>
      <c r="V23">
        <f>((U23-T23)/12*100)^2*8</f>
        <v>7.6335102253015527E-2</v>
      </c>
    </row>
    <row r="24" spans="1:22" x14ac:dyDescent="0.3">
      <c r="A24">
        <v>0.3</v>
      </c>
      <c r="C24">
        <f t="shared" ref="C24:C28" si="21">4*(B$9+B$8*(-LN($A24))^B$7 + B$10*$A24 + B$12*EXP(B$11*($A24-1)))</f>
        <v>11.513641466843254</v>
      </c>
      <c r="E24">
        <f>'Cap Curves'!D11</f>
        <v>11.97</v>
      </c>
      <c r="F24">
        <f t="shared" si="2"/>
        <v>12.219304361049723</v>
      </c>
      <c r="G24">
        <f t="shared" si="9"/>
        <v>4.3161572526673728</v>
      </c>
      <c r="H24">
        <f>'Cap Curves'!E11</f>
        <v>12.25</v>
      </c>
      <c r="I24">
        <f t="shared" si="3"/>
        <v>12.336139301290785</v>
      </c>
      <c r="J24">
        <f t="shared" si="10"/>
        <v>0.51527633519893778</v>
      </c>
      <c r="K24">
        <f>'Cap Curves'!F11</f>
        <v>12.41</v>
      </c>
      <c r="L24">
        <f t="shared" si="4"/>
        <v>12.509533719658675</v>
      </c>
      <c r="M24">
        <f t="shared" si="11"/>
        <v>0.68798342702025694</v>
      </c>
      <c r="N24">
        <f>'Cap Curves'!G11</f>
        <v>12.7</v>
      </c>
      <c r="O24">
        <f t="shared" si="5"/>
        <v>12.700635400087616</v>
      </c>
      <c r="P24">
        <f t="shared" si="12"/>
        <v>2.8037032732218387E-5</v>
      </c>
      <c r="Q24">
        <f>'Cap Curves'!H11</f>
        <v>12.77</v>
      </c>
      <c r="R24">
        <f t="shared" si="6"/>
        <v>12.820882910600099</v>
      </c>
      <c r="S24">
        <f t="shared" si="13"/>
        <v>0.17979656882901077</v>
      </c>
      <c r="T24">
        <f>'Cap Curves'!I11</f>
        <v>12.87</v>
      </c>
      <c r="U24">
        <f t="shared" si="7"/>
        <v>12.904323459173444</v>
      </c>
      <c r="V24">
        <f t="shared" si="14"/>
        <v>8.1812489557717041E-2</v>
      </c>
    </row>
    <row r="25" spans="1:22" x14ac:dyDescent="0.3">
      <c r="A25">
        <v>0.2</v>
      </c>
      <c r="C25">
        <f t="shared" si="21"/>
        <v>11.272522352376143</v>
      </c>
      <c r="E25">
        <f>'Cap Curves'!D12</f>
        <v>11.4</v>
      </c>
      <c r="F25">
        <f t="shared" si="2"/>
        <v>11.978185246582612</v>
      </c>
      <c r="G25">
        <f t="shared" si="9"/>
        <v>23.215151344846898</v>
      </c>
      <c r="H25">
        <f>'Cap Curves'!E12</f>
        <v>11.78</v>
      </c>
      <c r="I25">
        <f t="shared" si="3"/>
        <v>12.095020186823675</v>
      </c>
      <c r="J25">
        <f t="shared" si="10"/>
        <v>6.8915082018349496</v>
      </c>
      <c r="K25">
        <f>'Cap Curves'!F12</f>
        <v>12.15</v>
      </c>
      <c r="L25">
        <f t="shared" si="4"/>
        <v>12.367777022112602</v>
      </c>
      <c r="M25">
        <f t="shared" si="11"/>
        <v>3.2935299555716999</v>
      </c>
      <c r="N25">
        <f>'Cap Curves'!G12</f>
        <v>12.4</v>
      </c>
      <c r="O25">
        <f t="shared" si="5"/>
        <v>12.585326090090515</v>
      </c>
      <c r="P25">
        <f t="shared" si="12"/>
        <v>2.3851221991831597</v>
      </c>
      <c r="Q25">
        <f>'Cap Curves'!H12</f>
        <v>12.55</v>
      </c>
      <c r="R25">
        <f t="shared" si="6"/>
        <v>12.716600986130778</v>
      </c>
      <c r="S25">
        <f t="shared" si="13"/>
        <v>1.9274922624824726</v>
      </c>
      <c r="T25">
        <f>'Cap Curves'!I12</f>
        <v>12.66</v>
      </c>
      <c r="U25">
        <f t="shared" si="7"/>
        <v>12.826050649375436</v>
      </c>
      <c r="V25">
        <f t="shared" si="14"/>
        <v>1.9147790387502641</v>
      </c>
    </row>
    <row r="26" spans="1:22" x14ac:dyDescent="0.3">
      <c r="A26">
        <v>0.1</v>
      </c>
      <c r="C26">
        <f t="shared" si="21"/>
        <v>10.71123010457968</v>
      </c>
      <c r="E26">
        <f>'Cap Curves'!D13</f>
        <v>10.1</v>
      </c>
      <c r="F26">
        <f t="shared" si="2"/>
        <v>11.41689299878615</v>
      </c>
      <c r="G26">
        <f t="shared" si="9"/>
        <v>120.43105348972077</v>
      </c>
      <c r="H26">
        <f>'Cap Curves'!E13</f>
        <v>11.05</v>
      </c>
      <c r="I26">
        <f t="shared" si="3"/>
        <v>11.533727939027212</v>
      </c>
      <c r="J26">
        <f t="shared" si="10"/>
        <v>16.249494374688446</v>
      </c>
      <c r="K26">
        <f>'Cap Curves'!F13</f>
        <v>11.59</v>
      </c>
      <c r="L26">
        <f t="shared" si="4"/>
        <v>12.068146279937437</v>
      </c>
      <c r="M26">
        <f t="shared" si="11"/>
        <v>15.876657292917379</v>
      </c>
      <c r="N26">
        <f>'Cap Curves'!G13</f>
        <v>11.85</v>
      </c>
      <c r="O26">
        <f t="shared" si="5"/>
        <v>12.31922199096425</v>
      </c>
      <c r="P26">
        <f t="shared" si="12"/>
        <v>15.289533111420486</v>
      </c>
      <c r="Q26">
        <f>'Cap Curves'!H13</f>
        <v>12.2</v>
      </c>
      <c r="R26">
        <f t="shared" si="6"/>
        <v>12.460431331790987</v>
      </c>
      <c r="S26">
        <f t="shared" si="13"/>
        <v>4.7100332346130376</v>
      </c>
      <c r="T26">
        <f>'Cap Curves'!I13</f>
        <v>12.43</v>
      </c>
      <c r="U26">
        <f t="shared" si="7"/>
        <v>12.625056630335575</v>
      </c>
      <c r="V26">
        <f t="shared" si="14"/>
        <v>2.6421589609631346</v>
      </c>
    </row>
    <row r="27" spans="1:22" x14ac:dyDescent="0.3">
      <c r="A27">
        <v>0.05</v>
      </c>
      <c r="C27">
        <f t="shared" si="21"/>
        <v>10.056259937733962</v>
      </c>
      <c r="E27">
        <f>'Cap Curves'!D14</f>
        <v>0</v>
      </c>
      <c r="F27">
        <f t="shared" ref="F27:F28" si="22">(C$9+C$8*(-LN($A27))^C$7 + C$10*$A27 + C$12*EXP(C$11*($A27-1)))*4</f>
        <v>10.761922831940431</v>
      </c>
      <c r="H27">
        <f>'Cap Curves'!E14</f>
        <v>10.1</v>
      </c>
      <c r="I27">
        <f t="shared" si="3"/>
        <v>10.878757772181494</v>
      </c>
      <c r="J27">
        <f t="shared" si="10"/>
        <v>42.115532481464193</v>
      </c>
      <c r="K27">
        <f>'Cap Curves'!F14</f>
        <v>10.95</v>
      </c>
      <c r="L27">
        <f t="shared" si="4"/>
        <v>11.73054179566167</v>
      </c>
      <c r="M27">
        <f t="shared" si="11"/>
        <v>42.308714914912912</v>
      </c>
      <c r="N27">
        <f>'Cap Curves'!G14</f>
        <v>11.3</v>
      </c>
      <c r="O27">
        <f t="shared" si="5"/>
        <v>12.006517216642484</v>
      </c>
      <c r="P27">
        <f t="shared" si="12"/>
        <v>34.664345653627905</v>
      </c>
      <c r="Q27">
        <f>'Cap Curves'!H14</f>
        <v>11.6</v>
      </c>
      <c r="R27">
        <f t="shared" si="6"/>
        <v>12.151437632178304</v>
      </c>
      <c r="S27">
        <f t="shared" si="13"/>
        <v>21.116907096001036</v>
      </c>
      <c r="T27">
        <f>'Cap Curves'!I14</f>
        <v>12.1</v>
      </c>
      <c r="U27">
        <f t="shared" si="7"/>
        <v>12.377172654874936</v>
      </c>
      <c r="V27">
        <f t="shared" si="14"/>
        <v>5.3350472646125517</v>
      </c>
    </row>
    <row r="28" spans="1:22" x14ac:dyDescent="0.3">
      <c r="A28">
        <v>1E-3</v>
      </c>
      <c r="C28">
        <f t="shared" si="21"/>
        <v>6.5187419397108455</v>
      </c>
      <c r="E28">
        <f>'Cap Curves'!D15</f>
        <v>0</v>
      </c>
      <c r="F28">
        <f t="shared" si="22"/>
        <v>7.2244048339173172</v>
      </c>
      <c r="I28">
        <f t="shared" si="3"/>
        <v>7.3412397741583799</v>
      </c>
      <c r="K28">
        <f>'Cap Curves'!F15</f>
        <v>10.1</v>
      </c>
      <c r="L28">
        <f t="shared" si="4"/>
        <v>9.9367442821549403</v>
      </c>
      <c r="M28">
        <f t="shared" si="11"/>
        <v>1.850863153410113</v>
      </c>
      <c r="N28">
        <f>'Cap Curves'!G15</f>
        <v>10.45</v>
      </c>
      <c r="O28">
        <f t="shared" si="5"/>
        <v>10.299613848224887</v>
      </c>
      <c r="P28">
        <f t="shared" si="12"/>
        <v>1.5705551837310558</v>
      </c>
      <c r="Q28">
        <f>'Cap Curves'!H15</f>
        <v>10.51</v>
      </c>
      <c r="R28">
        <f t="shared" si="6"/>
        <v>10.438523136048317</v>
      </c>
      <c r="S28">
        <f t="shared" si="13"/>
        <v>0.35478764446995131</v>
      </c>
      <c r="T28">
        <f>'Cap Curves'!I15</f>
        <v>11</v>
      </c>
      <c r="U28">
        <f t="shared" si="7"/>
        <v>10.981614391065904</v>
      </c>
      <c r="V28">
        <f t="shared" si="14"/>
        <v>2.3474348324828032E-2</v>
      </c>
    </row>
    <row r="29" spans="1:22" x14ac:dyDescent="0.3">
      <c r="D29">
        <f>SQRT(SUM(D15:D28))</f>
        <v>6.1856086199941389</v>
      </c>
      <c r="G29">
        <f>SQRT(SUM(G15:G28))</f>
        <v>16.786521989031396</v>
      </c>
      <c r="J29">
        <f>SQRT(SUM(J15:J28))</f>
        <v>14.157466357722431</v>
      </c>
      <c r="M29">
        <f>SQRT(SUM(M15:M28))</f>
        <v>10.875083607510049</v>
      </c>
      <c r="P29">
        <f>SQRT(SUM(P15:P28))</f>
        <v>9.5626456942353624</v>
      </c>
      <c r="S29">
        <f>SQRT(SUM(S15:S28))</f>
        <v>7.6755132058997004</v>
      </c>
      <c r="V29">
        <f>SQRT(SUM(V15:V28))</f>
        <v>5.2042768238387334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Charts</vt:lpstr>
      </vt:variant>
      <vt:variant>
        <vt:i4>3</vt:i4>
      </vt:variant>
    </vt:vector>
  </HeadingPairs>
  <TitlesOfParts>
    <vt:vector size="7" baseType="lpstr">
      <vt:lpstr>Coefficients Table</vt:lpstr>
      <vt:lpstr>Cheat Sheet</vt:lpstr>
      <vt:lpstr>Cap Curves</vt:lpstr>
      <vt:lpstr>Model Build</vt:lpstr>
      <vt:lpstr>Cheat Sheet Chart</vt:lpstr>
      <vt:lpstr>Derivative High Res</vt:lpstr>
      <vt:lpstr>Derivative Low Res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2021-08-29T16:00:12Z</dcterms:modified>
</cp:coreProperties>
</file>