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autoCompressPictures="0" defaultThemeVersion="124226"/>
  <mc:AlternateContent xmlns:mc="http://schemas.openxmlformats.org/markup-compatibility/2006">
    <mc:Choice Requires="x15">
      <x15ac:absPath xmlns:x15ac="http://schemas.microsoft.com/office/spreadsheetml/2010/11/ac" url="C:\Users\Dave\Documents\GitHub\myVentilator\Vent_Photon\Sky Model\"/>
    </mc:Choice>
  </mc:AlternateContent>
  <bookViews>
    <workbookView xWindow="0" yWindow="0" windowWidth="19416" windowHeight="8328" activeTab="3"/>
  </bookViews>
  <sheets>
    <sheet name="Title Page" sheetId="4" r:id="rId1"/>
    <sheet name="Time" sheetId="5" r:id="rId2"/>
    <sheet name="Angles" sheetId="6" r:id="rId3"/>
    <sheet name="Insolation" sheetId="2" r:id="rId4"/>
    <sheet name="Sunrise-Sunset" sheetId="8" r:id="rId5"/>
    <sheet name="Position" sheetId="10" r:id="rId6"/>
    <sheet name="Graph" sheetId="7" state="hidden" r:id="rId7"/>
    <sheet name="PSH" sheetId="9" state="hidden" r:id="rId8"/>
  </sheet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E10" i="2" l="1"/>
  <c r="P9" i="5"/>
  <c r="L5" i="6"/>
  <c r="F10" i="6"/>
  <c r="E18" i="5"/>
  <c r="E19" i="5"/>
  <c r="C27" i="5"/>
  <c r="H13" i="5"/>
  <c r="E21" i="5"/>
  <c r="F16" i="6"/>
  <c r="F17" i="6"/>
  <c r="F18" i="6"/>
  <c r="S1" i="6"/>
  <c r="F19" i="6"/>
  <c r="G30" i="2"/>
  <c r="M41" i="2"/>
  <c r="M43" i="2"/>
  <c r="DG110" i="9"/>
  <c r="DG109" i="9"/>
  <c r="DG108" i="9"/>
  <c r="DG107" i="9"/>
  <c r="DG106" i="9"/>
  <c r="DG105" i="9"/>
  <c r="DG104" i="9"/>
  <c r="DG103" i="9"/>
  <c r="DG102" i="9"/>
  <c r="DG101" i="9"/>
  <c r="DG100" i="9"/>
  <c r="DG99" i="9"/>
  <c r="DG98" i="9"/>
  <c r="DG97" i="9"/>
  <c r="DG96" i="9"/>
  <c r="DG95" i="9"/>
  <c r="DG94" i="9"/>
  <c r="DG93" i="9"/>
  <c r="DG92" i="9"/>
  <c r="DG91" i="9"/>
  <c r="DG90" i="9"/>
  <c r="DG89" i="9"/>
  <c r="DG88" i="9"/>
  <c r="DG87" i="9"/>
  <c r="DG86" i="9"/>
  <c r="DG85" i="9"/>
  <c r="DG84" i="9"/>
  <c r="DG83" i="9"/>
  <c r="DG82" i="9"/>
  <c r="DG81" i="9"/>
  <c r="DG80" i="9"/>
  <c r="CL110" i="9"/>
  <c r="CL109" i="9"/>
  <c r="CL108" i="9"/>
  <c r="CL107" i="9"/>
  <c r="CL106" i="9"/>
  <c r="CL105" i="9"/>
  <c r="CL104" i="9"/>
  <c r="CL103" i="9"/>
  <c r="CL102" i="9"/>
  <c r="CL101" i="9"/>
  <c r="CL100" i="9"/>
  <c r="CL99" i="9"/>
  <c r="CL98" i="9"/>
  <c r="CL97" i="9"/>
  <c r="CL96" i="9"/>
  <c r="CL95" i="9"/>
  <c r="CL94" i="9"/>
  <c r="CL93" i="9"/>
  <c r="CL92" i="9"/>
  <c r="CL91" i="9"/>
  <c r="CL90" i="9"/>
  <c r="CL89" i="9"/>
  <c r="CL88" i="9"/>
  <c r="CL87" i="9"/>
  <c r="CL86" i="9"/>
  <c r="CL85" i="9"/>
  <c r="CL84" i="9"/>
  <c r="CL83" i="9"/>
  <c r="CL82" i="9"/>
  <c r="CL81" i="9"/>
  <c r="CL80" i="9"/>
  <c r="BQ110" i="9"/>
  <c r="BQ109" i="9"/>
  <c r="BQ108" i="9"/>
  <c r="BQ107" i="9"/>
  <c r="BQ106" i="9"/>
  <c r="BQ105" i="9"/>
  <c r="BQ104" i="9"/>
  <c r="BQ103" i="9"/>
  <c r="BQ102" i="9"/>
  <c r="BQ101" i="9"/>
  <c r="BQ100" i="9"/>
  <c r="BQ99" i="9"/>
  <c r="BQ98" i="9"/>
  <c r="BQ97" i="9"/>
  <c r="BQ96" i="9"/>
  <c r="BQ95" i="9"/>
  <c r="BQ94" i="9"/>
  <c r="BQ93" i="9"/>
  <c r="BQ92" i="9"/>
  <c r="BQ91" i="9"/>
  <c r="BQ90" i="9"/>
  <c r="BQ89" i="9"/>
  <c r="BQ88" i="9"/>
  <c r="BQ87" i="9"/>
  <c r="BQ86" i="9"/>
  <c r="BQ85" i="9"/>
  <c r="BQ84" i="9"/>
  <c r="BQ83" i="9"/>
  <c r="BQ82" i="9"/>
  <c r="BQ81" i="9"/>
  <c r="BQ80" i="9"/>
  <c r="AV80" i="9"/>
  <c r="AV110" i="9"/>
  <c r="AV109" i="9"/>
  <c r="AV108" i="9"/>
  <c r="AV107" i="9"/>
  <c r="AV106" i="9"/>
  <c r="AV105" i="9"/>
  <c r="AV104" i="9"/>
  <c r="AV103" i="9"/>
  <c r="AV102" i="9"/>
  <c r="AV101" i="9"/>
  <c r="AV100" i="9"/>
  <c r="AV99" i="9"/>
  <c r="AV98" i="9"/>
  <c r="AV97" i="9"/>
  <c r="AV96" i="9"/>
  <c r="AV95" i="9"/>
  <c r="AV94" i="9"/>
  <c r="AV93" i="9"/>
  <c r="AV92" i="9"/>
  <c r="AV91" i="9"/>
  <c r="AV90" i="9"/>
  <c r="AV89" i="9"/>
  <c r="AV88" i="9"/>
  <c r="AV87" i="9"/>
  <c r="AV86" i="9"/>
  <c r="AV85" i="9"/>
  <c r="AV84" i="9"/>
  <c r="AV83" i="9"/>
  <c r="AV82" i="9"/>
  <c r="AV81" i="9"/>
  <c r="AA80" i="9"/>
  <c r="AA110" i="9"/>
  <c r="AA109" i="9"/>
  <c r="AA108" i="9"/>
  <c r="AA107" i="9"/>
  <c r="AA106" i="9"/>
  <c r="AA105" i="9"/>
  <c r="AA104" i="9"/>
  <c r="AA103" i="9"/>
  <c r="AA102" i="9"/>
  <c r="AA101" i="9"/>
  <c r="AA100" i="9"/>
  <c r="AA99" i="9"/>
  <c r="AA98" i="9"/>
  <c r="AA97" i="9"/>
  <c r="AA96" i="9"/>
  <c r="AA95" i="9"/>
  <c r="AA94" i="9"/>
  <c r="AA93" i="9"/>
  <c r="AA92" i="9"/>
  <c r="AA91" i="9"/>
  <c r="AA90" i="9"/>
  <c r="AA89" i="9"/>
  <c r="AA88" i="9"/>
  <c r="AA87" i="9"/>
  <c r="AA86" i="9"/>
  <c r="AA85" i="9"/>
  <c r="AA84" i="9"/>
  <c r="AA83" i="9"/>
  <c r="AA82" i="9"/>
  <c r="AA81" i="9"/>
  <c r="F80"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DG74" i="9"/>
  <c r="DG73" i="9"/>
  <c r="DG72" i="9"/>
  <c r="DG71" i="9"/>
  <c r="DG70" i="9"/>
  <c r="DG69" i="9"/>
  <c r="DG68" i="9"/>
  <c r="DG67" i="9"/>
  <c r="DG66" i="9"/>
  <c r="DG65" i="9"/>
  <c r="DG64" i="9"/>
  <c r="DG63" i="9"/>
  <c r="DG62" i="9"/>
  <c r="DG61" i="9"/>
  <c r="DG60" i="9"/>
  <c r="DG59" i="9"/>
  <c r="DG58" i="9"/>
  <c r="DG57" i="9"/>
  <c r="DG56" i="9"/>
  <c r="DG55" i="9"/>
  <c r="DG54" i="9"/>
  <c r="DG53" i="9"/>
  <c r="DG52" i="9"/>
  <c r="DG51" i="9"/>
  <c r="DG50" i="9"/>
  <c r="DG49" i="9"/>
  <c r="DG48" i="9"/>
  <c r="DG47" i="9"/>
  <c r="DG46" i="9"/>
  <c r="DG45" i="9"/>
  <c r="DG44" i="9"/>
  <c r="CL44" i="9"/>
  <c r="CL74" i="9"/>
  <c r="CL73" i="9"/>
  <c r="CL72" i="9"/>
  <c r="CL71" i="9"/>
  <c r="CL70" i="9"/>
  <c r="CL69" i="9"/>
  <c r="CL68" i="9"/>
  <c r="CL67" i="9"/>
  <c r="CL66" i="9"/>
  <c r="CL65" i="9"/>
  <c r="CL64" i="9"/>
  <c r="CL63" i="9"/>
  <c r="CL62" i="9"/>
  <c r="CL61" i="9"/>
  <c r="CL60" i="9"/>
  <c r="CL59" i="9"/>
  <c r="CL58" i="9"/>
  <c r="CL57" i="9"/>
  <c r="CL56" i="9"/>
  <c r="CL55" i="9"/>
  <c r="CL54" i="9"/>
  <c r="CL53" i="9"/>
  <c r="CL52" i="9"/>
  <c r="CL51" i="9"/>
  <c r="CL50" i="9"/>
  <c r="CL49" i="9"/>
  <c r="CL48" i="9"/>
  <c r="CL47" i="9"/>
  <c r="CL46" i="9"/>
  <c r="CL45" i="9"/>
  <c r="BQ44" i="9"/>
  <c r="BQ74" i="9"/>
  <c r="BQ73" i="9"/>
  <c r="BQ72" i="9"/>
  <c r="BQ71" i="9"/>
  <c r="BQ70" i="9"/>
  <c r="BQ69" i="9"/>
  <c r="BQ68" i="9"/>
  <c r="BQ67" i="9"/>
  <c r="BQ66" i="9"/>
  <c r="BQ65" i="9"/>
  <c r="BQ64" i="9"/>
  <c r="BQ63" i="9"/>
  <c r="BQ62" i="9"/>
  <c r="BQ61" i="9"/>
  <c r="BQ60" i="9"/>
  <c r="BQ59" i="9"/>
  <c r="BQ58" i="9"/>
  <c r="BQ57" i="9"/>
  <c r="BQ56" i="9"/>
  <c r="BQ55" i="9"/>
  <c r="BQ54" i="9"/>
  <c r="BQ53" i="9"/>
  <c r="BQ52" i="9"/>
  <c r="BQ51" i="9"/>
  <c r="BQ50" i="9"/>
  <c r="BQ49" i="9"/>
  <c r="BQ48" i="9"/>
  <c r="BQ47" i="9"/>
  <c r="BQ46" i="9"/>
  <c r="BQ45" i="9"/>
  <c r="AV44" i="9"/>
  <c r="AV74" i="9"/>
  <c r="AV73" i="9"/>
  <c r="AV72" i="9"/>
  <c r="AV71" i="9"/>
  <c r="AV70" i="9"/>
  <c r="AV69" i="9"/>
  <c r="AV68" i="9"/>
  <c r="AV67" i="9"/>
  <c r="AV66" i="9"/>
  <c r="AV65" i="9"/>
  <c r="AV64" i="9"/>
  <c r="AV63" i="9"/>
  <c r="AV62" i="9"/>
  <c r="AV61" i="9"/>
  <c r="AV60" i="9"/>
  <c r="AV59" i="9"/>
  <c r="AV58" i="9"/>
  <c r="AV57" i="9"/>
  <c r="AV56" i="9"/>
  <c r="AV55" i="9"/>
  <c r="AV54" i="9"/>
  <c r="AV53" i="9"/>
  <c r="AV52" i="9"/>
  <c r="AV51" i="9"/>
  <c r="AV50" i="9"/>
  <c r="AV49" i="9"/>
  <c r="AV48" i="9"/>
  <c r="AV47" i="9"/>
  <c r="AV46" i="9"/>
  <c r="AV45" i="9"/>
  <c r="AA74" i="9"/>
  <c r="AA44" i="9"/>
  <c r="AA73" i="9"/>
  <c r="AA72" i="9"/>
  <c r="AA71" i="9"/>
  <c r="AA70" i="9"/>
  <c r="AA69" i="9"/>
  <c r="AA68" i="9"/>
  <c r="AA67" i="9"/>
  <c r="AA66" i="9"/>
  <c r="AA65" i="9"/>
  <c r="AA64" i="9"/>
  <c r="AA63" i="9"/>
  <c r="AA62" i="9"/>
  <c r="AA61" i="9"/>
  <c r="AA60" i="9"/>
  <c r="AA59" i="9"/>
  <c r="AA58" i="9"/>
  <c r="AA57" i="9"/>
  <c r="AA56" i="9"/>
  <c r="AA55" i="9"/>
  <c r="AA54" i="9"/>
  <c r="AA53" i="9"/>
  <c r="AA52" i="9"/>
  <c r="AA51" i="9"/>
  <c r="AA50" i="9"/>
  <c r="AA49" i="9"/>
  <c r="AA48" i="9"/>
  <c r="AA47" i="9"/>
  <c r="AA46" i="9"/>
  <c r="AA45"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44" i="9"/>
  <c r="A45" i="9"/>
  <c r="A43" i="9"/>
  <c r="B41" i="9"/>
  <c r="C41" i="9"/>
  <c r="D41" i="9"/>
  <c r="E41" i="9"/>
  <c r="F41" i="9"/>
  <c r="G41" i="9"/>
  <c r="H41" i="9"/>
  <c r="X45" i="9"/>
  <c r="DD45" i="9"/>
  <c r="DD49" i="9"/>
  <c r="I41" i="9"/>
  <c r="C81" i="9"/>
  <c r="C89" i="9"/>
  <c r="AS45" i="9"/>
  <c r="BN45" i="9"/>
  <c r="CI45" i="9"/>
  <c r="CI55" i="9"/>
  <c r="C85" i="9"/>
  <c r="C45" i="9"/>
  <c r="E20" i="5"/>
  <c r="F14" i="5"/>
  <c r="C87" i="9"/>
  <c r="CI53" i="9"/>
  <c r="CI49" i="9"/>
  <c r="CI51" i="9"/>
  <c r="CI47" i="9"/>
  <c r="AS53" i="9"/>
  <c r="AS49" i="9"/>
  <c r="AS55" i="9"/>
  <c r="AS51" i="9"/>
  <c r="AS47" i="9"/>
  <c r="C83" i="9"/>
  <c r="C91" i="9"/>
  <c r="DD47" i="9"/>
  <c r="DD55" i="9"/>
  <c r="DD53" i="9"/>
  <c r="DD51" i="9"/>
  <c r="X53" i="9"/>
  <c r="X51" i="9"/>
  <c r="X47" i="9"/>
  <c r="X55" i="9"/>
  <c r="X49" i="9"/>
  <c r="BN53" i="9"/>
  <c r="BN49" i="9"/>
  <c r="BN55" i="9"/>
  <c r="BN51" i="9"/>
  <c r="BN47" i="9"/>
  <c r="J41" i="9"/>
  <c r="X81" i="9"/>
  <c r="C53" i="9"/>
  <c r="C49" i="9"/>
  <c r="C55" i="9"/>
  <c r="C51" i="9"/>
  <c r="C47" i="9"/>
  <c r="E44" i="9"/>
  <c r="G32" i="7"/>
  <c r="G31" i="7"/>
  <c r="G30" i="7"/>
  <c r="G29" i="7"/>
  <c r="G28" i="7"/>
  <c r="G27" i="7"/>
  <c r="G26" i="7"/>
  <c r="G25" i="7"/>
  <c r="G24" i="7"/>
  <c r="G23" i="7"/>
  <c r="G22" i="7"/>
  <c r="G21" i="7"/>
  <c r="G20" i="7"/>
  <c r="G19" i="7"/>
  <c r="G18" i="7"/>
  <c r="G17" i="7"/>
  <c r="G16" i="7"/>
  <c r="G15" i="7"/>
  <c r="G14" i="7"/>
  <c r="G13" i="7"/>
  <c r="G12" i="7"/>
  <c r="G11" i="7"/>
  <c r="G10" i="7"/>
  <c r="G9" i="7"/>
  <c r="G8" i="7"/>
  <c r="G7" i="7"/>
  <c r="G6" i="7"/>
  <c r="G5" i="7"/>
  <c r="G4" i="7"/>
  <c r="G3" i="7"/>
  <c r="H4" i="7"/>
  <c r="G2" i="7"/>
  <c r="K41" i="9"/>
  <c r="AS81" i="9"/>
  <c r="Z44" i="9"/>
  <c r="AC44" i="9"/>
  <c r="Z74" i="9"/>
  <c r="Z46" i="9"/>
  <c r="Z48" i="9"/>
  <c r="Z50" i="9"/>
  <c r="Z52" i="9"/>
  <c r="Z54" i="9"/>
  <c r="Z56" i="9"/>
  <c r="Z58" i="9"/>
  <c r="Z60" i="9"/>
  <c r="Z62" i="9"/>
  <c r="Z64" i="9"/>
  <c r="Z66" i="9"/>
  <c r="Z68" i="9"/>
  <c r="Z70" i="9"/>
  <c r="Z72" i="9"/>
  <c r="AC46" i="9"/>
  <c r="AC48" i="9"/>
  <c r="AB48" i="9"/>
  <c r="AC50" i="9"/>
  <c r="AC52" i="9"/>
  <c r="AC54" i="9"/>
  <c r="AC56" i="9"/>
  <c r="AC58" i="9"/>
  <c r="AC60" i="9"/>
  <c r="AC62" i="9"/>
  <c r="AC64" i="9"/>
  <c r="AC66" i="9"/>
  <c r="AC68" i="9"/>
  <c r="AC70" i="9"/>
  <c r="AC72" i="9"/>
  <c r="AC74" i="9"/>
  <c r="Z45" i="9"/>
  <c r="Z47" i="9"/>
  <c r="Z49" i="9"/>
  <c r="Z51" i="9"/>
  <c r="Z53" i="9"/>
  <c r="Z55" i="9"/>
  <c r="Z57" i="9"/>
  <c r="Z59" i="9"/>
  <c r="Z61" i="9"/>
  <c r="Z63" i="9"/>
  <c r="Z65" i="9"/>
  <c r="Z67" i="9"/>
  <c r="Z69" i="9"/>
  <c r="Z71" i="9"/>
  <c r="Z73" i="9"/>
  <c r="DF46" i="9"/>
  <c r="DI46" i="9"/>
  <c r="DF48" i="9"/>
  <c r="DF50" i="9"/>
  <c r="DI50" i="9"/>
  <c r="DF52" i="9"/>
  <c r="DF54" i="9"/>
  <c r="DI54" i="9"/>
  <c r="DF56" i="9"/>
  <c r="DF58" i="9"/>
  <c r="DI58" i="9"/>
  <c r="DF60" i="9"/>
  <c r="DF62" i="9"/>
  <c r="DI62" i="9"/>
  <c r="DF64" i="9"/>
  <c r="DF66" i="9"/>
  <c r="DI66" i="9"/>
  <c r="DF68" i="9"/>
  <c r="DF70" i="9"/>
  <c r="DI70" i="9"/>
  <c r="DF72" i="9"/>
  <c r="DF74" i="9"/>
  <c r="DI74" i="9"/>
  <c r="DF45" i="9"/>
  <c r="DI45" i="9"/>
  <c r="DF47" i="9"/>
  <c r="DF49" i="9"/>
  <c r="DI49" i="9"/>
  <c r="DF51" i="9"/>
  <c r="DF53" i="9"/>
  <c r="DI53" i="9"/>
  <c r="DF55" i="9"/>
  <c r="DF57" i="9"/>
  <c r="DI57" i="9"/>
  <c r="DF59" i="9"/>
  <c r="DF61" i="9"/>
  <c r="DI61" i="9"/>
  <c r="DF63" i="9"/>
  <c r="DF65" i="9"/>
  <c r="DI65" i="9"/>
  <c r="DF67" i="9"/>
  <c r="DF69" i="9"/>
  <c r="DI69" i="9"/>
  <c r="DF71" i="9"/>
  <c r="DF73" i="9"/>
  <c r="DI73" i="9"/>
  <c r="DF44" i="9"/>
  <c r="E81" i="9"/>
  <c r="E83" i="9"/>
  <c r="E85" i="9"/>
  <c r="E87" i="9"/>
  <c r="E89" i="9"/>
  <c r="E91" i="9"/>
  <c r="E93" i="9"/>
  <c r="E95" i="9"/>
  <c r="E97" i="9"/>
  <c r="E99" i="9"/>
  <c r="E101" i="9"/>
  <c r="E103" i="9"/>
  <c r="E105" i="9"/>
  <c r="E107" i="9"/>
  <c r="E109" i="9"/>
  <c r="E80" i="9"/>
  <c r="H81" i="9"/>
  <c r="H83" i="9"/>
  <c r="H85" i="9"/>
  <c r="H87" i="9"/>
  <c r="H89" i="9"/>
  <c r="H91" i="9"/>
  <c r="G91" i="9"/>
  <c r="H93" i="9"/>
  <c r="H95" i="9"/>
  <c r="H97" i="9"/>
  <c r="H99" i="9"/>
  <c r="H101" i="9"/>
  <c r="H103" i="9"/>
  <c r="H105" i="9"/>
  <c r="I105" i="9"/>
  <c r="H107" i="9"/>
  <c r="H109" i="9"/>
  <c r="I109" i="9"/>
  <c r="H80" i="9"/>
  <c r="E82" i="9"/>
  <c r="E84" i="9"/>
  <c r="E86" i="9"/>
  <c r="E88" i="9"/>
  <c r="E90" i="9"/>
  <c r="E92" i="9"/>
  <c r="E94" i="9"/>
  <c r="E96" i="9"/>
  <c r="E98" i="9"/>
  <c r="E100" i="9"/>
  <c r="E102" i="9"/>
  <c r="E104" i="9"/>
  <c r="E106" i="9"/>
  <c r="E108" i="9"/>
  <c r="E110" i="9"/>
  <c r="CK46" i="9"/>
  <c r="CN46" i="9"/>
  <c r="CK48" i="9"/>
  <c r="CN48" i="9"/>
  <c r="CK50" i="9"/>
  <c r="CN50" i="9"/>
  <c r="CK52" i="9"/>
  <c r="CN52" i="9"/>
  <c r="CK54" i="9"/>
  <c r="CN54" i="9"/>
  <c r="CM54" i="9"/>
  <c r="CK56" i="9"/>
  <c r="CN56" i="9"/>
  <c r="CM56" i="9"/>
  <c r="CK58" i="9"/>
  <c r="CN58" i="9"/>
  <c r="CM58" i="9"/>
  <c r="CK60" i="9"/>
  <c r="CN60" i="9"/>
  <c r="CK62" i="9"/>
  <c r="CN62" i="9"/>
  <c r="CK64" i="9"/>
  <c r="CN64" i="9"/>
  <c r="CK66" i="9"/>
  <c r="CN66" i="9"/>
  <c r="CK68" i="9"/>
  <c r="CN68" i="9"/>
  <c r="CK70" i="9"/>
  <c r="CN70" i="9"/>
  <c r="CK72" i="9"/>
  <c r="CN72" i="9"/>
  <c r="CK74" i="9"/>
  <c r="CN74" i="9"/>
  <c r="CK45" i="9"/>
  <c r="CN45" i="9"/>
  <c r="CK47" i="9"/>
  <c r="CK49" i="9"/>
  <c r="CN49" i="9"/>
  <c r="CK51" i="9"/>
  <c r="CK53" i="9"/>
  <c r="CN53" i="9"/>
  <c r="CK55" i="9"/>
  <c r="CK57" i="9"/>
  <c r="CN57" i="9"/>
  <c r="CM57" i="9"/>
  <c r="CK59" i="9"/>
  <c r="CK61" i="9"/>
  <c r="CN61" i="9"/>
  <c r="CM61" i="9"/>
  <c r="CK63" i="9"/>
  <c r="CK65" i="9"/>
  <c r="CN65" i="9"/>
  <c r="CP65" i="9"/>
  <c r="CM65" i="9"/>
  <c r="CK67" i="9"/>
  <c r="CK69" i="9"/>
  <c r="CN69" i="9"/>
  <c r="CP69" i="9"/>
  <c r="CM69" i="9"/>
  <c r="CK71" i="9"/>
  <c r="CK73" i="9"/>
  <c r="CN73" i="9"/>
  <c r="CP73" i="9"/>
  <c r="CM73" i="9"/>
  <c r="CK44" i="9"/>
  <c r="X83" i="9"/>
  <c r="X89" i="9"/>
  <c r="X91" i="9"/>
  <c r="X85" i="9"/>
  <c r="X87" i="9"/>
  <c r="BP45" i="9"/>
  <c r="BP47" i="9"/>
  <c r="BP49" i="9"/>
  <c r="BP51" i="9"/>
  <c r="BP53" i="9"/>
  <c r="BP55" i="9"/>
  <c r="BP57" i="9"/>
  <c r="BP59" i="9"/>
  <c r="BP61" i="9"/>
  <c r="BP63" i="9"/>
  <c r="BP65" i="9"/>
  <c r="BP67" i="9"/>
  <c r="BP69" i="9"/>
  <c r="BP71" i="9"/>
  <c r="BP73" i="9"/>
  <c r="BP44" i="9"/>
  <c r="BS45" i="9"/>
  <c r="BU45" i="9"/>
  <c r="BS47" i="9"/>
  <c r="BS49" i="9"/>
  <c r="BT49" i="9"/>
  <c r="BS51" i="9"/>
  <c r="BS53" i="9"/>
  <c r="BS55" i="9"/>
  <c r="BS57" i="9"/>
  <c r="BS59" i="9"/>
  <c r="BS61" i="9"/>
  <c r="BS63" i="9"/>
  <c r="BS65" i="9"/>
  <c r="BU65" i="9"/>
  <c r="BS67" i="9"/>
  <c r="BU67" i="9"/>
  <c r="BR67" i="9"/>
  <c r="BS69" i="9"/>
  <c r="BT69" i="9"/>
  <c r="BS71" i="9"/>
  <c r="BU71" i="9"/>
  <c r="BR71" i="9"/>
  <c r="BS73" i="9"/>
  <c r="BT73" i="9"/>
  <c r="BS44" i="9"/>
  <c r="BR49" i="9"/>
  <c r="BR51" i="9"/>
  <c r="BR53" i="9"/>
  <c r="BR55" i="9"/>
  <c r="BR57" i="9"/>
  <c r="BR59" i="9"/>
  <c r="BR61" i="9"/>
  <c r="BR63" i="9"/>
  <c r="BR65" i="9"/>
  <c r="BP46" i="9"/>
  <c r="BP48" i="9"/>
  <c r="BP50" i="9"/>
  <c r="BP52" i="9"/>
  <c r="BP54" i="9"/>
  <c r="BP56" i="9"/>
  <c r="BP58" i="9"/>
  <c r="BP60" i="9"/>
  <c r="BP62" i="9"/>
  <c r="BP64" i="9"/>
  <c r="BP66" i="9"/>
  <c r="BP68" i="9"/>
  <c r="BP70" i="9"/>
  <c r="BP72" i="9"/>
  <c r="BP74" i="9"/>
  <c r="AU45" i="9"/>
  <c r="AU47" i="9"/>
  <c r="AU49" i="9"/>
  <c r="AU51" i="9"/>
  <c r="AU53" i="9"/>
  <c r="AU55" i="9"/>
  <c r="AU57" i="9"/>
  <c r="AU59" i="9"/>
  <c r="AU61" i="9"/>
  <c r="AU63" i="9"/>
  <c r="AU65" i="9"/>
  <c r="AU67" i="9"/>
  <c r="AU69" i="9"/>
  <c r="AU71" i="9"/>
  <c r="AX71" i="9"/>
  <c r="AU73" i="9"/>
  <c r="AX73" i="9"/>
  <c r="AZ73" i="9"/>
  <c r="AW73" i="9"/>
  <c r="AU44" i="9"/>
  <c r="AX44" i="9"/>
  <c r="AY44" i="9"/>
  <c r="AW44" i="9"/>
  <c r="AX45" i="9"/>
  <c r="AX47" i="9"/>
  <c r="AW47" i="9"/>
  <c r="AX49" i="9"/>
  <c r="AW49" i="9"/>
  <c r="AX51" i="9"/>
  <c r="AW51" i="9"/>
  <c r="AX53" i="9"/>
  <c r="AW53" i="9"/>
  <c r="AX55" i="9"/>
  <c r="AW55" i="9"/>
  <c r="AX57" i="9"/>
  <c r="AW57" i="9"/>
  <c r="AX59" i="9"/>
  <c r="AX61" i="9"/>
  <c r="AW61" i="9"/>
  <c r="AX63" i="9"/>
  <c r="AX65" i="9"/>
  <c r="AW65" i="9"/>
  <c r="AX67" i="9"/>
  <c r="AW67" i="9"/>
  <c r="AX69" i="9"/>
  <c r="AY69" i="9"/>
  <c r="AU46" i="9"/>
  <c r="AU48" i="9"/>
  <c r="AU50" i="9"/>
  <c r="AU52" i="9"/>
  <c r="AU54" i="9"/>
  <c r="AU56" i="9"/>
  <c r="AU58" i="9"/>
  <c r="AU60" i="9"/>
  <c r="AU62" i="9"/>
  <c r="AU64" i="9"/>
  <c r="AU66" i="9"/>
  <c r="AU68" i="9"/>
  <c r="AU70" i="9"/>
  <c r="AU72" i="9"/>
  <c r="AU74" i="9"/>
  <c r="J91" i="9"/>
  <c r="I91" i="9"/>
  <c r="J83" i="9"/>
  <c r="I83" i="9"/>
  <c r="G83" i="9"/>
  <c r="J105" i="9"/>
  <c r="G105" i="9"/>
  <c r="J87" i="9"/>
  <c r="I87" i="9"/>
  <c r="J109" i="9"/>
  <c r="G109" i="9"/>
  <c r="CO65" i="9"/>
  <c r="BT65" i="9"/>
  <c r="BU69" i="9"/>
  <c r="BR69" i="9"/>
  <c r="BT45" i="9"/>
  <c r="BR45" i="9"/>
  <c r="BU49" i="9"/>
  <c r="BU73" i="9"/>
  <c r="BR73" i="9"/>
  <c r="BY61" i="9"/>
  <c r="AE68" i="9"/>
  <c r="AD68" i="9"/>
  <c r="AD48" i="9"/>
  <c r="AE48" i="9"/>
  <c r="AD44" i="9"/>
  <c r="AE44" i="9"/>
  <c r="AE72" i="9"/>
  <c r="AB72" i="9"/>
  <c r="AD72" i="9"/>
  <c r="E46" i="9"/>
  <c r="H46" i="9"/>
  <c r="E48" i="9"/>
  <c r="H48" i="9"/>
  <c r="G48" i="9"/>
  <c r="E50" i="9"/>
  <c r="H50" i="9"/>
  <c r="E52" i="9"/>
  <c r="H52" i="9"/>
  <c r="G52" i="9"/>
  <c r="E54" i="9"/>
  <c r="H54" i="9"/>
  <c r="E57" i="9"/>
  <c r="H57" i="9"/>
  <c r="E59" i="9"/>
  <c r="H59" i="9"/>
  <c r="E61" i="9"/>
  <c r="H61" i="9"/>
  <c r="E63" i="9"/>
  <c r="H63" i="9"/>
  <c r="E65" i="9"/>
  <c r="H65" i="9"/>
  <c r="E67" i="9"/>
  <c r="H67" i="9"/>
  <c r="E69" i="9"/>
  <c r="H69" i="9"/>
  <c r="E71" i="9"/>
  <c r="H71" i="9"/>
  <c r="E73" i="9"/>
  <c r="H73" i="9"/>
  <c r="E55" i="9"/>
  <c r="H55" i="9"/>
  <c r="H44" i="9"/>
  <c r="E45" i="9"/>
  <c r="E47" i="9"/>
  <c r="E49" i="9"/>
  <c r="E51" i="9"/>
  <c r="E53" i="9"/>
  <c r="E56" i="9"/>
  <c r="E58" i="9"/>
  <c r="E60" i="9"/>
  <c r="E62" i="9"/>
  <c r="E64" i="9"/>
  <c r="E66" i="9"/>
  <c r="E68" i="9"/>
  <c r="E70" i="9"/>
  <c r="E72" i="9"/>
  <c r="E74" i="9"/>
  <c r="A2" i="9"/>
  <c r="A3" i="9"/>
  <c r="A4" i="9"/>
  <c r="CO61" i="9"/>
  <c r="CO73" i="9"/>
  <c r="CO69" i="9"/>
  <c r="CO57" i="9"/>
  <c r="BT67" i="9"/>
  <c r="AY73" i="9"/>
  <c r="BT71" i="9"/>
  <c r="CP61" i="9"/>
  <c r="CP57" i="9"/>
  <c r="AB68" i="9"/>
  <c r="AZ67" i="9"/>
  <c r="AZ51" i="9"/>
  <c r="AY47" i="9"/>
  <c r="AZ55" i="9"/>
  <c r="CO74" i="9"/>
  <c r="CP74" i="9"/>
  <c r="CM74" i="9"/>
  <c r="AZ44" i="9"/>
  <c r="CO66" i="9"/>
  <c r="CP66" i="9"/>
  <c r="CM66" i="9"/>
  <c r="CT66" i="9"/>
  <c r="CP70" i="9"/>
  <c r="CM70" i="9"/>
  <c r="CO70" i="9"/>
  <c r="CM62" i="9"/>
  <c r="CP62" i="9"/>
  <c r="CO62" i="9"/>
  <c r="AY51" i="9"/>
  <c r="AZ47" i="9"/>
  <c r="AY55" i="9"/>
  <c r="AY67" i="9"/>
  <c r="AB44" i="9"/>
  <c r="AH44" i="9"/>
  <c r="CO68" i="9"/>
  <c r="CP68" i="9"/>
  <c r="CM68" i="9"/>
  <c r="CT68" i="9"/>
  <c r="CO64" i="9"/>
  <c r="CP64" i="9"/>
  <c r="CM64" i="9"/>
  <c r="CT64" i="9"/>
  <c r="CM60" i="9"/>
  <c r="CO60" i="9"/>
  <c r="CP60" i="9"/>
  <c r="CM52" i="9"/>
  <c r="CS52" i="9"/>
  <c r="CO52" i="9"/>
  <c r="CP52" i="9"/>
  <c r="CP48" i="9"/>
  <c r="CO48" i="9"/>
  <c r="CM48" i="9"/>
  <c r="CS48" i="9"/>
  <c r="CO72" i="9"/>
  <c r="CP72" i="9"/>
  <c r="CM72" i="9"/>
  <c r="CT72" i="9"/>
  <c r="CW72" i="9"/>
  <c r="AZ69" i="9"/>
  <c r="AW69" i="9"/>
  <c r="G87" i="9"/>
  <c r="N87" i="9"/>
  <c r="DJ73" i="9"/>
  <c r="DK73" i="9"/>
  <c r="DH73" i="9"/>
  <c r="DJ69" i="9"/>
  <c r="DK69" i="9"/>
  <c r="DH69" i="9"/>
  <c r="DK65" i="9"/>
  <c r="DH65" i="9"/>
  <c r="DJ65" i="9"/>
  <c r="DJ61" i="9"/>
  <c r="DH61" i="9"/>
  <c r="DN61" i="9"/>
  <c r="DK61" i="9"/>
  <c r="DK57" i="9"/>
  <c r="DH57" i="9"/>
  <c r="DJ57" i="9"/>
  <c r="DJ53" i="9"/>
  <c r="DK53" i="9"/>
  <c r="DH53" i="9"/>
  <c r="DJ49" i="9"/>
  <c r="DH49" i="9"/>
  <c r="DK49" i="9"/>
  <c r="DK45" i="9"/>
  <c r="DJ45" i="9"/>
  <c r="DH45" i="9"/>
  <c r="CP53" i="9"/>
  <c r="CO53" i="9"/>
  <c r="CM53" i="9"/>
  <c r="CT53" i="9"/>
  <c r="CO49" i="9"/>
  <c r="CM49" i="9"/>
  <c r="CT49" i="9"/>
  <c r="CP49" i="9"/>
  <c r="CO45" i="9"/>
  <c r="CM45" i="9"/>
  <c r="CS45" i="9"/>
  <c r="CP45" i="9"/>
  <c r="DJ74" i="9"/>
  <c r="DK74" i="9"/>
  <c r="DH74" i="9"/>
  <c r="DJ70" i="9"/>
  <c r="DK70" i="9"/>
  <c r="DH70" i="9"/>
  <c r="DJ66" i="9"/>
  <c r="DK66" i="9"/>
  <c r="DH66" i="9"/>
  <c r="DJ62" i="9"/>
  <c r="DK62" i="9"/>
  <c r="DH62" i="9"/>
  <c r="DO62" i="9"/>
  <c r="DK58" i="9"/>
  <c r="DJ58" i="9"/>
  <c r="DH58" i="9"/>
  <c r="DO58" i="9"/>
  <c r="DJ54" i="9"/>
  <c r="DK54" i="9"/>
  <c r="DH54" i="9"/>
  <c r="DK50" i="9"/>
  <c r="DJ50" i="9"/>
  <c r="DH50" i="9"/>
  <c r="DO50" i="9"/>
  <c r="DK46" i="9"/>
  <c r="DJ46" i="9"/>
  <c r="DH46" i="9"/>
  <c r="BA72" i="9"/>
  <c r="BB72" i="9"/>
  <c r="BA68" i="9"/>
  <c r="BB68" i="9"/>
  <c r="BA64" i="9"/>
  <c r="BB64" i="9"/>
  <c r="BA60" i="9"/>
  <c r="BB60" i="9"/>
  <c r="BA56" i="9"/>
  <c r="BB56" i="9"/>
  <c r="BA52" i="9"/>
  <c r="BB52" i="9"/>
  <c r="BA48" i="9"/>
  <c r="BB48" i="9"/>
  <c r="AZ71" i="9"/>
  <c r="AW71" i="9"/>
  <c r="BD71" i="9"/>
  <c r="AY71" i="9"/>
  <c r="AY63" i="9"/>
  <c r="AZ63" i="9"/>
  <c r="AY59" i="9"/>
  <c r="AZ59" i="9"/>
  <c r="BD44" i="9"/>
  <c r="BC44" i="9"/>
  <c r="BA44" i="9"/>
  <c r="BB44" i="9"/>
  <c r="BA71" i="9"/>
  <c r="BB71" i="9"/>
  <c r="BA67" i="9"/>
  <c r="BB67" i="9"/>
  <c r="BA63" i="9"/>
  <c r="BB63" i="9"/>
  <c r="BA59" i="9"/>
  <c r="BB59" i="9"/>
  <c r="BA55" i="9"/>
  <c r="BB55" i="9"/>
  <c r="BA51" i="9"/>
  <c r="BB51" i="9"/>
  <c r="BA47" i="9"/>
  <c r="BB47" i="9"/>
  <c r="AX72" i="9"/>
  <c r="AX68" i="9"/>
  <c r="AX64" i="9"/>
  <c r="AX60" i="9"/>
  <c r="AX56" i="9"/>
  <c r="AX52" i="9"/>
  <c r="AX48" i="9"/>
  <c r="BV74" i="9"/>
  <c r="BW74" i="9"/>
  <c r="BV70" i="9"/>
  <c r="BW70" i="9"/>
  <c r="BV66" i="9"/>
  <c r="BW66" i="9"/>
  <c r="BV62" i="9"/>
  <c r="BW62" i="9"/>
  <c r="BV58" i="9"/>
  <c r="BW58" i="9"/>
  <c r="BV54" i="9"/>
  <c r="BW54" i="9"/>
  <c r="BV50" i="9"/>
  <c r="BW50" i="9"/>
  <c r="BV46" i="9"/>
  <c r="BW46" i="9"/>
  <c r="BT44" i="9"/>
  <c r="BR44" i="9"/>
  <c r="BU44" i="9"/>
  <c r="BU63" i="9"/>
  <c r="BT63" i="9"/>
  <c r="BU59" i="9"/>
  <c r="BT59" i="9"/>
  <c r="BT55" i="9"/>
  <c r="BU55" i="9"/>
  <c r="BT51" i="9"/>
  <c r="BU51" i="9"/>
  <c r="BT47" i="9"/>
  <c r="BR47" i="9"/>
  <c r="BY47" i="9"/>
  <c r="BU47" i="9"/>
  <c r="BX44" i="9"/>
  <c r="BV44" i="9"/>
  <c r="BY44" i="9"/>
  <c r="CB44" i="9"/>
  <c r="BW44" i="9"/>
  <c r="BV71" i="9"/>
  <c r="BW71" i="9"/>
  <c r="BV67" i="9"/>
  <c r="BW67" i="9"/>
  <c r="BV63" i="9"/>
  <c r="BW63" i="9"/>
  <c r="BX63" i="9"/>
  <c r="BY63" i="9"/>
  <c r="BV59" i="9"/>
  <c r="BW59" i="9"/>
  <c r="BX59" i="9"/>
  <c r="BY59" i="9"/>
  <c r="BY55" i="9"/>
  <c r="BV55" i="9"/>
  <c r="BW55" i="9"/>
  <c r="BX55" i="9"/>
  <c r="BY51" i="9"/>
  <c r="BV51" i="9"/>
  <c r="BW51" i="9"/>
  <c r="BX51" i="9"/>
  <c r="BV47" i="9"/>
  <c r="BW47" i="9"/>
  <c r="BS74" i="9"/>
  <c r="BS70" i="9"/>
  <c r="BS66" i="9"/>
  <c r="BS62" i="9"/>
  <c r="BS58" i="9"/>
  <c r="BS54" i="9"/>
  <c r="BS50" i="9"/>
  <c r="BS46" i="9"/>
  <c r="CQ44" i="9"/>
  <c r="CR44" i="9"/>
  <c r="CQ71" i="9"/>
  <c r="CR71" i="9"/>
  <c r="CQ67" i="9"/>
  <c r="CR67" i="9"/>
  <c r="CQ63" i="9"/>
  <c r="CR63" i="9"/>
  <c r="CQ59" i="9"/>
  <c r="CR59" i="9"/>
  <c r="CQ55" i="9"/>
  <c r="CR55" i="9"/>
  <c r="CQ51" i="9"/>
  <c r="CR51" i="9"/>
  <c r="CQ47" i="9"/>
  <c r="CR47" i="9"/>
  <c r="CP58" i="9"/>
  <c r="CO58" i="9"/>
  <c r="CO54" i="9"/>
  <c r="CP54" i="9"/>
  <c r="CO50" i="9"/>
  <c r="CM50" i="9"/>
  <c r="CT50" i="9"/>
  <c r="CP50" i="9"/>
  <c r="CO46" i="9"/>
  <c r="CM46" i="9"/>
  <c r="CS46" i="9"/>
  <c r="CP46" i="9"/>
  <c r="CQ72" i="9"/>
  <c r="CR72" i="9"/>
  <c r="CQ68" i="9"/>
  <c r="CR68" i="9"/>
  <c r="CQ64" i="9"/>
  <c r="CR64" i="9"/>
  <c r="CQ60" i="9"/>
  <c r="CR60" i="9"/>
  <c r="CS56" i="9"/>
  <c r="CT56" i="9"/>
  <c r="CQ56" i="9"/>
  <c r="CR56" i="9"/>
  <c r="CQ52" i="9"/>
  <c r="CR52" i="9"/>
  <c r="CQ48" i="9"/>
  <c r="CR48" i="9"/>
  <c r="K108" i="9"/>
  <c r="L108" i="9"/>
  <c r="K104" i="9"/>
  <c r="L104" i="9"/>
  <c r="K100" i="9"/>
  <c r="L100" i="9"/>
  <c r="K96" i="9"/>
  <c r="L96" i="9"/>
  <c r="K92" i="9"/>
  <c r="L92" i="9"/>
  <c r="K88" i="9"/>
  <c r="L88" i="9"/>
  <c r="K84" i="9"/>
  <c r="L84" i="9"/>
  <c r="I80" i="9"/>
  <c r="G80" i="9"/>
  <c r="J80" i="9"/>
  <c r="I107" i="9"/>
  <c r="J107" i="9"/>
  <c r="G107" i="9"/>
  <c r="M107" i="9"/>
  <c r="I103" i="9"/>
  <c r="J103" i="9"/>
  <c r="G103" i="9"/>
  <c r="M103" i="9"/>
  <c r="J99" i="9"/>
  <c r="I99" i="9"/>
  <c r="I95" i="9"/>
  <c r="J95" i="9"/>
  <c r="M80" i="9"/>
  <c r="K80" i="9"/>
  <c r="L80" i="9"/>
  <c r="K107" i="9"/>
  <c r="L107" i="9"/>
  <c r="K103" i="9"/>
  <c r="L103" i="9"/>
  <c r="K99" i="9"/>
  <c r="L99" i="9"/>
  <c r="K95" i="9"/>
  <c r="L95" i="9"/>
  <c r="K91" i="9"/>
  <c r="L91" i="9"/>
  <c r="K87" i="9"/>
  <c r="L87" i="9"/>
  <c r="K83" i="9"/>
  <c r="L83" i="9"/>
  <c r="G99" i="9"/>
  <c r="N99" i="9"/>
  <c r="G95" i="9"/>
  <c r="N95" i="9"/>
  <c r="H108" i="9"/>
  <c r="H104" i="9"/>
  <c r="H100" i="9"/>
  <c r="H96" i="9"/>
  <c r="H92" i="9"/>
  <c r="H88" i="9"/>
  <c r="H84" i="9"/>
  <c r="DL44" i="9"/>
  <c r="DM44" i="9"/>
  <c r="DL71" i="9"/>
  <c r="DM71" i="9"/>
  <c r="DL67" i="9"/>
  <c r="DM67" i="9"/>
  <c r="DL63" i="9"/>
  <c r="DM63" i="9"/>
  <c r="DL59" i="9"/>
  <c r="DM59" i="9"/>
  <c r="DL55" i="9"/>
  <c r="DM55" i="9"/>
  <c r="DL51" i="9"/>
  <c r="DM51" i="9"/>
  <c r="DL47" i="9"/>
  <c r="DM47" i="9"/>
  <c r="DL72" i="9"/>
  <c r="DM72" i="9"/>
  <c r="DL68" i="9"/>
  <c r="DM68" i="9"/>
  <c r="DL64" i="9"/>
  <c r="DM64" i="9"/>
  <c r="DL60" i="9"/>
  <c r="DM60" i="9"/>
  <c r="DL56" i="9"/>
  <c r="DM56" i="9"/>
  <c r="DL52" i="9"/>
  <c r="DM52" i="9"/>
  <c r="DL48" i="9"/>
  <c r="DM48" i="9"/>
  <c r="AF71" i="9"/>
  <c r="AG71" i="9"/>
  <c r="AF67" i="9"/>
  <c r="AG67" i="9"/>
  <c r="AF63" i="9"/>
  <c r="AG63" i="9"/>
  <c r="AF59" i="9"/>
  <c r="AG59" i="9"/>
  <c r="AF55" i="9"/>
  <c r="AG55" i="9"/>
  <c r="AF51" i="9"/>
  <c r="AG51" i="9"/>
  <c r="AF47" i="9"/>
  <c r="AG47" i="9"/>
  <c r="AE64" i="9"/>
  <c r="AD64" i="9"/>
  <c r="AE60" i="9"/>
  <c r="AD60" i="9"/>
  <c r="AD56" i="9"/>
  <c r="AE56" i="9"/>
  <c r="AD52" i="9"/>
  <c r="AE52" i="9"/>
  <c r="AF72" i="9"/>
  <c r="AG72" i="9"/>
  <c r="AF68" i="9"/>
  <c r="AG68" i="9"/>
  <c r="AF64" i="9"/>
  <c r="AG64" i="9"/>
  <c r="AF60" i="9"/>
  <c r="AG60" i="9"/>
  <c r="AF56" i="9"/>
  <c r="AG56" i="9"/>
  <c r="AF52" i="9"/>
  <c r="AG52" i="9"/>
  <c r="AF48" i="9"/>
  <c r="AG48" i="9"/>
  <c r="AF74" i="9"/>
  <c r="AG74" i="9"/>
  <c r="AB64" i="9"/>
  <c r="AI64" i="9"/>
  <c r="AB60" i="9"/>
  <c r="AB56" i="9"/>
  <c r="AI56" i="9"/>
  <c r="AB52" i="9"/>
  <c r="AI52" i="9"/>
  <c r="AC71" i="9"/>
  <c r="AC67" i="9"/>
  <c r="AC63" i="9"/>
  <c r="AC59" i="9"/>
  <c r="AC55" i="9"/>
  <c r="AC51" i="9"/>
  <c r="AC47" i="9"/>
  <c r="AS83" i="9"/>
  <c r="AS89" i="9"/>
  <c r="AS91" i="9"/>
  <c r="AS87" i="9"/>
  <c r="AS85" i="9"/>
  <c r="BB74" i="9"/>
  <c r="BA74" i="9"/>
  <c r="BB70" i="9"/>
  <c r="BA70" i="9"/>
  <c r="BA66" i="9"/>
  <c r="BB66" i="9"/>
  <c r="BA62" i="9"/>
  <c r="BB62" i="9"/>
  <c r="BA58" i="9"/>
  <c r="BB58" i="9"/>
  <c r="BA54" i="9"/>
  <c r="BB54" i="9"/>
  <c r="BA50" i="9"/>
  <c r="BB50" i="9"/>
  <c r="BA46" i="9"/>
  <c r="BB46" i="9"/>
  <c r="AY65" i="9"/>
  <c r="AZ65" i="9"/>
  <c r="AY61" i="9"/>
  <c r="AZ61" i="9"/>
  <c r="AZ57" i="9"/>
  <c r="AY57" i="9"/>
  <c r="AY53" i="9"/>
  <c r="AZ53" i="9"/>
  <c r="AY49" i="9"/>
  <c r="AZ49" i="9"/>
  <c r="AY45" i="9"/>
  <c r="AW45" i="9"/>
  <c r="AZ45" i="9"/>
  <c r="BB73" i="9"/>
  <c r="BA73" i="9"/>
  <c r="BA69" i="9"/>
  <c r="BB69" i="9"/>
  <c r="BC65" i="9"/>
  <c r="BD65" i="9"/>
  <c r="BA65" i="9"/>
  <c r="BB65" i="9"/>
  <c r="BC61" i="9"/>
  <c r="BD61" i="9"/>
  <c r="BA61" i="9"/>
  <c r="BB61" i="9"/>
  <c r="BD57" i="9"/>
  <c r="BA57" i="9"/>
  <c r="BB57" i="9"/>
  <c r="BC57" i="9"/>
  <c r="BC53" i="9"/>
  <c r="BD53" i="9"/>
  <c r="BA53" i="9"/>
  <c r="BB53" i="9"/>
  <c r="BC49" i="9"/>
  <c r="BD49" i="9"/>
  <c r="BA49" i="9"/>
  <c r="BB49" i="9"/>
  <c r="BA45" i="9"/>
  <c r="BB45" i="9"/>
  <c r="AW63" i="9"/>
  <c r="BC63" i="9"/>
  <c r="AW59" i="9"/>
  <c r="BC59" i="9"/>
  <c r="AX74" i="9"/>
  <c r="AX70" i="9"/>
  <c r="AX66" i="9"/>
  <c r="AX62" i="9"/>
  <c r="AX58" i="9"/>
  <c r="AX54" i="9"/>
  <c r="AX50" i="9"/>
  <c r="AX46" i="9"/>
  <c r="BV72" i="9"/>
  <c r="BW72" i="9"/>
  <c r="BV68" i="9"/>
  <c r="BW68" i="9"/>
  <c r="BV64" i="9"/>
  <c r="BW64" i="9"/>
  <c r="BV60" i="9"/>
  <c r="BW60" i="9"/>
  <c r="BV56" i="9"/>
  <c r="BW56" i="9"/>
  <c r="BV52" i="9"/>
  <c r="BW52" i="9"/>
  <c r="BV48" i="9"/>
  <c r="BW48" i="9"/>
  <c r="BU61" i="9"/>
  <c r="BT61" i="9"/>
  <c r="BT57" i="9"/>
  <c r="BU57" i="9"/>
  <c r="BU53" i="9"/>
  <c r="BT53" i="9"/>
  <c r="BV73" i="9"/>
  <c r="BW73" i="9"/>
  <c r="BV69" i="9"/>
  <c r="BW69" i="9"/>
  <c r="BV65" i="9"/>
  <c r="BW65" i="9"/>
  <c r="BV61" i="9"/>
  <c r="BW61" i="9"/>
  <c r="BX61" i="9"/>
  <c r="BY57" i="9"/>
  <c r="BV57" i="9"/>
  <c r="BW57" i="9"/>
  <c r="BX57" i="9"/>
  <c r="BY53" i="9"/>
  <c r="BV53" i="9"/>
  <c r="BW53" i="9"/>
  <c r="BX53" i="9"/>
  <c r="BV49" i="9"/>
  <c r="BW49" i="9"/>
  <c r="BV45" i="9"/>
  <c r="BW45" i="9"/>
  <c r="BS72" i="9"/>
  <c r="BS68" i="9"/>
  <c r="BS64" i="9"/>
  <c r="BS60" i="9"/>
  <c r="BS56" i="9"/>
  <c r="BS52" i="9"/>
  <c r="BS48" i="9"/>
  <c r="Z82" i="9"/>
  <c r="Z84" i="9"/>
  <c r="AC84" i="9"/>
  <c r="Z86" i="9"/>
  <c r="Z88" i="9"/>
  <c r="AC88" i="9"/>
  <c r="Z90" i="9"/>
  <c r="Z92" i="9"/>
  <c r="AC92" i="9"/>
  <c r="AB92" i="9"/>
  <c r="Z94" i="9"/>
  <c r="Z96" i="9"/>
  <c r="AC96" i="9"/>
  <c r="Z98" i="9"/>
  <c r="Z100" i="9"/>
  <c r="AC100" i="9"/>
  <c r="AB100" i="9"/>
  <c r="Z102" i="9"/>
  <c r="Z104" i="9"/>
  <c r="AC104" i="9"/>
  <c r="Z106" i="9"/>
  <c r="Z108" i="9"/>
  <c r="AC108" i="9"/>
  <c r="Z110" i="9"/>
  <c r="Z81" i="9"/>
  <c r="Z83" i="9"/>
  <c r="Z85" i="9"/>
  <c r="Z87" i="9"/>
  <c r="Z89" i="9"/>
  <c r="Z91" i="9"/>
  <c r="Z93" i="9"/>
  <c r="Z95" i="9"/>
  <c r="Z97" i="9"/>
  <c r="Z99" i="9"/>
  <c r="Z101" i="9"/>
  <c r="Z103" i="9"/>
  <c r="Z105" i="9"/>
  <c r="Z107" i="9"/>
  <c r="Z109" i="9"/>
  <c r="Z80" i="9"/>
  <c r="CR73" i="9"/>
  <c r="CQ73" i="9"/>
  <c r="CQ69" i="9"/>
  <c r="CR69" i="9"/>
  <c r="CQ65" i="9"/>
  <c r="CR65" i="9"/>
  <c r="CQ61" i="9"/>
  <c r="CR61" i="9"/>
  <c r="CQ57" i="9"/>
  <c r="CR57" i="9"/>
  <c r="CQ53" i="9"/>
  <c r="CR53" i="9"/>
  <c r="CQ49" i="9"/>
  <c r="CR49" i="9"/>
  <c r="CS49" i="9"/>
  <c r="CQ45" i="9"/>
  <c r="CR45" i="9"/>
  <c r="CT45" i="9"/>
  <c r="CO56" i="9"/>
  <c r="CP56" i="9"/>
  <c r="CQ74" i="9"/>
  <c r="CR74" i="9"/>
  <c r="CQ70" i="9"/>
  <c r="CR70" i="9"/>
  <c r="CQ66" i="9"/>
  <c r="CR66" i="9"/>
  <c r="CQ62" i="9"/>
  <c r="CR62" i="9"/>
  <c r="CS58" i="9"/>
  <c r="CT58" i="9"/>
  <c r="CQ58" i="9"/>
  <c r="CR58" i="9"/>
  <c r="CQ54" i="9"/>
  <c r="CR54" i="9"/>
  <c r="CT54" i="9"/>
  <c r="CS54" i="9"/>
  <c r="CQ50" i="9"/>
  <c r="CR50" i="9"/>
  <c r="CS50" i="9"/>
  <c r="CQ46" i="9"/>
  <c r="CR46" i="9"/>
  <c r="CT46" i="9"/>
  <c r="CN44" i="9"/>
  <c r="CN71" i="9"/>
  <c r="CN67" i="9"/>
  <c r="CN63" i="9"/>
  <c r="CN59" i="9"/>
  <c r="CN55" i="9"/>
  <c r="CN51" i="9"/>
  <c r="CN47" i="9"/>
  <c r="L110" i="9"/>
  <c r="K110" i="9"/>
  <c r="K106" i="9"/>
  <c r="L106" i="9"/>
  <c r="K102" i="9"/>
  <c r="L102" i="9"/>
  <c r="K98" i="9"/>
  <c r="L98" i="9"/>
  <c r="K94" i="9"/>
  <c r="L94" i="9"/>
  <c r="K90" i="9"/>
  <c r="L90" i="9"/>
  <c r="K86" i="9"/>
  <c r="L86" i="9"/>
  <c r="K82" i="9"/>
  <c r="L82" i="9"/>
  <c r="J101" i="9"/>
  <c r="G101" i="9"/>
  <c r="M101" i="9"/>
  <c r="I101" i="9"/>
  <c r="J97" i="9"/>
  <c r="I97" i="9"/>
  <c r="I93" i="9"/>
  <c r="J93" i="9"/>
  <c r="I89" i="9"/>
  <c r="J89" i="9"/>
  <c r="J85" i="9"/>
  <c r="I85" i="9"/>
  <c r="G85" i="9"/>
  <c r="M85" i="9"/>
  <c r="I81" i="9"/>
  <c r="G81" i="9"/>
  <c r="N81" i="9"/>
  <c r="J81" i="9"/>
  <c r="K109" i="9"/>
  <c r="L109" i="9"/>
  <c r="K105" i="9"/>
  <c r="L105" i="9"/>
  <c r="K101" i="9"/>
  <c r="L101" i="9"/>
  <c r="K97" i="9"/>
  <c r="L97" i="9"/>
  <c r="K93" i="9"/>
  <c r="L93" i="9"/>
  <c r="K89" i="9"/>
  <c r="L89" i="9"/>
  <c r="K85" i="9"/>
  <c r="L85" i="9"/>
  <c r="K81" i="9"/>
  <c r="L81" i="9"/>
  <c r="G97" i="9"/>
  <c r="M97" i="9"/>
  <c r="G93" i="9"/>
  <c r="M93" i="9"/>
  <c r="G89" i="9"/>
  <c r="N89" i="9"/>
  <c r="H110" i="9"/>
  <c r="H106" i="9"/>
  <c r="H102" i="9"/>
  <c r="H98" i="9"/>
  <c r="H94" i="9"/>
  <c r="H90" i="9"/>
  <c r="H86" i="9"/>
  <c r="H82" i="9"/>
  <c r="DL73" i="9"/>
  <c r="DM73" i="9"/>
  <c r="DL69" i="9"/>
  <c r="DM69" i="9"/>
  <c r="DL65" i="9"/>
  <c r="DM65" i="9"/>
  <c r="DL61" i="9"/>
  <c r="DM61" i="9"/>
  <c r="DL57" i="9"/>
  <c r="DM57" i="9"/>
  <c r="DL53" i="9"/>
  <c r="DM53" i="9"/>
  <c r="DL49" i="9"/>
  <c r="DM49" i="9"/>
  <c r="DL45" i="9"/>
  <c r="DM45" i="9"/>
  <c r="DI44" i="9"/>
  <c r="DI71" i="9"/>
  <c r="DI67" i="9"/>
  <c r="DI63" i="9"/>
  <c r="DI59" i="9"/>
  <c r="DI55" i="9"/>
  <c r="DI51" i="9"/>
  <c r="DI47" i="9"/>
  <c r="DM74" i="9"/>
  <c r="DL74" i="9"/>
  <c r="DL70" i="9"/>
  <c r="DM70" i="9"/>
  <c r="DL66" i="9"/>
  <c r="DM66" i="9"/>
  <c r="DL62" i="9"/>
  <c r="DM62" i="9"/>
  <c r="DN62" i="9"/>
  <c r="DL58" i="9"/>
  <c r="DM58" i="9"/>
  <c r="DN58" i="9"/>
  <c r="DL54" i="9"/>
  <c r="DM54" i="9"/>
  <c r="DL50" i="9"/>
  <c r="DM50" i="9"/>
  <c r="DN50" i="9"/>
  <c r="DL46" i="9"/>
  <c r="DM46" i="9"/>
  <c r="DI72" i="9"/>
  <c r="DI68" i="9"/>
  <c r="DI64" i="9"/>
  <c r="DI60" i="9"/>
  <c r="DI56" i="9"/>
  <c r="DI52" i="9"/>
  <c r="DI48" i="9"/>
  <c r="AF73" i="9"/>
  <c r="AG73" i="9"/>
  <c r="AF69" i="9"/>
  <c r="AG69" i="9"/>
  <c r="AF65" i="9"/>
  <c r="AG65" i="9"/>
  <c r="AF61" i="9"/>
  <c r="AG61" i="9"/>
  <c r="AF57" i="9"/>
  <c r="AG57" i="9"/>
  <c r="AF53" i="9"/>
  <c r="AG53" i="9"/>
  <c r="AF49" i="9"/>
  <c r="AG49" i="9"/>
  <c r="AF45" i="9"/>
  <c r="AG45" i="9"/>
  <c r="AE74" i="9"/>
  <c r="AB74" i="9"/>
  <c r="AI74" i="9"/>
  <c r="AL74" i="9"/>
  <c r="AD74" i="9"/>
  <c r="AE70" i="9"/>
  <c r="AB70" i="9"/>
  <c r="AH70" i="9"/>
  <c r="AD70" i="9"/>
  <c r="AD66" i="9"/>
  <c r="AE66" i="9"/>
  <c r="AE62" i="9"/>
  <c r="AD62" i="9"/>
  <c r="AE58" i="9"/>
  <c r="AD58" i="9"/>
  <c r="AD54" i="9"/>
  <c r="AE54" i="9"/>
  <c r="AE50" i="9"/>
  <c r="AD50" i="9"/>
  <c r="AE46" i="9"/>
  <c r="AD46" i="9"/>
  <c r="AF70" i="9"/>
  <c r="AG70" i="9"/>
  <c r="AF66" i="9"/>
  <c r="AG66" i="9"/>
  <c r="AF62" i="9"/>
  <c r="AG62" i="9"/>
  <c r="AF58" i="9"/>
  <c r="AG58" i="9"/>
  <c r="AF54" i="9"/>
  <c r="AG54" i="9"/>
  <c r="AF50" i="9"/>
  <c r="AG50" i="9"/>
  <c r="AF46" i="9"/>
  <c r="AG46" i="9"/>
  <c r="AI44" i="9"/>
  <c r="AF44" i="9"/>
  <c r="AG44" i="9"/>
  <c r="AB66" i="9"/>
  <c r="AH66" i="9"/>
  <c r="AB62" i="9"/>
  <c r="AB58" i="9"/>
  <c r="AB54" i="9"/>
  <c r="AI54" i="9"/>
  <c r="AB50" i="9"/>
  <c r="AB46" i="9"/>
  <c r="AI46" i="9"/>
  <c r="AC73" i="9"/>
  <c r="AC69" i="9"/>
  <c r="AC65" i="9"/>
  <c r="AC61" i="9"/>
  <c r="AC57" i="9"/>
  <c r="AC53" i="9"/>
  <c r="AC49" i="9"/>
  <c r="AC45" i="9"/>
  <c r="L41" i="9"/>
  <c r="BN81" i="9"/>
  <c r="N109" i="9"/>
  <c r="Q109" i="9"/>
  <c r="M109" i="9"/>
  <c r="N105" i="9"/>
  <c r="M105" i="9"/>
  <c r="N80" i="9"/>
  <c r="Q80" i="9"/>
  <c r="M87" i="9"/>
  <c r="N83" i="9"/>
  <c r="M83" i="9"/>
  <c r="N91" i="9"/>
  <c r="M91" i="9"/>
  <c r="DO65" i="9"/>
  <c r="DN65" i="9"/>
  <c r="DN57" i="9"/>
  <c r="DO57" i="9"/>
  <c r="DO61" i="9"/>
  <c r="CT61" i="9"/>
  <c r="CS61" i="9"/>
  <c r="CT70" i="9"/>
  <c r="CW70" i="9"/>
  <c r="CS70" i="9"/>
  <c r="CT69" i="9"/>
  <c r="CS69" i="9"/>
  <c r="CS68" i="9"/>
  <c r="CT60" i="9"/>
  <c r="CS60" i="9"/>
  <c r="CT57" i="9"/>
  <c r="CS57" i="9"/>
  <c r="CT74" i="9"/>
  <c r="CW74" i="9"/>
  <c r="CS74" i="9"/>
  <c r="CT73" i="9"/>
  <c r="CW73" i="9"/>
  <c r="CS73" i="9"/>
  <c r="CU73" i="9"/>
  <c r="CS72" i="9"/>
  <c r="CS64" i="9"/>
  <c r="CT62" i="9"/>
  <c r="CS62" i="9"/>
  <c r="CT48" i="9"/>
  <c r="CT65" i="9"/>
  <c r="CS65" i="9"/>
  <c r="CS66" i="9"/>
  <c r="CT52" i="9"/>
  <c r="BY67" i="9"/>
  <c r="BX67" i="9"/>
  <c r="BY71" i="9"/>
  <c r="CB71" i="9"/>
  <c r="BX71" i="9"/>
  <c r="BY73" i="9"/>
  <c r="CB73" i="9"/>
  <c r="BX73" i="9"/>
  <c r="BY49" i="9"/>
  <c r="BX49" i="9"/>
  <c r="BX45" i="9"/>
  <c r="BY45" i="9"/>
  <c r="BY69" i="9"/>
  <c r="CB69" i="9"/>
  <c r="BX69" i="9"/>
  <c r="BX65" i="9"/>
  <c r="BY65" i="9"/>
  <c r="BD73" i="9"/>
  <c r="BG73" i="9"/>
  <c r="BC73" i="9"/>
  <c r="BE73" i="9"/>
  <c r="BD67" i="9"/>
  <c r="BC67" i="9"/>
  <c r="BD51" i="9"/>
  <c r="BC51" i="9"/>
  <c r="BC47" i="9"/>
  <c r="BD47" i="9"/>
  <c r="BD55" i="9"/>
  <c r="BC55" i="9"/>
  <c r="AI72" i="9"/>
  <c r="AL72" i="9"/>
  <c r="AH72" i="9"/>
  <c r="AH48" i="9"/>
  <c r="AI48" i="9"/>
  <c r="AI68" i="9"/>
  <c r="AH68" i="9"/>
  <c r="I55" i="9"/>
  <c r="J55" i="9"/>
  <c r="G55" i="9"/>
  <c r="N55" i="9"/>
  <c r="K72" i="9"/>
  <c r="L72" i="9"/>
  <c r="K68" i="9"/>
  <c r="L68" i="9"/>
  <c r="K64" i="9"/>
  <c r="L64" i="9"/>
  <c r="K60" i="9"/>
  <c r="L60" i="9"/>
  <c r="K56" i="9"/>
  <c r="L56" i="9"/>
  <c r="K51" i="9"/>
  <c r="L51" i="9"/>
  <c r="K47" i="9"/>
  <c r="L47" i="9"/>
  <c r="I44" i="9"/>
  <c r="J44" i="9"/>
  <c r="I71" i="9"/>
  <c r="J71" i="9"/>
  <c r="I67" i="9"/>
  <c r="J67" i="9"/>
  <c r="G67" i="9"/>
  <c r="N67" i="9"/>
  <c r="I63" i="9"/>
  <c r="J63" i="9"/>
  <c r="I59" i="9"/>
  <c r="J59" i="9"/>
  <c r="J54" i="9"/>
  <c r="I54" i="9"/>
  <c r="J50" i="9"/>
  <c r="I50" i="9"/>
  <c r="J46" i="9"/>
  <c r="I46" i="9"/>
  <c r="G44" i="9"/>
  <c r="N44" i="9"/>
  <c r="G71" i="9"/>
  <c r="N71" i="9"/>
  <c r="G63" i="9"/>
  <c r="N63" i="9"/>
  <c r="G59" i="9"/>
  <c r="N59" i="9"/>
  <c r="K44" i="9"/>
  <c r="L44" i="9"/>
  <c r="K71" i="9"/>
  <c r="L71" i="9"/>
  <c r="K67" i="9"/>
  <c r="L67" i="9"/>
  <c r="K63" i="9"/>
  <c r="L63" i="9"/>
  <c r="K59" i="9"/>
  <c r="L59" i="9"/>
  <c r="K54" i="9"/>
  <c r="L54" i="9"/>
  <c r="K50" i="9"/>
  <c r="L50" i="9"/>
  <c r="K46" i="9"/>
  <c r="L46" i="9"/>
  <c r="H72" i="9"/>
  <c r="H68" i="9"/>
  <c r="H64" i="9"/>
  <c r="H60" i="9"/>
  <c r="H56" i="9"/>
  <c r="H51" i="9"/>
  <c r="H47" i="9"/>
  <c r="K74" i="9"/>
  <c r="L74" i="9"/>
  <c r="K70" i="9"/>
  <c r="L70" i="9"/>
  <c r="K66" i="9"/>
  <c r="L66" i="9"/>
  <c r="K62" i="9"/>
  <c r="L62" i="9"/>
  <c r="K58" i="9"/>
  <c r="L58" i="9"/>
  <c r="K53" i="9"/>
  <c r="L53" i="9"/>
  <c r="K49" i="9"/>
  <c r="L49" i="9"/>
  <c r="K45" i="9"/>
  <c r="L45" i="9"/>
  <c r="I73" i="9"/>
  <c r="J73" i="9"/>
  <c r="I69" i="9"/>
  <c r="J69" i="9"/>
  <c r="G69" i="9"/>
  <c r="I65" i="9"/>
  <c r="J65" i="9"/>
  <c r="I61" i="9"/>
  <c r="J61" i="9"/>
  <c r="I57" i="9"/>
  <c r="J57" i="9"/>
  <c r="J52" i="9"/>
  <c r="I52" i="9"/>
  <c r="J48" i="9"/>
  <c r="I48" i="9"/>
  <c r="K55" i="9"/>
  <c r="L55" i="9"/>
  <c r="G73" i="9"/>
  <c r="N73" i="9"/>
  <c r="G65" i="9"/>
  <c r="N65" i="9"/>
  <c r="G61" i="9"/>
  <c r="N61" i="9"/>
  <c r="G57" i="9"/>
  <c r="N57" i="9"/>
  <c r="K73" i="9"/>
  <c r="L73" i="9"/>
  <c r="K69" i="9"/>
  <c r="L69" i="9"/>
  <c r="K65" i="9"/>
  <c r="L65" i="9"/>
  <c r="K61" i="9"/>
  <c r="L61" i="9"/>
  <c r="K57" i="9"/>
  <c r="L57" i="9"/>
  <c r="M52" i="9"/>
  <c r="N52" i="9"/>
  <c r="K52" i="9"/>
  <c r="L52" i="9"/>
  <c r="M48" i="9"/>
  <c r="N48" i="9"/>
  <c r="K48" i="9"/>
  <c r="L48" i="9"/>
  <c r="H74" i="9"/>
  <c r="H70" i="9"/>
  <c r="H66" i="9"/>
  <c r="H62" i="9"/>
  <c r="H58" i="9"/>
  <c r="H53" i="9"/>
  <c r="H49" i="9"/>
  <c r="H45" i="9"/>
  <c r="G54" i="9"/>
  <c r="M54" i="9"/>
  <c r="G50" i="9"/>
  <c r="M50" i="9"/>
  <c r="G46" i="9"/>
  <c r="M46"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B1" i="9"/>
  <c r="A1" i="9"/>
  <c r="CS53" i="9"/>
  <c r="BX47" i="9"/>
  <c r="CU72" i="9"/>
  <c r="N103" i="9"/>
  <c r="N107" i="9"/>
  <c r="BZ71" i="9"/>
  <c r="Q107" i="9"/>
  <c r="AJ72" i="9"/>
  <c r="BZ73" i="9"/>
  <c r="Q73" i="9"/>
  <c r="BG44" i="9"/>
  <c r="BG71" i="9"/>
  <c r="Q44" i="9"/>
  <c r="Q71" i="9"/>
  <c r="AL44" i="9"/>
  <c r="N85" i="9"/>
  <c r="Q85" i="9"/>
  <c r="BC71" i="9"/>
  <c r="BZ67" i="9"/>
  <c r="CB67" i="9"/>
  <c r="O109" i="9"/>
  <c r="BC45" i="9"/>
  <c r="BD45" i="9"/>
  <c r="BG45" i="9"/>
  <c r="BC69" i="9"/>
  <c r="BE69" i="9"/>
  <c r="BD69" i="9"/>
  <c r="BG69" i="9"/>
  <c r="M63" i="9"/>
  <c r="O63" i="9"/>
  <c r="N101" i="9"/>
  <c r="Q101" i="9"/>
  <c r="AL56" i="9"/>
  <c r="O105" i="9"/>
  <c r="M61" i="9"/>
  <c r="O61" i="9"/>
  <c r="M71" i="9"/>
  <c r="M69" i="9"/>
  <c r="O69" i="9"/>
  <c r="N69" i="9"/>
  <c r="Q69" i="9"/>
  <c r="AL46" i="9"/>
  <c r="M81" i="9"/>
  <c r="Q99" i="9"/>
  <c r="AL54" i="9"/>
  <c r="M67" i="9"/>
  <c r="M44" i="9"/>
  <c r="CU74" i="9"/>
  <c r="AI100" i="9"/>
  <c r="AH100" i="9"/>
  <c r="CU66" i="9"/>
  <c r="CU65" i="9"/>
  <c r="CU62" i="9"/>
  <c r="CU57" i="9"/>
  <c r="CU69" i="9"/>
  <c r="CU70" i="9"/>
  <c r="CU61" i="9"/>
  <c r="DR61" i="9"/>
  <c r="DR57" i="9"/>
  <c r="DP65" i="9"/>
  <c r="Q59" i="9"/>
  <c r="BZ45" i="9"/>
  <c r="CB49" i="9"/>
  <c r="M89" i="9"/>
  <c r="O89" i="9"/>
  <c r="AL52" i="9"/>
  <c r="Q89" i="9"/>
  <c r="N97" i="9"/>
  <c r="Q97" i="9"/>
  <c r="CW46" i="9"/>
  <c r="CW50" i="9"/>
  <c r="CW54" i="9"/>
  <c r="CW58" i="9"/>
  <c r="M99" i="9"/>
  <c r="O99" i="9"/>
  <c r="Q103" i="9"/>
  <c r="Q55" i="9"/>
  <c r="AN54" i="9"/>
  <c r="AP54" i="9"/>
  <c r="AQ54" i="9"/>
  <c r="AM54" i="9"/>
  <c r="AO54" i="9"/>
  <c r="AK54" i="9"/>
  <c r="AN53" i="9"/>
  <c r="AP53" i="9"/>
  <c r="AQ53" i="9"/>
  <c r="AO53" i="9"/>
  <c r="AM53" i="9"/>
  <c r="AK53" i="9"/>
  <c r="DT46" i="9"/>
  <c r="DV46" i="9"/>
  <c r="DU46" i="9"/>
  <c r="DS46" i="9"/>
  <c r="DW46" i="9"/>
  <c r="DQ46" i="9"/>
  <c r="S81" i="9"/>
  <c r="U81" i="9"/>
  <c r="O81" i="9"/>
  <c r="T81" i="9"/>
  <c r="R81" i="9"/>
  <c r="P81" i="9"/>
  <c r="V81" i="9"/>
  <c r="S82" i="9"/>
  <c r="U82" i="9"/>
  <c r="V82" i="9"/>
  <c r="R82" i="9"/>
  <c r="T82" i="9"/>
  <c r="P82" i="9"/>
  <c r="S90" i="9"/>
  <c r="U90" i="9"/>
  <c r="V90" i="9"/>
  <c r="R90" i="9"/>
  <c r="T90" i="9"/>
  <c r="P90" i="9"/>
  <c r="S98" i="9"/>
  <c r="V98" i="9"/>
  <c r="R98" i="9"/>
  <c r="T98" i="9"/>
  <c r="P98" i="9"/>
  <c r="U98" i="9"/>
  <c r="S106" i="9"/>
  <c r="V106" i="9"/>
  <c r="R106" i="9"/>
  <c r="T106" i="9"/>
  <c r="P106" i="9"/>
  <c r="U106" i="9"/>
  <c r="CY53" i="9"/>
  <c r="DB53" i="9"/>
  <c r="CX53" i="9"/>
  <c r="CV53" i="9"/>
  <c r="CU53" i="9"/>
  <c r="CZ53" i="9"/>
  <c r="DA53" i="9"/>
  <c r="CD53" i="9"/>
  <c r="CG53" i="9"/>
  <c r="CA53" i="9"/>
  <c r="CC53" i="9"/>
  <c r="CE53" i="9"/>
  <c r="CF53" i="9"/>
  <c r="BZ53" i="9"/>
  <c r="CD61" i="9"/>
  <c r="CG61" i="9"/>
  <c r="CA61" i="9"/>
  <c r="CC61" i="9"/>
  <c r="CE61" i="9"/>
  <c r="BZ61" i="9"/>
  <c r="CF61" i="9"/>
  <c r="CB61" i="9"/>
  <c r="CD69" i="9"/>
  <c r="CG69" i="9"/>
  <c r="CC69" i="9"/>
  <c r="CA69" i="9"/>
  <c r="CE69" i="9"/>
  <c r="CF69" i="9"/>
  <c r="CD52" i="9"/>
  <c r="CF52" i="9"/>
  <c r="CC52" i="9"/>
  <c r="CE52" i="9"/>
  <c r="CA52" i="9"/>
  <c r="CG52" i="9"/>
  <c r="CD60" i="9"/>
  <c r="CC60" i="9"/>
  <c r="CE60" i="9"/>
  <c r="CA60" i="9"/>
  <c r="CG60" i="9"/>
  <c r="CF60" i="9"/>
  <c r="CD68" i="9"/>
  <c r="CC68" i="9"/>
  <c r="CE68" i="9"/>
  <c r="CA68" i="9"/>
  <c r="CG68" i="9"/>
  <c r="CF68" i="9"/>
  <c r="BI53" i="9"/>
  <c r="BK53" i="9"/>
  <c r="BE53" i="9"/>
  <c r="BH53" i="9"/>
  <c r="BF53" i="9"/>
  <c r="BL53" i="9"/>
  <c r="BJ53" i="9"/>
  <c r="BI57" i="9"/>
  <c r="BH57" i="9"/>
  <c r="BF57" i="9"/>
  <c r="BL57" i="9"/>
  <c r="BJ57" i="9"/>
  <c r="BE57" i="9"/>
  <c r="BK57" i="9"/>
  <c r="BI61" i="9"/>
  <c r="BH61" i="9"/>
  <c r="BF61" i="9"/>
  <c r="BL61" i="9"/>
  <c r="BJ61" i="9"/>
  <c r="BE61" i="9"/>
  <c r="BK61" i="9"/>
  <c r="BI46" i="9"/>
  <c r="BK46" i="9"/>
  <c r="BL46" i="9"/>
  <c r="BF46" i="9"/>
  <c r="BJ46" i="9"/>
  <c r="BH46" i="9"/>
  <c r="BI54" i="9"/>
  <c r="BK54" i="9"/>
  <c r="BL54" i="9"/>
  <c r="BF54" i="9"/>
  <c r="BJ54" i="9"/>
  <c r="BH54" i="9"/>
  <c r="BI62" i="9"/>
  <c r="BL62" i="9"/>
  <c r="BF62" i="9"/>
  <c r="BJ62" i="9"/>
  <c r="BH62" i="9"/>
  <c r="BK62" i="9"/>
  <c r="AN48" i="9"/>
  <c r="AO48" i="9"/>
  <c r="AK48" i="9"/>
  <c r="AQ48" i="9"/>
  <c r="AM48" i="9"/>
  <c r="AP48" i="9"/>
  <c r="AN64" i="9"/>
  <c r="AP64" i="9"/>
  <c r="AO64" i="9"/>
  <c r="AK64" i="9"/>
  <c r="AQ64" i="9"/>
  <c r="AM64" i="9"/>
  <c r="AN47" i="9"/>
  <c r="AQ47" i="9"/>
  <c r="AO47" i="9"/>
  <c r="AM47" i="9"/>
  <c r="AK47" i="9"/>
  <c r="AP47" i="9"/>
  <c r="AN55" i="9"/>
  <c r="AQ55" i="9"/>
  <c r="AO55" i="9"/>
  <c r="AM55" i="9"/>
  <c r="AK55" i="9"/>
  <c r="AP55" i="9"/>
  <c r="AN63" i="9"/>
  <c r="AP63" i="9"/>
  <c r="AQ63" i="9"/>
  <c r="AO63" i="9"/>
  <c r="AM63" i="9"/>
  <c r="AK63" i="9"/>
  <c r="DT48" i="9"/>
  <c r="DW48" i="9"/>
  <c r="DQ48" i="9"/>
  <c r="DU48" i="9"/>
  <c r="DS48" i="9"/>
  <c r="DV48" i="9"/>
  <c r="DT56" i="9"/>
  <c r="DW56" i="9"/>
  <c r="DQ56" i="9"/>
  <c r="DU56" i="9"/>
  <c r="DS56" i="9"/>
  <c r="DV56" i="9"/>
  <c r="DT64" i="9"/>
  <c r="DW64" i="9"/>
  <c r="DQ64" i="9"/>
  <c r="DU64" i="9"/>
  <c r="DS64" i="9"/>
  <c r="DV64" i="9"/>
  <c r="S87" i="9"/>
  <c r="U87" i="9"/>
  <c r="T87" i="9"/>
  <c r="R87" i="9"/>
  <c r="P87" i="9"/>
  <c r="V87" i="9"/>
  <c r="S95" i="9"/>
  <c r="T95" i="9"/>
  <c r="R95" i="9"/>
  <c r="P95" i="9"/>
  <c r="V95" i="9"/>
  <c r="U95" i="9"/>
  <c r="U80" i="9"/>
  <c r="S80" i="9"/>
  <c r="O80" i="9"/>
  <c r="V80" i="9"/>
  <c r="T80" i="9"/>
  <c r="R80" i="9"/>
  <c r="P80" i="9"/>
  <c r="S84" i="9"/>
  <c r="T84" i="9"/>
  <c r="P84" i="9"/>
  <c r="U84" i="9"/>
  <c r="V84" i="9"/>
  <c r="R84" i="9"/>
  <c r="S92" i="9"/>
  <c r="T92" i="9"/>
  <c r="P92" i="9"/>
  <c r="U92" i="9"/>
  <c r="V92" i="9"/>
  <c r="R92" i="9"/>
  <c r="S100" i="9"/>
  <c r="T100" i="9"/>
  <c r="P100" i="9"/>
  <c r="U100" i="9"/>
  <c r="V100" i="9"/>
  <c r="R100" i="9"/>
  <c r="CY48" i="9"/>
  <c r="CZ48" i="9"/>
  <c r="CX48" i="9"/>
  <c r="DB48" i="9"/>
  <c r="CV48" i="9"/>
  <c r="DA48" i="9"/>
  <c r="CY56" i="9"/>
  <c r="CZ56" i="9"/>
  <c r="CX56" i="9"/>
  <c r="DB56" i="9"/>
  <c r="CV56" i="9"/>
  <c r="CU56" i="9"/>
  <c r="DA56" i="9"/>
  <c r="CY64" i="9"/>
  <c r="CX64" i="9"/>
  <c r="DB64" i="9"/>
  <c r="CZ64" i="9"/>
  <c r="CV64" i="9"/>
  <c r="DA64" i="9"/>
  <c r="CY47" i="9"/>
  <c r="CZ47" i="9"/>
  <c r="DB47" i="9"/>
  <c r="CX47" i="9"/>
  <c r="CV47" i="9"/>
  <c r="DA47" i="9"/>
  <c r="CY55" i="9"/>
  <c r="CZ55" i="9"/>
  <c r="DB55" i="9"/>
  <c r="CX55" i="9"/>
  <c r="CV55" i="9"/>
  <c r="DA55" i="9"/>
  <c r="CY63" i="9"/>
  <c r="DB63" i="9"/>
  <c r="CZ63" i="9"/>
  <c r="CX63" i="9"/>
  <c r="CV63" i="9"/>
  <c r="DA63" i="9"/>
  <c r="CY44" i="9"/>
  <c r="DB44" i="9"/>
  <c r="CZ44" i="9"/>
  <c r="CX44" i="9"/>
  <c r="CV44" i="9"/>
  <c r="DA44" i="9"/>
  <c r="CD55" i="9"/>
  <c r="CF55" i="9"/>
  <c r="BZ55" i="9"/>
  <c r="CC55" i="9"/>
  <c r="CE55" i="9"/>
  <c r="CG55" i="9"/>
  <c r="CA55" i="9"/>
  <c r="BI51" i="9"/>
  <c r="BL51" i="9"/>
  <c r="BJ51" i="9"/>
  <c r="BH51" i="9"/>
  <c r="BF51" i="9"/>
  <c r="BK51" i="9"/>
  <c r="BI59" i="9"/>
  <c r="BL59" i="9"/>
  <c r="BJ59" i="9"/>
  <c r="BH59" i="9"/>
  <c r="BF59" i="9"/>
  <c r="BE59" i="9"/>
  <c r="BK59" i="9"/>
  <c r="BI67" i="9"/>
  <c r="BL67" i="9"/>
  <c r="BJ67" i="9"/>
  <c r="BH67" i="9"/>
  <c r="BF67" i="9"/>
  <c r="BK67" i="9"/>
  <c r="BI52" i="9"/>
  <c r="BF52" i="9"/>
  <c r="BJ52" i="9"/>
  <c r="BH52" i="9"/>
  <c r="BL52" i="9"/>
  <c r="BK52" i="9"/>
  <c r="BI60" i="9"/>
  <c r="BF60" i="9"/>
  <c r="BJ60" i="9"/>
  <c r="BH60" i="9"/>
  <c r="BL60" i="9"/>
  <c r="BK60" i="9"/>
  <c r="BI68" i="9"/>
  <c r="BF68" i="9"/>
  <c r="BJ68" i="9"/>
  <c r="BH68" i="9"/>
  <c r="BL68" i="9"/>
  <c r="BK68" i="9"/>
  <c r="AN66" i="9"/>
  <c r="AP66" i="9"/>
  <c r="AJ66" i="9"/>
  <c r="AQ66" i="9"/>
  <c r="AM66" i="9"/>
  <c r="AO66" i="9"/>
  <c r="AK66" i="9"/>
  <c r="DT58" i="9"/>
  <c r="DU58" i="9"/>
  <c r="DS58" i="9"/>
  <c r="DV58" i="9"/>
  <c r="DW58" i="9"/>
  <c r="DQ58" i="9"/>
  <c r="DP58" i="9"/>
  <c r="Q81" i="9"/>
  <c r="S86" i="9"/>
  <c r="U86" i="9"/>
  <c r="V86" i="9"/>
  <c r="R86" i="9"/>
  <c r="T86" i="9"/>
  <c r="P86" i="9"/>
  <c r="S94" i="9"/>
  <c r="V94" i="9"/>
  <c r="R94" i="9"/>
  <c r="T94" i="9"/>
  <c r="P94" i="9"/>
  <c r="U94" i="9"/>
  <c r="S102" i="9"/>
  <c r="V102" i="9"/>
  <c r="R102" i="9"/>
  <c r="T102" i="9"/>
  <c r="P102" i="9"/>
  <c r="U102" i="9"/>
  <c r="CY45" i="9"/>
  <c r="DB45" i="9"/>
  <c r="CZ45" i="9"/>
  <c r="CX45" i="9"/>
  <c r="CV45" i="9"/>
  <c r="CU45" i="9"/>
  <c r="DA45" i="9"/>
  <c r="CD57" i="9"/>
  <c r="CF57" i="9"/>
  <c r="BZ57" i="9"/>
  <c r="CG57" i="9"/>
  <c r="CA57" i="9"/>
  <c r="CC57" i="9"/>
  <c r="CE57" i="9"/>
  <c r="CD65" i="9"/>
  <c r="CG65" i="9"/>
  <c r="CA65" i="9"/>
  <c r="CC65" i="9"/>
  <c r="CE65" i="9"/>
  <c r="CF65" i="9"/>
  <c r="CD48" i="9"/>
  <c r="CF48" i="9"/>
  <c r="CC48" i="9"/>
  <c r="CE48" i="9"/>
  <c r="CA48" i="9"/>
  <c r="CG48" i="9"/>
  <c r="CD56" i="9"/>
  <c r="CF56" i="9"/>
  <c r="CC56" i="9"/>
  <c r="CE56" i="9"/>
  <c r="CA56" i="9"/>
  <c r="CG56" i="9"/>
  <c r="CD64" i="9"/>
  <c r="CC64" i="9"/>
  <c r="CE64" i="9"/>
  <c r="CA64" i="9"/>
  <c r="CG64" i="9"/>
  <c r="CF64" i="9"/>
  <c r="BI49" i="9"/>
  <c r="BK49" i="9"/>
  <c r="BE49" i="9"/>
  <c r="BH49" i="9"/>
  <c r="BF49" i="9"/>
  <c r="BL49" i="9"/>
  <c r="BJ49" i="9"/>
  <c r="BI65" i="9"/>
  <c r="BH65" i="9"/>
  <c r="BF65" i="9"/>
  <c r="BL65" i="9"/>
  <c r="BJ65" i="9"/>
  <c r="BE65" i="9"/>
  <c r="BK65" i="9"/>
  <c r="BI50" i="9"/>
  <c r="BK50" i="9"/>
  <c r="BL50" i="9"/>
  <c r="BF50" i="9"/>
  <c r="BJ50" i="9"/>
  <c r="BH50" i="9"/>
  <c r="BI58" i="9"/>
  <c r="BL58" i="9"/>
  <c r="BF58" i="9"/>
  <c r="BJ58" i="9"/>
  <c r="BH58" i="9"/>
  <c r="BK58" i="9"/>
  <c r="BI66" i="9"/>
  <c r="BL66" i="9"/>
  <c r="BF66" i="9"/>
  <c r="BJ66" i="9"/>
  <c r="BH66" i="9"/>
  <c r="BK66" i="9"/>
  <c r="AL64" i="9"/>
  <c r="AN56" i="9"/>
  <c r="AO56" i="9"/>
  <c r="AK56" i="9"/>
  <c r="AQ56" i="9"/>
  <c r="AM56" i="9"/>
  <c r="AP56" i="9"/>
  <c r="AN68" i="9"/>
  <c r="AO68" i="9"/>
  <c r="AK68" i="9"/>
  <c r="AQ68" i="9"/>
  <c r="AM68" i="9"/>
  <c r="AP68" i="9"/>
  <c r="AN51" i="9"/>
  <c r="AQ51" i="9"/>
  <c r="AO51" i="9"/>
  <c r="AM51" i="9"/>
  <c r="AK51" i="9"/>
  <c r="AP51" i="9"/>
  <c r="AN59" i="9"/>
  <c r="AP59" i="9"/>
  <c r="AQ59" i="9"/>
  <c r="AO59" i="9"/>
  <c r="AM59" i="9"/>
  <c r="AK59" i="9"/>
  <c r="AN67" i="9"/>
  <c r="AQ67" i="9"/>
  <c r="AO67" i="9"/>
  <c r="AM67" i="9"/>
  <c r="AK67" i="9"/>
  <c r="AP67" i="9"/>
  <c r="DT52" i="9"/>
  <c r="DW52" i="9"/>
  <c r="DQ52" i="9"/>
  <c r="DU52" i="9"/>
  <c r="DS52" i="9"/>
  <c r="DV52" i="9"/>
  <c r="DT60" i="9"/>
  <c r="DW60" i="9"/>
  <c r="DQ60" i="9"/>
  <c r="DU60" i="9"/>
  <c r="DS60" i="9"/>
  <c r="DV60" i="9"/>
  <c r="DT44" i="9"/>
  <c r="DQ44" i="9"/>
  <c r="DS44" i="9"/>
  <c r="DW44" i="9"/>
  <c r="DU44" i="9"/>
  <c r="DV44" i="9"/>
  <c r="S83" i="9"/>
  <c r="T83" i="9"/>
  <c r="R83" i="9"/>
  <c r="P83" i="9"/>
  <c r="V83" i="9"/>
  <c r="U83" i="9"/>
  <c r="S91" i="9"/>
  <c r="U91" i="9"/>
  <c r="T91" i="9"/>
  <c r="R91" i="9"/>
  <c r="P91" i="9"/>
  <c r="V91" i="9"/>
  <c r="S88" i="9"/>
  <c r="T88" i="9"/>
  <c r="P88" i="9"/>
  <c r="V88" i="9"/>
  <c r="R88" i="9"/>
  <c r="U88" i="9"/>
  <c r="S96" i="9"/>
  <c r="T96" i="9"/>
  <c r="P96" i="9"/>
  <c r="U96" i="9"/>
  <c r="V96" i="9"/>
  <c r="R96" i="9"/>
  <c r="S104" i="9"/>
  <c r="T104" i="9"/>
  <c r="P104" i="9"/>
  <c r="V104" i="9"/>
  <c r="R104" i="9"/>
  <c r="U104" i="9"/>
  <c r="CY52" i="9"/>
  <c r="CZ52" i="9"/>
  <c r="CX52" i="9"/>
  <c r="DB52" i="9"/>
  <c r="CV52" i="9"/>
  <c r="DA52" i="9"/>
  <c r="CY60" i="9"/>
  <c r="CX60" i="9"/>
  <c r="DB60" i="9"/>
  <c r="CZ60" i="9"/>
  <c r="CV60" i="9"/>
  <c r="DA60" i="9"/>
  <c r="CY68" i="9"/>
  <c r="CX68" i="9"/>
  <c r="DB68" i="9"/>
  <c r="CZ68" i="9"/>
  <c r="CV68" i="9"/>
  <c r="DA68" i="9"/>
  <c r="CY51" i="9"/>
  <c r="CZ51" i="9"/>
  <c r="DB51" i="9"/>
  <c r="CX51" i="9"/>
  <c r="CV51" i="9"/>
  <c r="DA51" i="9"/>
  <c r="CY59" i="9"/>
  <c r="CZ59" i="9"/>
  <c r="DB59" i="9"/>
  <c r="CX59" i="9"/>
  <c r="CV59" i="9"/>
  <c r="DA59" i="9"/>
  <c r="CY67" i="9"/>
  <c r="DB67" i="9"/>
  <c r="CZ67" i="9"/>
  <c r="CX67" i="9"/>
  <c r="CV67" i="9"/>
  <c r="DA67" i="9"/>
  <c r="CD47" i="9"/>
  <c r="BZ47" i="9"/>
  <c r="CF47" i="9"/>
  <c r="CC47" i="9"/>
  <c r="CE47" i="9"/>
  <c r="CG47" i="9"/>
  <c r="CA47" i="9"/>
  <c r="CD51" i="9"/>
  <c r="CF51" i="9"/>
  <c r="BZ51" i="9"/>
  <c r="CC51" i="9"/>
  <c r="CE51" i="9"/>
  <c r="CG51" i="9"/>
  <c r="CA51" i="9"/>
  <c r="BI47" i="9"/>
  <c r="BL47" i="9"/>
  <c r="BJ47" i="9"/>
  <c r="BH47" i="9"/>
  <c r="BF47" i="9"/>
  <c r="BK47" i="9"/>
  <c r="BI55" i="9"/>
  <c r="BL55" i="9"/>
  <c r="BJ55" i="9"/>
  <c r="BH55" i="9"/>
  <c r="BF55" i="9"/>
  <c r="BK55" i="9"/>
  <c r="BI63" i="9"/>
  <c r="BL63" i="9"/>
  <c r="BJ63" i="9"/>
  <c r="BH63" i="9"/>
  <c r="BF63" i="9"/>
  <c r="BE63" i="9"/>
  <c r="BK63" i="9"/>
  <c r="BI48" i="9"/>
  <c r="BF48" i="9"/>
  <c r="BJ48" i="9"/>
  <c r="BH48" i="9"/>
  <c r="BL48" i="9"/>
  <c r="BK48" i="9"/>
  <c r="BI56" i="9"/>
  <c r="BF56" i="9"/>
  <c r="BJ56" i="9"/>
  <c r="BH56" i="9"/>
  <c r="BL56" i="9"/>
  <c r="BK56" i="9"/>
  <c r="BI64" i="9"/>
  <c r="BF64" i="9"/>
  <c r="BJ64" i="9"/>
  <c r="BH64" i="9"/>
  <c r="BL64" i="9"/>
  <c r="BK64" i="9"/>
  <c r="AJ48" i="9"/>
  <c r="BE47" i="9"/>
  <c r="BG67" i="9"/>
  <c r="BZ65" i="9"/>
  <c r="CW52" i="9"/>
  <c r="CU68" i="9"/>
  <c r="Q83" i="9"/>
  <c r="BN83" i="9"/>
  <c r="BN89" i="9"/>
  <c r="BN91" i="9"/>
  <c r="BN87" i="9"/>
  <c r="BN85" i="9"/>
  <c r="AD53" i="9"/>
  <c r="AE53" i="9"/>
  <c r="AB53" i="9"/>
  <c r="AD69" i="9"/>
  <c r="AE69" i="9"/>
  <c r="AB69" i="9"/>
  <c r="AN46" i="9"/>
  <c r="AP46" i="9"/>
  <c r="AQ46" i="9"/>
  <c r="AM46" i="9"/>
  <c r="AO46" i="9"/>
  <c r="AK46" i="9"/>
  <c r="AN62" i="9"/>
  <c r="AP62" i="9"/>
  <c r="AQ62" i="9"/>
  <c r="AM62" i="9"/>
  <c r="AO62" i="9"/>
  <c r="AK62" i="9"/>
  <c r="AI70" i="9"/>
  <c r="AL70" i="9"/>
  <c r="AN70" i="9"/>
  <c r="AQ70" i="9"/>
  <c r="AM70" i="9"/>
  <c r="AO70" i="9"/>
  <c r="AK70" i="9"/>
  <c r="AJ70" i="9"/>
  <c r="AP70" i="9"/>
  <c r="AN49" i="9"/>
  <c r="AP49" i="9"/>
  <c r="AQ49" i="9"/>
  <c r="AO49" i="9"/>
  <c r="AM49" i="9"/>
  <c r="AK49" i="9"/>
  <c r="AN61" i="9"/>
  <c r="AP61" i="9"/>
  <c r="AQ61" i="9"/>
  <c r="AO61" i="9"/>
  <c r="AM61" i="9"/>
  <c r="AK61" i="9"/>
  <c r="AN65" i="9"/>
  <c r="AP65" i="9"/>
  <c r="AQ65" i="9"/>
  <c r="AO65" i="9"/>
  <c r="AM65" i="9"/>
  <c r="AK65" i="9"/>
  <c r="DH52" i="9"/>
  <c r="DJ52" i="9"/>
  <c r="DK52" i="9"/>
  <c r="DJ68" i="9"/>
  <c r="DK68" i="9"/>
  <c r="DH68" i="9"/>
  <c r="DT50" i="9"/>
  <c r="DP50" i="9"/>
  <c r="DV50" i="9"/>
  <c r="DU50" i="9"/>
  <c r="DS50" i="9"/>
  <c r="DW50" i="9"/>
  <c r="DQ50" i="9"/>
  <c r="DT54" i="9"/>
  <c r="DV54" i="9"/>
  <c r="DU54" i="9"/>
  <c r="DS54" i="9"/>
  <c r="DW54" i="9"/>
  <c r="DQ54" i="9"/>
  <c r="DT62" i="9"/>
  <c r="DU62" i="9"/>
  <c r="DS62" i="9"/>
  <c r="DV62" i="9"/>
  <c r="DW62" i="9"/>
  <c r="DQ62" i="9"/>
  <c r="DP62" i="9"/>
  <c r="DT66" i="9"/>
  <c r="DV66" i="9"/>
  <c r="DU66" i="9"/>
  <c r="DS66" i="9"/>
  <c r="DW66" i="9"/>
  <c r="DQ66" i="9"/>
  <c r="DT74" i="9"/>
  <c r="DV74" i="9"/>
  <c r="DU74" i="9"/>
  <c r="DS74" i="9"/>
  <c r="DW74" i="9"/>
  <c r="DQ74" i="9"/>
  <c r="DH59" i="9"/>
  <c r="DK59" i="9"/>
  <c r="DJ59" i="9"/>
  <c r="DJ44" i="9"/>
  <c r="DH44" i="9"/>
  <c r="DK44" i="9"/>
  <c r="DT49" i="9"/>
  <c r="DV49" i="9"/>
  <c r="DW49" i="9"/>
  <c r="DU49" i="9"/>
  <c r="DQ49" i="9"/>
  <c r="DS49" i="9"/>
  <c r="DT57" i="9"/>
  <c r="DW57" i="9"/>
  <c r="DU57" i="9"/>
  <c r="DQ57" i="9"/>
  <c r="DS57" i="9"/>
  <c r="DV57" i="9"/>
  <c r="DT65" i="9"/>
  <c r="DW65" i="9"/>
  <c r="DU65" i="9"/>
  <c r="DV65" i="9"/>
  <c r="DQ65" i="9"/>
  <c r="DS65" i="9"/>
  <c r="DT69" i="9"/>
  <c r="DV69" i="9"/>
  <c r="DW69" i="9"/>
  <c r="DU69" i="9"/>
  <c r="DQ69" i="9"/>
  <c r="DS69" i="9"/>
  <c r="DT73" i="9"/>
  <c r="DV73" i="9"/>
  <c r="DW73" i="9"/>
  <c r="DU73" i="9"/>
  <c r="DQ73" i="9"/>
  <c r="DS73" i="9"/>
  <c r="J94" i="9"/>
  <c r="G94" i="9"/>
  <c r="I94" i="9"/>
  <c r="I110" i="9"/>
  <c r="J110" i="9"/>
  <c r="G110" i="9"/>
  <c r="S89" i="9"/>
  <c r="U89" i="9"/>
  <c r="T89" i="9"/>
  <c r="R89" i="9"/>
  <c r="P89" i="9"/>
  <c r="V89" i="9"/>
  <c r="S93" i="9"/>
  <c r="T93" i="9"/>
  <c r="R93" i="9"/>
  <c r="P93" i="9"/>
  <c r="V93" i="9"/>
  <c r="O93" i="9"/>
  <c r="U93" i="9"/>
  <c r="S105" i="9"/>
  <c r="T105" i="9"/>
  <c r="R105" i="9"/>
  <c r="P105" i="9"/>
  <c r="V105" i="9"/>
  <c r="U105" i="9"/>
  <c r="S109" i="9"/>
  <c r="T109" i="9"/>
  <c r="R109" i="9"/>
  <c r="P109" i="9"/>
  <c r="V109" i="9"/>
  <c r="U109" i="9"/>
  <c r="CM55" i="9"/>
  <c r="CO55" i="9"/>
  <c r="CP55" i="9"/>
  <c r="CP71" i="9"/>
  <c r="CM71" i="9"/>
  <c r="CO71" i="9"/>
  <c r="CY54" i="9"/>
  <c r="CV54" i="9"/>
  <c r="CU54" i="9"/>
  <c r="CZ54" i="9"/>
  <c r="CX54" i="9"/>
  <c r="DB54" i="9"/>
  <c r="DA54" i="9"/>
  <c r="CY58" i="9"/>
  <c r="CV58" i="9"/>
  <c r="CZ58" i="9"/>
  <c r="CX58" i="9"/>
  <c r="DB58" i="9"/>
  <c r="DA58" i="9"/>
  <c r="CU58" i="9"/>
  <c r="CY62" i="9"/>
  <c r="CV62" i="9"/>
  <c r="CX62" i="9"/>
  <c r="DB62" i="9"/>
  <c r="CZ62" i="9"/>
  <c r="DA62" i="9"/>
  <c r="CY66" i="9"/>
  <c r="CV66" i="9"/>
  <c r="CX66" i="9"/>
  <c r="DB66" i="9"/>
  <c r="CZ66" i="9"/>
  <c r="DA66" i="9"/>
  <c r="CY70" i="9"/>
  <c r="CV70" i="9"/>
  <c r="CX70" i="9"/>
  <c r="DB70" i="9"/>
  <c r="CZ70" i="9"/>
  <c r="DA70" i="9"/>
  <c r="CY74" i="9"/>
  <c r="CV74" i="9"/>
  <c r="CX74" i="9"/>
  <c r="DB74" i="9"/>
  <c r="CZ74" i="9"/>
  <c r="DA74" i="9"/>
  <c r="CY49" i="9"/>
  <c r="DB49" i="9"/>
  <c r="CX49" i="9"/>
  <c r="CV49" i="9"/>
  <c r="DA49" i="9"/>
  <c r="CZ49" i="9"/>
  <c r="CU49" i="9"/>
  <c r="CY57" i="9"/>
  <c r="DB57" i="9"/>
  <c r="CX57" i="9"/>
  <c r="CV57" i="9"/>
  <c r="CZ57" i="9"/>
  <c r="DA57" i="9"/>
  <c r="CY61" i="9"/>
  <c r="DB61" i="9"/>
  <c r="CZ61" i="9"/>
  <c r="CX61" i="9"/>
  <c r="CV61" i="9"/>
  <c r="DA61" i="9"/>
  <c r="CY65" i="9"/>
  <c r="DB65" i="9"/>
  <c r="CZ65" i="9"/>
  <c r="CX65" i="9"/>
  <c r="CV65" i="9"/>
  <c r="DA65" i="9"/>
  <c r="CY69" i="9"/>
  <c r="DB69" i="9"/>
  <c r="CZ69" i="9"/>
  <c r="CX69" i="9"/>
  <c r="CV69" i="9"/>
  <c r="DA69" i="9"/>
  <c r="CY73" i="9"/>
  <c r="DB73" i="9"/>
  <c r="CZ73" i="9"/>
  <c r="CX73" i="9"/>
  <c r="CV73" i="9"/>
  <c r="DA73" i="9"/>
  <c r="AF80" i="9"/>
  <c r="AG80" i="9"/>
  <c r="AF107" i="9"/>
  <c r="AG107" i="9"/>
  <c r="AF103" i="9"/>
  <c r="AG103" i="9"/>
  <c r="AF99" i="9"/>
  <c r="AG99" i="9"/>
  <c r="AF95" i="9"/>
  <c r="AG95" i="9"/>
  <c r="AF91" i="9"/>
  <c r="AG91" i="9"/>
  <c r="AF87" i="9"/>
  <c r="AG87" i="9"/>
  <c r="AF83" i="9"/>
  <c r="AG83" i="9"/>
  <c r="AC80" i="9"/>
  <c r="AC107" i="9"/>
  <c r="AC103" i="9"/>
  <c r="AC99" i="9"/>
  <c r="AC95" i="9"/>
  <c r="AC91" i="9"/>
  <c r="AC87" i="9"/>
  <c r="AC83" i="9"/>
  <c r="AG110" i="9"/>
  <c r="AF110" i="9"/>
  <c r="AF106" i="9"/>
  <c r="AG106" i="9"/>
  <c r="AF102" i="9"/>
  <c r="AG102" i="9"/>
  <c r="AF98" i="9"/>
  <c r="AG98" i="9"/>
  <c r="AF94" i="9"/>
  <c r="AG94" i="9"/>
  <c r="AF90" i="9"/>
  <c r="AG90" i="9"/>
  <c r="AF86" i="9"/>
  <c r="AG86" i="9"/>
  <c r="AF82" i="9"/>
  <c r="AG82" i="9"/>
  <c r="AE108" i="9"/>
  <c r="AB108" i="9"/>
  <c r="AD108" i="9"/>
  <c r="AD104" i="9"/>
  <c r="AE104" i="9"/>
  <c r="AB104" i="9"/>
  <c r="AD100" i="9"/>
  <c r="AE100" i="9"/>
  <c r="AD96" i="9"/>
  <c r="AE96" i="9"/>
  <c r="AE92" i="9"/>
  <c r="AD92" i="9"/>
  <c r="AE88" i="9"/>
  <c r="AD88" i="9"/>
  <c r="AE84" i="9"/>
  <c r="AD84" i="9"/>
  <c r="AB84" i="9"/>
  <c r="AH84" i="9"/>
  <c r="BT48" i="9"/>
  <c r="BU48" i="9"/>
  <c r="BR48" i="9"/>
  <c r="BT56" i="9"/>
  <c r="BU56" i="9"/>
  <c r="BR56" i="9"/>
  <c r="BT64" i="9"/>
  <c r="BU64" i="9"/>
  <c r="BR64" i="9"/>
  <c r="BT72" i="9"/>
  <c r="BU72" i="9"/>
  <c r="BR72" i="9"/>
  <c r="CD45" i="9"/>
  <c r="CG45" i="9"/>
  <c r="CA45" i="9"/>
  <c r="CC45" i="9"/>
  <c r="CE45" i="9"/>
  <c r="CF45" i="9"/>
  <c r="CD49" i="9"/>
  <c r="CG49" i="9"/>
  <c r="CA49" i="9"/>
  <c r="CC49" i="9"/>
  <c r="CE49" i="9"/>
  <c r="CF49" i="9"/>
  <c r="AY46" i="9"/>
  <c r="AZ46" i="9"/>
  <c r="AW46" i="9"/>
  <c r="AY54" i="9"/>
  <c r="AZ54" i="9"/>
  <c r="AW54" i="9"/>
  <c r="AW62" i="9"/>
  <c r="AZ62" i="9"/>
  <c r="AY62" i="9"/>
  <c r="AZ70" i="9"/>
  <c r="AW70" i="9"/>
  <c r="AY70" i="9"/>
  <c r="BG57" i="9"/>
  <c r="AU81" i="9"/>
  <c r="AU83" i="9"/>
  <c r="AU85" i="9"/>
  <c r="AU87" i="9"/>
  <c r="AU89" i="9"/>
  <c r="AU91" i="9"/>
  <c r="AU93" i="9"/>
  <c r="AU95" i="9"/>
  <c r="AU97" i="9"/>
  <c r="AU99" i="9"/>
  <c r="AU101" i="9"/>
  <c r="AU103" i="9"/>
  <c r="AU105" i="9"/>
  <c r="AU107" i="9"/>
  <c r="AU109" i="9"/>
  <c r="AU80" i="9"/>
  <c r="AX101" i="9"/>
  <c r="AX103" i="9"/>
  <c r="AX105" i="9"/>
  <c r="AX107" i="9"/>
  <c r="AX109" i="9"/>
  <c r="AX80" i="9"/>
  <c r="AW101" i="9"/>
  <c r="AU82" i="9"/>
  <c r="AU84" i="9"/>
  <c r="AU86" i="9"/>
  <c r="AU88" i="9"/>
  <c r="AU90" i="9"/>
  <c r="AU92" i="9"/>
  <c r="AU94" i="9"/>
  <c r="AU96" i="9"/>
  <c r="AU98" i="9"/>
  <c r="AU100" i="9"/>
  <c r="AU102" i="9"/>
  <c r="AX102" i="9"/>
  <c r="AU104" i="9"/>
  <c r="AU106" i="9"/>
  <c r="AX106" i="9"/>
  <c r="AU108" i="9"/>
  <c r="AU110" i="9"/>
  <c r="AX110" i="9"/>
  <c r="AB51" i="9"/>
  <c r="AE51" i="9"/>
  <c r="AD51" i="9"/>
  <c r="AD59" i="9"/>
  <c r="AE59" i="9"/>
  <c r="AB59" i="9"/>
  <c r="AD67" i="9"/>
  <c r="AE67" i="9"/>
  <c r="AB67" i="9"/>
  <c r="AH60" i="9"/>
  <c r="AJ60" i="9"/>
  <c r="AI60" i="9"/>
  <c r="AL60" i="9"/>
  <c r="AH74" i="9"/>
  <c r="AJ74" i="9"/>
  <c r="AH52" i="9"/>
  <c r="AN52" i="9"/>
  <c r="AO52" i="9"/>
  <c r="AK52" i="9"/>
  <c r="AQ52" i="9"/>
  <c r="AM52" i="9"/>
  <c r="AJ52" i="9"/>
  <c r="AP52" i="9"/>
  <c r="AN60" i="9"/>
  <c r="AP60" i="9"/>
  <c r="AO60" i="9"/>
  <c r="AK60" i="9"/>
  <c r="AQ60" i="9"/>
  <c r="AM60" i="9"/>
  <c r="AN72" i="9"/>
  <c r="AO72" i="9"/>
  <c r="AK72" i="9"/>
  <c r="AQ72" i="9"/>
  <c r="AM72" i="9"/>
  <c r="AP72" i="9"/>
  <c r="DT68" i="9"/>
  <c r="DV68" i="9"/>
  <c r="DW68" i="9"/>
  <c r="DQ68" i="9"/>
  <c r="DU68" i="9"/>
  <c r="DS68" i="9"/>
  <c r="DT72" i="9"/>
  <c r="DV72" i="9"/>
  <c r="DW72" i="9"/>
  <c r="DQ72" i="9"/>
  <c r="DU72" i="9"/>
  <c r="DS72" i="9"/>
  <c r="DT47" i="9"/>
  <c r="DQ47" i="9"/>
  <c r="DS47" i="9"/>
  <c r="DW47" i="9"/>
  <c r="DU47" i="9"/>
  <c r="DV47" i="9"/>
  <c r="DT51" i="9"/>
  <c r="DQ51" i="9"/>
  <c r="DS51" i="9"/>
  <c r="DV51" i="9"/>
  <c r="DW51" i="9"/>
  <c r="DU51" i="9"/>
  <c r="DT55" i="9"/>
  <c r="DQ55" i="9"/>
  <c r="DS55" i="9"/>
  <c r="DV55" i="9"/>
  <c r="DW55" i="9"/>
  <c r="DU55" i="9"/>
  <c r="DT59" i="9"/>
  <c r="DQ59" i="9"/>
  <c r="DS59" i="9"/>
  <c r="DV59" i="9"/>
  <c r="DW59" i="9"/>
  <c r="DU59" i="9"/>
  <c r="DT63" i="9"/>
  <c r="DQ63" i="9"/>
  <c r="DS63" i="9"/>
  <c r="DW63" i="9"/>
  <c r="DU63" i="9"/>
  <c r="DV63" i="9"/>
  <c r="DT67" i="9"/>
  <c r="DV67" i="9"/>
  <c r="DQ67" i="9"/>
  <c r="DS67" i="9"/>
  <c r="DW67" i="9"/>
  <c r="DU67" i="9"/>
  <c r="DT71" i="9"/>
  <c r="DV71" i="9"/>
  <c r="DQ71" i="9"/>
  <c r="DS71" i="9"/>
  <c r="DW71" i="9"/>
  <c r="DU71" i="9"/>
  <c r="G88" i="9"/>
  <c r="J88" i="9"/>
  <c r="I88" i="9"/>
  <c r="G96" i="9"/>
  <c r="J96" i="9"/>
  <c r="I96" i="9"/>
  <c r="I104" i="9"/>
  <c r="J104" i="9"/>
  <c r="G104" i="9"/>
  <c r="Q95" i="9"/>
  <c r="S99" i="9"/>
  <c r="T99" i="9"/>
  <c r="R99" i="9"/>
  <c r="P99" i="9"/>
  <c r="V99" i="9"/>
  <c r="U99" i="9"/>
  <c r="S103" i="9"/>
  <c r="U103" i="9"/>
  <c r="T103" i="9"/>
  <c r="R103" i="9"/>
  <c r="P103" i="9"/>
  <c r="V103" i="9"/>
  <c r="O103" i="9"/>
  <c r="S107" i="9"/>
  <c r="O107" i="9"/>
  <c r="T107" i="9"/>
  <c r="R107" i="9"/>
  <c r="P107" i="9"/>
  <c r="V107" i="9"/>
  <c r="U107" i="9"/>
  <c r="BR50" i="9"/>
  <c r="BT50" i="9"/>
  <c r="BU50" i="9"/>
  <c r="BT58" i="9"/>
  <c r="BU58" i="9"/>
  <c r="BR58" i="9"/>
  <c r="BT66" i="9"/>
  <c r="BU66" i="9"/>
  <c r="BR66" i="9"/>
  <c r="BT74" i="9"/>
  <c r="BU74" i="9"/>
  <c r="BR74" i="9"/>
  <c r="CB47" i="9"/>
  <c r="CD59" i="9"/>
  <c r="CC59" i="9"/>
  <c r="CE59" i="9"/>
  <c r="CG59" i="9"/>
  <c r="CA59" i="9"/>
  <c r="BZ59" i="9"/>
  <c r="CF59" i="9"/>
  <c r="CD63" i="9"/>
  <c r="CC63" i="9"/>
  <c r="CE63" i="9"/>
  <c r="CG63" i="9"/>
  <c r="CA63" i="9"/>
  <c r="BZ63" i="9"/>
  <c r="CF63" i="9"/>
  <c r="CD67" i="9"/>
  <c r="CE67" i="9"/>
  <c r="CG67" i="9"/>
  <c r="CC67" i="9"/>
  <c r="CA67" i="9"/>
  <c r="CF67" i="9"/>
  <c r="CD71" i="9"/>
  <c r="CE71" i="9"/>
  <c r="CG71" i="9"/>
  <c r="CC71" i="9"/>
  <c r="CA71" i="9"/>
  <c r="CF71" i="9"/>
  <c r="CD46" i="9"/>
  <c r="CE46" i="9"/>
  <c r="CA46" i="9"/>
  <c r="CG46" i="9"/>
  <c r="CC46" i="9"/>
  <c r="CF46" i="9"/>
  <c r="CD50" i="9"/>
  <c r="CE50" i="9"/>
  <c r="CA50" i="9"/>
  <c r="CG50" i="9"/>
  <c r="CC50" i="9"/>
  <c r="CF50" i="9"/>
  <c r="CD54" i="9"/>
  <c r="CE54" i="9"/>
  <c r="CA54" i="9"/>
  <c r="CG54" i="9"/>
  <c r="CC54" i="9"/>
  <c r="CF54" i="9"/>
  <c r="CD58" i="9"/>
  <c r="CE58" i="9"/>
  <c r="CA58" i="9"/>
  <c r="CG58" i="9"/>
  <c r="CC58" i="9"/>
  <c r="CF58" i="9"/>
  <c r="CD62" i="9"/>
  <c r="CE62" i="9"/>
  <c r="CA62" i="9"/>
  <c r="CG62" i="9"/>
  <c r="CC62" i="9"/>
  <c r="CF62" i="9"/>
  <c r="CD66" i="9"/>
  <c r="CE66" i="9"/>
  <c r="CA66" i="9"/>
  <c r="CG66" i="9"/>
  <c r="CC66" i="9"/>
  <c r="CF66" i="9"/>
  <c r="CD70" i="9"/>
  <c r="CE70" i="9"/>
  <c r="CA70" i="9"/>
  <c r="CG70" i="9"/>
  <c r="CC70" i="9"/>
  <c r="CF70" i="9"/>
  <c r="CD74" i="9"/>
  <c r="CE74" i="9"/>
  <c r="CA74" i="9"/>
  <c r="CG74" i="9"/>
  <c r="CC74" i="9"/>
  <c r="CF74" i="9"/>
  <c r="AW52" i="9"/>
  <c r="AY52" i="9"/>
  <c r="AZ52" i="9"/>
  <c r="AW60" i="9"/>
  <c r="AZ60" i="9"/>
  <c r="AY60" i="9"/>
  <c r="AW68" i="9"/>
  <c r="AY68" i="9"/>
  <c r="AZ68" i="9"/>
  <c r="BD59" i="9"/>
  <c r="BG59" i="9"/>
  <c r="BD63" i="9"/>
  <c r="BG63" i="9"/>
  <c r="BI44" i="9"/>
  <c r="BK44" i="9"/>
  <c r="BE44" i="9"/>
  <c r="BL44" i="9"/>
  <c r="BJ44" i="9"/>
  <c r="BH44" i="9"/>
  <c r="BF44" i="9"/>
  <c r="DO46" i="9"/>
  <c r="DR46" i="9"/>
  <c r="DN46" i="9"/>
  <c r="DP46" i="9"/>
  <c r="DR50" i="9"/>
  <c r="DO54" i="9"/>
  <c r="DR54" i="9"/>
  <c r="DN54" i="9"/>
  <c r="DP54" i="9"/>
  <c r="DR62" i="9"/>
  <c r="CW49" i="9"/>
  <c r="DO45" i="9"/>
  <c r="DR45" i="9"/>
  <c r="DN45" i="9"/>
  <c r="DP45" i="9"/>
  <c r="DN53" i="9"/>
  <c r="DP53" i="9"/>
  <c r="DO53" i="9"/>
  <c r="DR53" i="9"/>
  <c r="AL68" i="9"/>
  <c r="BG55" i="9"/>
  <c r="BG51" i="9"/>
  <c r="CW48" i="9"/>
  <c r="CU64" i="9"/>
  <c r="CU60" i="9"/>
  <c r="Q91" i="9"/>
  <c r="Q87" i="9"/>
  <c r="AE45" i="9"/>
  <c r="AD45" i="9"/>
  <c r="AB45" i="9"/>
  <c r="AD61" i="9"/>
  <c r="AE61" i="9"/>
  <c r="AB61" i="9"/>
  <c r="AH62" i="9"/>
  <c r="AJ62" i="9"/>
  <c r="AI62" i="9"/>
  <c r="AL62" i="9"/>
  <c r="AH46" i="9"/>
  <c r="AJ46" i="9"/>
  <c r="AN50" i="9"/>
  <c r="AP50" i="9"/>
  <c r="AQ50" i="9"/>
  <c r="AM50" i="9"/>
  <c r="AO50" i="9"/>
  <c r="AK50" i="9"/>
  <c r="AN58" i="9"/>
  <c r="AP58" i="9"/>
  <c r="AQ58" i="9"/>
  <c r="AM58" i="9"/>
  <c r="AO58" i="9"/>
  <c r="AK58" i="9"/>
  <c r="AN45" i="9"/>
  <c r="AP45" i="9"/>
  <c r="AQ45" i="9"/>
  <c r="AO45" i="9"/>
  <c r="AM45" i="9"/>
  <c r="AK45" i="9"/>
  <c r="AN57" i="9"/>
  <c r="AP57" i="9"/>
  <c r="AQ57" i="9"/>
  <c r="AO57" i="9"/>
  <c r="AM57" i="9"/>
  <c r="AK57" i="9"/>
  <c r="AN69" i="9"/>
  <c r="AQ69" i="9"/>
  <c r="AO69" i="9"/>
  <c r="AM69" i="9"/>
  <c r="AK69" i="9"/>
  <c r="AP69" i="9"/>
  <c r="AN73" i="9"/>
  <c r="AQ73" i="9"/>
  <c r="AO73" i="9"/>
  <c r="AM73" i="9"/>
  <c r="AK73" i="9"/>
  <c r="AP73" i="9"/>
  <c r="DJ60" i="9"/>
  <c r="DK60" i="9"/>
  <c r="DH60" i="9"/>
  <c r="DT70" i="9"/>
  <c r="DV70" i="9"/>
  <c r="DU70" i="9"/>
  <c r="DS70" i="9"/>
  <c r="DW70" i="9"/>
  <c r="DQ70" i="9"/>
  <c r="DJ51" i="9"/>
  <c r="DH51" i="9"/>
  <c r="DK51" i="9"/>
  <c r="DJ67" i="9"/>
  <c r="DK67" i="9"/>
  <c r="DH67" i="9"/>
  <c r="DT45" i="9"/>
  <c r="DV45" i="9"/>
  <c r="DW45" i="9"/>
  <c r="DU45" i="9"/>
  <c r="DQ45" i="9"/>
  <c r="DS45" i="9"/>
  <c r="DT53" i="9"/>
  <c r="DV53" i="9"/>
  <c r="DW53" i="9"/>
  <c r="DU53" i="9"/>
  <c r="DQ53" i="9"/>
  <c r="DS53" i="9"/>
  <c r="DT61" i="9"/>
  <c r="DW61" i="9"/>
  <c r="DU61" i="9"/>
  <c r="DQ61" i="9"/>
  <c r="DS61" i="9"/>
  <c r="DV61" i="9"/>
  <c r="I86" i="9"/>
  <c r="G86" i="9"/>
  <c r="J86" i="9"/>
  <c r="J102" i="9"/>
  <c r="G102" i="9"/>
  <c r="I102" i="9"/>
  <c r="S85" i="9"/>
  <c r="O85" i="9"/>
  <c r="U85" i="9"/>
  <c r="T85" i="9"/>
  <c r="R85" i="9"/>
  <c r="P85" i="9"/>
  <c r="V85" i="9"/>
  <c r="N93" i="9"/>
  <c r="Q93" i="9"/>
  <c r="S97" i="9"/>
  <c r="T97" i="9"/>
  <c r="R97" i="9"/>
  <c r="P97" i="9"/>
  <c r="V97" i="9"/>
  <c r="O97" i="9"/>
  <c r="U97" i="9"/>
  <c r="S101" i="9"/>
  <c r="T101" i="9"/>
  <c r="R101" i="9"/>
  <c r="P101" i="9"/>
  <c r="V101" i="9"/>
  <c r="O101" i="9"/>
  <c r="U101" i="9"/>
  <c r="CP47" i="9"/>
  <c r="CO47" i="9"/>
  <c r="CM47" i="9"/>
  <c r="CM63" i="9"/>
  <c r="CO63" i="9"/>
  <c r="CP63" i="9"/>
  <c r="CY46" i="9"/>
  <c r="CV46" i="9"/>
  <c r="CU46" i="9"/>
  <c r="CZ46" i="9"/>
  <c r="CX46" i="9"/>
  <c r="DB46" i="9"/>
  <c r="DA46" i="9"/>
  <c r="CY50" i="9"/>
  <c r="CV50" i="9"/>
  <c r="DA50" i="9"/>
  <c r="CZ50" i="9"/>
  <c r="CX50" i="9"/>
  <c r="DB50" i="9"/>
  <c r="CU50" i="9"/>
  <c r="Q48" i="9"/>
  <c r="M55" i="9"/>
  <c r="O55" i="9"/>
  <c r="M59" i="9"/>
  <c r="O59" i="9"/>
  <c r="AJ68" i="9"/>
  <c r="AL48" i="9"/>
  <c r="BE55" i="9"/>
  <c r="BG47" i="9"/>
  <c r="BE51" i="9"/>
  <c r="BE67" i="9"/>
  <c r="CB65" i="9"/>
  <c r="BZ69" i="9"/>
  <c r="CB45" i="9"/>
  <c r="BZ49" i="9"/>
  <c r="CU52" i="9"/>
  <c r="CW66" i="9"/>
  <c r="CW65" i="9"/>
  <c r="CU48" i="9"/>
  <c r="CW62" i="9"/>
  <c r="CW64" i="9"/>
  <c r="CW57" i="9"/>
  <c r="CW60" i="9"/>
  <c r="CW68" i="9"/>
  <c r="CW69" i="9"/>
  <c r="CW61" i="9"/>
  <c r="DP61" i="9"/>
  <c r="DP57" i="9"/>
  <c r="DR65" i="9"/>
  <c r="O91" i="9"/>
  <c r="O83" i="9"/>
  <c r="O87" i="9"/>
  <c r="Q105" i="9"/>
  <c r="M41" i="9"/>
  <c r="DD81" i="9"/>
  <c r="CI81" i="9"/>
  <c r="AE49" i="9"/>
  <c r="AD49" i="9"/>
  <c r="AB49" i="9"/>
  <c r="AE57" i="9"/>
  <c r="AD57" i="9"/>
  <c r="AB57" i="9"/>
  <c r="AD65" i="9"/>
  <c r="AE65" i="9"/>
  <c r="AB65" i="9"/>
  <c r="AD73" i="9"/>
  <c r="AE73" i="9"/>
  <c r="AB73" i="9"/>
  <c r="AI50" i="9"/>
  <c r="AL50" i="9"/>
  <c r="AH50" i="9"/>
  <c r="AJ50" i="9"/>
  <c r="AH58" i="9"/>
  <c r="AJ58" i="9"/>
  <c r="AI58" i="9"/>
  <c r="AL58" i="9"/>
  <c r="AP44" i="9"/>
  <c r="AN44" i="9"/>
  <c r="AJ44" i="9"/>
  <c r="AQ44" i="9"/>
  <c r="AO44" i="9"/>
  <c r="AM44" i="9"/>
  <c r="AK44" i="9"/>
  <c r="AH54" i="9"/>
  <c r="AJ54" i="9"/>
  <c r="AI66" i="9"/>
  <c r="AL66" i="9"/>
  <c r="DK48" i="9"/>
  <c r="DJ48" i="9"/>
  <c r="DH48" i="9"/>
  <c r="DK56" i="9"/>
  <c r="DJ56" i="9"/>
  <c r="DH56" i="9"/>
  <c r="DK64" i="9"/>
  <c r="DH64" i="9"/>
  <c r="DJ64" i="9"/>
  <c r="DJ72" i="9"/>
  <c r="DK72" i="9"/>
  <c r="DH72" i="9"/>
  <c r="DK47" i="9"/>
  <c r="DJ47" i="9"/>
  <c r="DH47" i="9"/>
  <c r="DH55" i="9"/>
  <c r="DJ55" i="9"/>
  <c r="DK55" i="9"/>
  <c r="DK63" i="9"/>
  <c r="DH63" i="9"/>
  <c r="DJ63" i="9"/>
  <c r="DJ71" i="9"/>
  <c r="DK71" i="9"/>
  <c r="DH71" i="9"/>
  <c r="I82" i="9"/>
  <c r="G82" i="9"/>
  <c r="J82" i="9"/>
  <c r="I90" i="9"/>
  <c r="J90" i="9"/>
  <c r="G90" i="9"/>
  <c r="J98" i="9"/>
  <c r="G98" i="9"/>
  <c r="I98" i="9"/>
  <c r="I106" i="9"/>
  <c r="J106" i="9"/>
  <c r="G106" i="9"/>
  <c r="S110" i="9"/>
  <c r="V110" i="9"/>
  <c r="R110" i="9"/>
  <c r="T110" i="9"/>
  <c r="P110" i="9"/>
  <c r="U110" i="9"/>
  <c r="CP51" i="9"/>
  <c r="CO51" i="9"/>
  <c r="CM51" i="9"/>
  <c r="CM59" i="9"/>
  <c r="CP59" i="9"/>
  <c r="CO59" i="9"/>
  <c r="CO67" i="9"/>
  <c r="CP67" i="9"/>
  <c r="CM67" i="9"/>
  <c r="CO44" i="9"/>
  <c r="CM44" i="9"/>
  <c r="CP44" i="9"/>
  <c r="CW45" i="9"/>
  <c r="CW53" i="9"/>
  <c r="AF109" i="9"/>
  <c r="AG109" i="9"/>
  <c r="AF105" i="9"/>
  <c r="AG105" i="9"/>
  <c r="AF101" i="9"/>
  <c r="AG101" i="9"/>
  <c r="AF97" i="9"/>
  <c r="AG97" i="9"/>
  <c r="AF93" i="9"/>
  <c r="AG93" i="9"/>
  <c r="AF89" i="9"/>
  <c r="AG89" i="9"/>
  <c r="AF85" i="9"/>
  <c r="AG85" i="9"/>
  <c r="AF81" i="9"/>
  <c r="AG81" i="9"/>
  <c r="AB96" i="9"/>
  <c r="AB88" i="9"/>
  <c r="AH88" i="9"/>
  <c r="AC109" i="9"/>
  <c r="AC105" i="9"/>
  <c r="AC101" i="9"/>
  <c r="AC97" i="9"/>
  <c r="AC93" i="9"/>
  <c r="AC89" i="9"/>
  <c r="AC85" i="9"/>
  <c r="AC81" i="9"/>
  <c r="AF108" i="9"/>
  <c r="AG108" i="9"/>
  <c r="AF104" i="9"/>
  <c r="AG104" i="9"/>
  <c r="AF100" i="9"/>
  <c r="AG100" i="9"/>
  <c r="AF96" i="9"/>
  <c r="AG96" i="9"/>
  <c r="AI92" i="9"/>
  <c r="AF92" i="9"/>
  <c r="AG92" i="9"/>
  <c r="AH92" i="9"/>
  <c r="AF88" i="9"/>
  <c r="AG88" i="9"/>
  <c r="AI84" i="9"/>
  <c r="AF84" i="9"/>
  <c r="AG84" i="9"/>
  <c r="AC110" i="9"/>
  <c r="AC106" i="9"/>
  <c r="AC102" i="9"/>
  <c r="AC98" i="9"/>
  <c r="AC94" i="9"/>
  <c r="AC90" i="9"/>
  <c r="AC86" i="9"/>
  <c r="AC82" i="9"/>
  <c r="BT52" i="9"/>
  <c r="BU52" i="9"/>
  <c r="BR52" i="9"/>
  <c r="BT60" i="9"/>
  <c r="BU60" i="9"/>
  <c r="BR60" i="9"/>
  <c r="BU68" i="9"/>
  <c r="BR68" i="9"/>
  <c r="BT68" i="9"/>
  <c r="CB53" i="9"/>
  <c r="CB57" i="9"/>
  <c r="CD73" i="9"/>
  <c r="CG73" i="9"/>
  <c r="CC73" i="9"/>
  <c r="CA73" i="9"/>
  <c r="CE73" i="9"/>
  <c r="CF73" i="9"/>
  <c r="CD72" i="9"/>
  <c r="CC72" i="9"/>
  <c r="CE72" i="9"/>
  <c r="CA72" i="9"/>
  <c r="CG72" i="9"/>
  <c r="CF72" i="9"/>
  <c r="AY50" i="9"/>
  <c r="AZ50" i="9"/>
  <c r="AW50" i="9"/>
  <c r="AW58" i="9"/>
  <c r="AZ58" i="9"/>
  <c r="AY58" i="9"/>
  <c r="AW66" i="9"/>
  <c r="AZ66" i="9"/>
  <c r="AY66" i="9"/>
  <c r="AZ74" i="9"/>
  <c r="AW74" i="9"/>
  <c r="AY74" i="9"/>
  <c r="BI45" i="9"/>
  <c r="BE45" i="9"/>
  <c r="BK45" i="9"/>
  <c r="BH45" i="9"/>
  <c r="BF45" i="9"/>
  <c r="BL45" i="9"/>
  <c r="BJ45" i="9"/>
  <c r="BG49" i="9"/>
  <c r="BG53" i="9"/>
  <c r="BG61" i="9"/>
  <c r="BG65" i="9"/>
  <c r="BI69" i="9"/>
  <c r="BH69" i="9"/>
  <c r="BF69" i="9"/>
  <c r="BL69" i="9"/>
  <c r="BJ69" i="9"/>
  <c r="BK69" i="9"/>
  <c r="BI73" i="9"/>
  <c r="BH73" i="9"/>
  <c r="BF73" i="9"/>
  <c r="BL73" i="9"/>
  <c r="BJ73" i="9"/>
  <c r="BK73" i="9"/>
  <c r="BI70" i="9"/>
  <c r="BL70" i="9"/>
  <c r="BF70" i="9"/>
  <c r="BJ70" i="9"/>
  <c r="BH70" i="9"/>
  <c r="BK70" i="9"/>
  <c r="BI74" i="9"/>
  <c r="BL74" i="9"/>
  <c r="BF74" i="9"/>
  <c r="BJ74" i="9"/>
  <c r="BH74" i="9"/>
  <c r="BK74" i="9"/>
  <c r="AD47" i="9"/>
  <c r="AE47" i="9"/>
  <c r="AB47" i="9"/>
  <c r="AD55" i="9"/>
  <c r="AE55" i="9"/>
  <c r="AB55" i="9"/>
  <c r="AD63" i="9"/>
  <c r="AE63" i="9"/>
  <c r="AB63" i="9"/>
  <c r="AE71" i="9"/>
  <c r="AD71" i="9"/>
  <c r="AB71" i="9"/>
  <c r="AN74" i="9"/>
  <c r="AQ74" i="9"/>
  <c r="AM74" i="9"/>
  <c r="AO74" i="9"/>
  <c r="AK74" i="9"/>
  <c r="AP74" i="9"/>
  <c r="AH56" i="9"/>
  <c r="AJ56" i="9"/>
  <c r="AH64" i="9"/>
  <c r="AJ64" i="9"/>
  <c r="AN71" i="9"/>
  <c r="AQ71" i="9"/>
  <c r="AO71" i="9"/>
  <c r="AM71" i="9"/>
  <c r="AK71" i="9"/>
  <c r="AP71" i="9"/>
  <c r="I84" i="9"/>
  <c r="G84" i="9"/>
  <c r="J84" i="9"/>
  <c r="I92" i="9"/>
  <c r="J92" i="9"/>
  <c r="G92" i="9"/>
  <c r="J100" i="9"/>
  <c r="G100" i="9"/>
  <c r="I100" i="9"/>
  <c r="I108" i="9"/>
  <c r="J108" i="9"/>
  <c r="G108" i="9"/>
  <c r="M95" i="9"/>
  <c r="O95" i="9"/>
  <c r="S108" i="9"/>
  <c r="T108" i="9"/>
  <c r="P108" i="9"/>
  <c r="V108" i="9"/>
  <c r="R108" i="9"/>
  <c r="U108" i="9"/>
  <c r="CW56" i="9"/>
  <c r="CY72" i="9"/>
  <c r="CX72" i="9"/>
  <c r="DB72" i="9"/>
  <c r="CZ72" i="9"/>
  <c r="CV72" i="9"/>
  <c r="DA72" i="9"/>
  <c r="CY71" i="9"/>
  <c r="DB71" i="9"/>
  <c r="CZ71" i="9"/>
  <c r="CX71" i="9"/>
  <c r="CV71" i="9"/>
  <c r="DA71" i="9"/>
  <c r="BU46" i="9"/>
  <c r="BT46" i="9"/>
  <c r="BR46" i="9"/>
  <c r="BR54" i="9"/>
  <c r="BU54" i="9"/>
  <c r="BT54" i="9"/>
  <c r="BT62" i="9"/>
  <c r="BU62" i="9"/>
  <c r="BR62" i="9"/>
  <c r="BU70" i="9"/>
  <c r="BR70" i="9"/>
  <c r="BT70" i="9"/>
  <c r="CB51" i="9"/>
  <c r="CB55" i="9"/>
  <c r="CB59" i="9"/>
  <c r="CB63" i="9"/>
  <c r="BZ44" i="9"/>
  <c r="CF44" i="9"/>
  <c r="CD44" i="9"/>
  <c r="CE44" i="9"/>
  <c r="CG44" i="9"/>
  <c r="CC44" i="9"/>
  <c r="CA44" i="9"/>
  <c r="AZ48" i="9"/>
  <c r="AY48" i="9"/>
  <c r="AW48" i="9"/>
  <c r="AZ56" i="9"/>
  <c r="AY56" i="9"/>
  <c r="AW56" i="9"/>
  <c r="AW64" i="9"/>
  <c r="AZ64" i="9"/>
  <c r="AY64" i="9"/>
  <c r="AY72" i="9"/>
  <c r="AZ72" i="9"/>
  <c r="AW72" i="9"/>
  <c r="BI71" i="9"/>
  <c r="BL71" i="9"/>
  <c r="BJ71" i="9"/>
  <c r="BH71" i="9"/>
  <c r="BF71" i="9"/>
  <c r="BE71" i="9"/>
  <c r="BK71" i="9"/>
  <c r="BI72" i="9"/>
  <c r="BF72" i="9"/>
  <c r="BJ72" i="9"/>
  <c r="BH72" i="9"/>
  <c r="BL72" i="9"/>
  <c r="BK72" i="9"/>
  <c r="DR58" i="9"/>
  <c r="DO66" i="9"/>
  <c r="DR66" i="9"/>
  <c r="DN66" i="9"/>
  <c r="DP66" i="9"/>
  <c r="DO70" i="9"/>
  <c r="DR70" i="9"/>
  <c r="DN70" i="9"/>
  <c r="DP70" i="9"/>
  <c r="DO74" i="9"/>
  <c r="DR74" i="9"/>
  <c r="DN74" i="9"/>
  <c r="DP74" i="9"/>
  <c r="DO49" i="9"/>
  <c r="DR49" i="9"/>
  <c r="DN49" i="9"/>
  <c r="DP49" i="9"/>
  <c r="DN69" i="9"/>
  <c r="DP69" i="9"/>
  <c r="DO69" i="9"/>
  <c r="DR69" i="9"/>
  <c r="DO73" i="9"/>
  <c r="DR73" i="9"/>
  <c r="DN73" i="9"/>
  <c r="DP73" i="9"/>
  <c r="U61" i="9"/>
  <c r="V61" i="9"/>
  <c r="U53" i="9"/>
  <c r="V53" i="9"/>
  <c r="U62" i="9"/>
  <c r="V62" i="9"/>
  <c r="U46" i="9"/>
  <c r="V46" i="9"/>
  <c r="U54" i="9"/>
  <c r="V54" i="9"/>
  <c r="U67" i="9"/>
  <c r="V67" i="9"/>
  <c r="U71" i="9"/>
  <c r="V71" i="9"/>
  <c r="U44" i="9"/>
  <c r="V44" i="9"/>
  <c r="U47" i="9"/>
  <c r="V47" i="9"/>
  <c r="U56" i="9"/>
  <c r="V56" i="9"/>
  <c r="U64" i="9"/>
  <c r="V64" i="9"/>
  <c r="U68" i="9"/>
  <c r="V68" i="9"/>
  <c r="U72" i="9"/>
  <c r="V72" i="9"/>
  <c r="U52" i="9"/>
  <c r="V52" i="9"/>
  <c r="U48" i="9"/>
  <c r="V48" i="9"/>
  <c r="U57" i="9"/>
  <c r="V57" i="9"/>
  <c r="U65" i="9"/>
  <c r="V65" i="9"/>
  <c r="U69" i="9"/>
  <c r="V69" i="9"/>
  <c r="U73" i="9"/>
  <c r="V73" i="9"/>
  <c r="U55" i="9"/>
  <c r="V55" i="9"/>
  <c r="U45" i="9"/>
  <c r="V45" i="9"/>
  <c r="U49" i="9"/>
  <c r="V49" i="9"/>
  <c r="U58" i="9"/>
  <c r="V58" i="9"/>
  <c r="U66" i="9"/>
  <c r="V66" i="9"/>
  <c r="U70" i="9"/>
  <c r="V70" i="9"/>
  <c r="U74" i="9"/>
  <c r="V74" i="9"/>
  <c r="U50" i="9"/>
  <c r="V50" i="9"/>
  <c r="U59" i="9"/>
  <c r="V59" i="9"/>
  <c r="U63" i="9"/>
  <c r="V63" i="9"/>
  <c r="U51" i="9"/>
  <c r="V51" i="9"/>
  <c r="U60" i="9"/>
  <c r="V60" i="9"/>
  <c r="S57" i="9"/>
  <c r="T57" i="9"/>
  <c r="R57" i="9"/>
  <c r="S65" i="9"/>
  <c r="T65" i="9"/>
  <c r="R65" i="9"/>
  <c r="Q57" i="9"/>
  <c r="Q65" i="9"/>
  <c r="S53" i="9"/>
  <c r="T53" i="9"/>
  <c r="R53" i="9"/>
  <c r="S62" i="9"/>
  <c r="R62" i="9"/>
  <c r="T62" i="9"/>
  <c r="S46" i="9"/>
  <c r="R46" i="9"/>
  <c r="T46" i="9"/>
  <c r="S54" i="9"/>
  <c r="R54" i="9"/>
  <c r="T54" i="9"/>
  <c r="S67" i="9"/>
  <c r="T67" i="9"/>
  <c r="R67" i="9"/>
  <c r="Q67" i="9"/>
  <c r="S71" i="9"/>
  <c r="T71" i="9"/>
  <c r="R71" i="9"/>
  <c r="S44" i="9"/>
  <c r="T44" i="9"/>
  <c r="R44" i="9"/>
  <c r="S47" i="9"/>
  <c r="T47" i="9"/>
  <c r="R47" i="9"/>
  <c r="S56" i="9"/>
  <c r="T56" i="9"/>
  <c r="R56" i="9"/>
  <c r="S64" i="9"/>
  <c r="T64" i="9"/>
  <c r="R64" i="9"/>
  <c r="S68" i="9"/>
  <c r="T68" i="9"/>
  <c r="R68" i="9"/>
  <c r="S72" i="9"/>
  <c r="T72" i="9"/>
  <c r="R72" i="9"/>
  <c r="S52" i="9"/>
  <c r="T52" i="9"/>
  <c r="R52" i="9"/>
  <c r="S48" i="9"/>
  <c r="T48" i="9"/>
  <c r="R48" i="9"/>
  <c r="Q52" i="9"/>
  <c r="S61" i="9"/>
  <c r="T61" i="9"/>
  <c r="R61" i="9"/>
  <c r="Q61" i="9"/>
  <c r="M65" i="9"/>
  <c r="O65" i="9"/>
  <c r="S69" i="9"/>
  <c r="T69" i="9"/>
  <c r="R69" i="9"/>
  <c r="S73" i="9"/>
  <c r="T73" i="9"/>
  <c r="R73" i="9"/>
  <c r="S55" i="9"/>
  <c r="T55" i="9"/>
  <c r="R55" i="9"/>
  <c r="S45" i="9"/>
  <c r="T45" i="9"/>
  <c r="R45" i="9"/>
  <c r="S49" i="9"/>
  <c r="T49" i="9"/>
  <c r="R49" i="9"/>
  <c r="S58" i="9"/>
  <c r="R58" i="9"/>
  <c r="T58" i="9"/>
  <c r="S66" i="9"/>
  <c r="R66" i="9"/>
  <c r="T66" i="9"/>
  <c r="S70" i="9"/>
  <c r="R70" i="9"/>
  <c r="T70" i="9"/>
  <c r="S74" i="9"/>
  <c r="R74" i="9"/>
  <c r="T74" i="9"/>
  <c r="S50" i="9"/>
  <c r="R50" i="9"/>
  <c r="T50" i="9"/>
  <c r="S59" i="9"/>
  <c r="T59" i="9"/>
  <c r="R59" i="9"/>
  <c r="S63" i="9"/>
  <c r="T63" i="9"/>
  <c r="R63" i="9"/>
  <c r="Q63" i="9"/>
  <c r="S51" i="9"/>
  <c r="T51" i="9"/>
  <c r="R51" i="9"/>
  <c r="S60" i="9"/>
  <c r="T60" i="9"/>
  <c r="R60" i="9"/>
  <c r="M73" i="9"/>
  <c r="O73" i="9"/>
  <c r="M57" i="9"/>
  <c r="O57" i="9"/>
  <c r="O48" i="9"/>
  <c r="P48" i="9"/>
  <c r="P61" i="9"/>
  <c r="P62" i="9"/>
  <c r="O54" i="9"/>
  <c r="P54" i="9"/>
  <c r="O67" i="9"/>
  <c r="P67" i="9"/>
  <c r="P56" i="9"/>
  <c r="P64" i="9"/>
  <c r="O52" i="9"/>
  <c r="P52" i="9"/>
  <c r="P65" i="9"/>
  <c r="P58" i="9"/>
  <c r="P66" i="9"/>
  <c r="O50" i="9"/>
  <c r="P50" i="9"/>
  <c r="P63" i="9"/>
  <c r="P60" i="9"/>
  <c r="J58" i="9"/>
  <c r="I58" i="9"/>
  <c r="G58" i="9"/>
  <c r="J45" i="9"/>
  <c r="I45" i="9"/>
  <c r="G45" i="9"/>
  <c r="J53" i="9"/>
  <c r="I53" i="9"/>
  <c r="G53" i="9"/>
  <c r="J62" i="9"/>
  <c r="I62" i="9"/>
  <c r="G62" i="9"/>
  <c r="J70" i="9"/>
  <c r="I70" i="9"/>
  <c r="G70" i="9"/>
  <c r="P57" i="9"/>
  <c r="J51" i="9"/>
  <c r="I51" i="9"/>
  <c r="G51" i="9"/>
  <c r="J60" i="9"/>
  <c r="I60" i="9"/>
  <c r="G60" i="9"/>
  <c r="J68" i="9"/>
  <c r="I68" i="9"/>
  <c r="G68" i="9"/>
  <c r="O46" i="9"/>
  <c r="P46" i="9"/>
  <c r="P59" i="9"/>
  <c r="J49" i="9"/>
  <c r="I49" i="9"/>
  <c r="G49" i="9"/>
  <c r="J66" i="9"/>
  <c r="I66" i="9"/>
  <c r="G66" i="9"/>
  <c r="J74" i="9"/>
  <c r="G74" i="9"/>
  <c r="I74" i="9"/>
  <c r="P69" i="9"/>
  <c r="P73" i="9"/>
  <c r="P55" i="9"/>
  <c r="P45" i="9"/>
  <c r="P49" i="9"/>
  <c r="P53" i="9"/>
  <c r="P70" i="9"/>
  <c r="P74" i="9"/>
  <c r="J47" i="9"/>
  <c r="I47" i="9"/>
  <c r="G47" i="9"/>
  <c r="J56" i="9"/>
  <c r="I56" i="9"/>
  <c r="G56" i="9"/>
  <c r="J64" i="9"/>
  <c r="I64" i="9"/>
  <c r="G64" i="9"/>
  <c r="J72" i="9"/>
  <c r="I72" i="9"/>
  <c r="G72" i="9"/>
  <c r="N46" i="9"/>
  <c r="Q46" i="9"/>
  <c r="N50" i="9"/>
  <c r="Q50" i="9"/>
  <c r="N54" i="9"/>
  <c r="Q54" i="9"/>
  <c r="O71" i="9"/>
  <c r="P71" i="9"/>
  <c r="O44" i="9"/>
  <c r="P44" i="9"/>
  <c r="P47" i="9"/>
  <c r="P51" i="9"/>
  <c r="P68" i="9"/>
  <c r="P72" i="9"/>
  <c r="AI88" i="9"/>
  <c r="BZ75" i="9"/>
  <c r="Q111" i="9"/>
  <c r="BE75" i="9"/>
  <c r="CB75" i="9"/>
  <c r="O111" i="9"/>
  <c r="BG75" i="9"/>
  <c r="AN84" i="9"/>
  <c r="AJ84" i="9"/>
  <c r="AP84" i="9"/>
  <c r="AM84" i="9"/>
  <c r="AQ84" i="9"/>
  <c r="AO84" i="9"/>
  <c r="AK84" i="9"/>
  <c r="AN88" i="9"/>
  <c r="AP88" i="9"/>
  <c r="AJ88" i="9"/>
  <c r="AM88" i="9"/>
  <c r="AQ88" i="9"/>
  <c r="AO88" i="9"/>
  <c r="AK88" i="9"/>
  <c r="AN92" i="9"/>
  <c r="AP92" i="9"/>
  <c r="AJ92" i="9"/>
  <c r="AM92" i="9"/>
  <c r="AQ92" i="9"/>
  <c r="AO92" i="9"/>
  <c r="AK92" i="9"/>
  <c r="AN96" i="9"/>
  <c r="AP96" i="9"/>
  <c r="AM96" i="9"/>
  <c r="AQ96" i="9"/>
  <c r="AO96" i="9"/>
  <c r="AK96" i="9"/>
  <c r="AN104" i="9"/>
  <c r="AP104" i="9"/>
  <c r="AM104" i="9"/>
  <c r="AQ104" i="9"/>
  <c r="AO104" i="9"/>
  <c r="AK104" i="9"/>
  <c r="AN85" i="9"/>
  <c r="AP85" i="9"/>
  <c r="AQ85" i="9"/>
  <c r="AO85" i="9"/>
  <c r="AM85" i="9"/>
  <c r="AK85" i="9"/>
  <c r="AN93" i="9"/>
  <c r="AP93" i="9"/>
  <c r="AQ93" i="9"/>
  <c r="AO93" i="9"/>
  <c r="AM93" i="9"/>
  <c r="AK93" i="9"/>
  <c r="AN101" i="9"/>
  <c r="AP101" i="9"/>
  <c r="AQ101" i="9"/>
  <c r="AO101" i="9"/>
  <c r="AM101" i="9"/>
  <c r="AK101" i="9"/>
  <c r="AN100" i="9"/>
  <c r="AP100" i="9"/>
  <c r="AM100" i="9"/>
  <c r="AQ100" i="9"/>
  <c r="AO100" i="9"/>
  <c r="AK100" i="9"/>
  <c r="AL100" i="9"/>
  <c r="AJ100" i="9"/>
  <c r="AN81" i="9"/>
  <c r="AP81" i="9"/>
  <c r="AQ81" i="9"/>
  <c r="AO81" i="9"/>
  <c r="AM81" i="9"/>
  <c r="AK81" i="9"/>
  <c r="AN89" i="9"/>
  <c r="AP89" i="9"/>
  <c r="AQ89" i="9"/>
  <c r="AO89" i="9"/>
  <c r="AM89" i="9"/>
  <c r="AK89" i="9"/>
  <c r="AN97" i="9"/>
  <c r="AP97" i="9"/>
  <c r="AQ97" i="9"/>
  <c r="AO97" i="9"/>
  <c r="AM97" i="9"/>
  <c r="AK97" i="9"/>
  <c r="AN105" i="9"/>
  <c r="AP105" i="9"/>
  <c r="AQ105" i="9"/>
  <c r="AO105" i="9"/>
  <c r="AM105" i="9"/>
  <c r="AK105" i="9"/>
  <c r="AY110" i="9"/>
  <c r="AZ110" i="9"/>
  <c r="AW110" i="9"/>
  <c r="BC110" i="9"/>
  <c r="AZ106" i="9"/>
  <c r="AW106" i="9"/>
  <c r="BC106" i="9"/>
  <c r="AY106" i="9"/>
  <c r="AY102" i="9"/>
  <c r="AZ102" i="9"/>
  <c r="AW102" i="9"/>
  <c r="BC102" i="9"/>
  <c r="BD56" i="9"/>
  <c r="BG56" i="9"/>
  <c r="BC56" i="9"/>
  <c r="BE56" i="9"/>
  <c r="BY70" i="9"/>
  <c r="CB70" i="9"/>
  <c r="BX70" i="9"/>
  <c r="BZ70" i="9"/>
  <c r="BX54" i="9"/>
  <c r="BZ54" i="9"/>
  <c r="BY54" i="9"/>
  <c r="CB54" i="9"/>
  <c r="N100" i="9"/>
  <c r="Q100" i="9"/>
  <c r="M100" i="9"/>
  <c r="O100" i="9"/>
  <c r="AI71" i="9"/>
  <c r="AL71" i="9"/>
  <c r="AH71" i="9"/>
  <c r="AJ71" i="9"/>
  <c r="AH55" i="9"/>
  <c r="AJ55" i="9"/>
  <c r="AI55" i="9"/>
  <c r="AL55" i="9"/>
  <c r="BJ75" i="9"/>
  <c r="BF75" i="9"/>
  <c r="BK75" i="9"/>
  <c r="BI75" i="9"/>
  <c r="BD74" i="9"/>
  <c r="BG74" i="9"/>
  <c r="BC74" i="9"/>
  <c r="BE74" i="9"/>
  <c r="BD58" i="9"/>
  <c r="BG58" i="9"/>
  <c r="BC58" i="9"/>
  <c r="BE58" i="9"/>
  <c r="BX60" i="9"/>
  <c r="BZ60" i="9"/>
  <c r="BY60" i="9"/>
  <c r="CB60" i="9"/>
  <c r="AE82" i="9"/>
  <c r="AD82" i="9"/>
  <c r="AB82" i="9"/>
  <c r="AE90" i="9"/>
  <c r="AD90" i="9"/>
  <c r="AB90" i="9"/>
  <c r="AE98" i="9"/>
  <c r="AD98" i="9"/>
  <c r="AB98" i="9"/>
  <c r="AE106" i="9"/>
  <c r="AB106" i="9"/>
  <c r="AD106" i="9"/>
  <c r="AL84" i="9"/>
  <c r="AL88" i="9"/>
  <c r="AL92" i="9"/>
  <c r="AE81" i="9"/>
  <c r="AD81" i="9"/>
  <c r="AB81" i="9"/>
  <c r="AB89" i="9"/>
  <c r="AE89" i="9"/>
  <c r="AD89" i="9"/>
  <c r="AB97" i="9"/>
  <c r="AD97" i="9"/>
  <c r="AE97" i="9"/>
  <c r="AD105" i="9"/>
  <c r="AE105" i="9"/>
  <c r="AB105" i="9"/>
  <c r="CT67" i="9"/>
  <c r="CW67" i="9"/>
  <c r="CS67" i="9"/>
  <c r="CU67" i="9"/>
  <c r="CT59" i="9"/>
  <c r="CW59" i="9"/>
  <c r="CS59" i="9"/>
  <c r="CU59" i="9"/>
  <c r="M98" i="9"/>
  <c r="O98" i="9"/>
  <c r="N98" i="9"/>
  <c r="Q98" i="9"/>
  <c r="M90" i="9"/>
  <c r="O90" i="9"/>
  <c r="N90" i="9"/>
  <c r="Q90" i="9"/>
  <c r="M82" i="9"/>
  <c r="O82" i="9"/>
  <c r="N82" i="9"/>
  <c r="Q82" i="9"/>
  <c r="DN63" i="9"/>
  <c r="DP63" i="9"/>
  <c r="DO63" i="9"/>
  <c r="DR63" i="9"/>
  <c r="DO47" i="9"/>
  <c r="DR47" i="9"/>
  <c r="DN47" i="9"/>
  <c r="DP47" i="9"/>
  <c r="DO72" i="9"/>
  <c r="DR72" i="9"/>
  <c r="DN72" i="9"/>
  <c r="DP72" i="9"/>
  <c r="DO56" i="9"/>
  <c r="DR56" i="9"/>
  <c r="DN56" i="9"/>
  <c r="DP56" i="9"/>
  <c r="AH73" i="9"/>
  <c r="AJ73" i="9"/>
  <c r="AI73" i="9"/>
  <c r="AL73" i="9"/>
  <c r="AH65" i="9"/>
  <c r="AJ65" i="9"/>
  <c r="AI65" i="9"/>
  <c r="AL65" i="9"/>
  <c r="AI49" i="9"/>
  <c r="AL49" i="9"/>
  <c r="AH49" i="9"/>
  <c r="AJ49" i="9"/>
  <c r="DD89" i="9"/>
  <c r="DD83" i="9"/>
  <c r="DD91" i="9"/>
  <c r="DD87" i="9"/>
  <c r="DD85" i="9"/>
  <c r="CT63" i="9"/>
  <c r="CW63" i="9"/>
  <c r="CS63" i="9"/>
  <c r="CU63" i="9"/>
  <c r="N102" i="9"/>
  <c r="Q102" i="9"/>
  <c r="M102" i="9"/>
  <c r="O102" i="9"/>
  <c r="N86" i="9"/>
  <c r="Q86" i="9"/>
  <c r="M86" i="9"/>
  <c r="O86" i="9"/>
  <c r="DQ75" i="9"/>
  <c r="DW75" i="9"/>
  <c r="DT75" i="9"/>
  <c r="DO51" i="9"/>
  <c r="DR51" i="9"/>
  <c r="DN51" i="9"/>
  <c r="DP51" i="9"/>
  <c r="AK75" i="9"/>
  <c r="AO75" i="9"/>
  <c r="AP75" i="9"/>
  <c r="AN75" i="9"/>
  <c r="AO76" i="9"/>
  <c r="D114" i="9"/>
  <c r="AI61" i="9"/>
  <c r="AL61" i="9"/>
  <c r="AH61" i="9"/>
  <c r="AJ61" i="9"/>
  <c r="BC68" i="9"/>
  <c r="BE68" i="9"/>
  <c r="BD68" i="9"/>
  <c r="BG68" i="9"/>
  <c r="BC52" i="9"/>
  <c r="BE52" i="9"/>
  <c r="BD52" i="9"/>
  <c r="BG52" i="9"/>
  <c r="BX58" i="9"/>
  <c r="BZ58" i="9"/>
  <c r="BY58" i="9"/>
  <c r="CB58" i="9"/>
  <c r="M104" i="9"/>
  <c r="O104" i="9"/>
  <c r="N104" i="9"/>
  <c r="Q104" i="9"/>
  <c r="M96" i="9"/>
  <c r="O96" i="9"/>
  <c r="N96" i="9"/>
  <c r="Q96" i="9"/>
  <c r="AI67" i="9"/>
  <c r="AL67" i="9"/>
  <c r="AH67" i="9"/>
  <c r="AJ67" i="9"/>
  <c r="AH51" i="9"/>
  <c r="AJ51" i="9"/>
  <c r="AI51" i="9"/>
  <c r="AL51" i="9"/>
  <c r="BA108" i="9"/>
  <c r="BB108" i="9"/>
  <c r="BA104" i="9"/>
  <c r="BB104" i="9"/>
  <c r="BA100" i="9"/>
  <c r="BB100" i="9"/>
  <c r="BA96" i="9"/>
  <c r="BB96" i="9"/>
  <c r="BA92" i="9"/>
  <c r="BB92" i="9"/>
  <c r="BA88" i="9"/>
  <c r="BB88" i="9"/>
  <c r="BA84" i="9"/>
  <c r="BB84" i="9"/>
  <c r="AY109" i="9"/>
  <c r="AZ109" i="9"/>
  <c r="AW109" i="9"/>
  <c r="BC109" i="9"/>
  <c r="AZ105" i="9"/>
  <c r="AW105" i="9"/>
  <c r="BC105" i="9"/>
  <c r="AY105" i="9"/>
  <c r="AZ101" i="9"/>
  <c r="AY101" i="9"/>
  <c r="BA80" i="9"/>
  <c r="BB80" i="9"/>
  <c r="BA107" i="9"/>
  <c r="BB107" i="9"/>
  <c r="BA103" i="9"/>
  <c r="BB103" i="9"/>
  <c r="BA99" i="9"/>
  <c r="BB99" i="9"/>
  <c r="BA95" i="9"/>
  <c r="BB95" i="9"/>
  <c r="BA91" i="9"/>
  <c r="BB91" i="9"/>
  <c r="BA87" i="9"/>
  <c r="BB87" i="9"/>
  <c r="BA83" i="9"/>
  <c r="BB83" i="9"/>
  <c r="AX96" i="9"/>
  <c r="AX92" i="9"/>
  <c r="AX88" i="9"/>
  <c r="AX84" i="9"/>
  <c r="AX99" i="9"/>
  <c r="AX95" i="9"/>
  <c r="AX91" i="9"/>
  <c r="AX87" i="9"/>
  <c r="AX83" i="9"/>
  <c r="BD70" i="9"/>
  <c r="BG70" i="9"/>
  <c r="BC70" i="9"/>
  <c r="BE70" i="9"/>
  <c r="BD54" i="9"/>
  <c r="BG54" i="9"/>
  <c r="BC54" i="9"/>
  <c r="BE54" i="9"/>
  <c r="CF75" i="9"/>
  <c r="CC75" i="9"/>
  <c r="CG75" i="9"/>
  <c r="BX72" i="9"/>
  <c r="BZ72" i="9"/>
  <c r="BY72" i="9"/>
  <c r="CB72" i="9"/>
  <c r="BX64" i="9"/>
  <c r="BZ64" i="9"/>
  <c r="BY64" i="9"/>
  <c r="CB64" i="9"/>
  <c r="BY48" i="9"/>
  <c r="CB48" i="9"/>
  <c r="BX48" i="9"/>
  <c r="BZ48" i="9"/>
  <c r="AH108" i="9"/>
  <c r="AJ108" i="9"/>
  <c r="AI108" i="9"/>
  <c r="AL108" i="9"/>
  <c r="AN82" i="9"/>
  <c r="AP82" i="9"/>
  <c r="AO82" i="9"/>
  <c r="AK82" i="9"/>
  <c r="AM82" i="9"/>
  <c r="AQ82" i="9"/>
  <c r="AN86" i="9"/>
  <c r="AP86" i="9"/>
  <c r="AO86" i="9"/>
  <c r="AK86" i="9"/>
  <c r="AM86" i="9"/>
  <c r="AQ86" i="9"/>
  <c r="AN90" i="9"/>
  <c r="AP90" i="9"/>
  <c r="AO90" i="9"/>
  <c r="AK90" i="9"/>
  <c r="AM90" i="9"/>
  <c r="AQ90" i="9"/>
  <c r="AN94" i="9"/>
  <c r="AP94" i="9"/>
  <c r="AO94" i="9"/>
  <c r="AK94" i="9"/>
  <c r="AM94" i="9"/>
  <c r="AQ94" i="9"/>
  <c r="AN98" i="9"/>
  <c r="AP98" i="9"/>
  <c r="AO98" i="9"/>
  <c r="AK98" i="9"/>
  <c r="AM98" i="9"/>
  <c r="AQ98" i="9"/>
  <c r="AN102" i="9"/>
  <c r="AP102" i="9"/>
  <c r="AO102" i="9"/>
  <c r="AK102" i="9"/>
  <c r="AM102" i="9"/>
  <c r="AQ102" i="9"/>
  <c r="AE83" i="9"/>
  <c r="AD83" i="9"/>
  <c r="AB83" i="9"/>
  <c r="AB91" i="9"/>
  <c r="AE91" i="9"/>
  <c r="AD91" i="9"/>
  <c r="AB99" i="9"/>
  <c r="AE99" i="9"/>
  <c r="AD99" i="9"/>
  <c r="AE107" i="9"/>
  <c r="AB107" i="9"/>
  <c r="AD107" i="9"/>
  <c r="AN83" i="9"/>
  <c r="AP83" i="9"/>
  <c r="AQ83" i="9"/>
  <c r="AO83" i="9"/>
  <c r="AM83" i="9"/>
  <c r="AK83" i="9"/>
  <c r="AN87" i="9"/>
  <c r="AP87" i="9"/>
  <c r="AQ87" i="9"/>
  <c r="AO87" i="9"/>
  <c r="AM87" i="9"/>
  <c r="AK87" i="9"/>
  <c r="AN91" i="9"/>
  <c r="AP91" i="9"/>
  <c r="AQ91" i="9"/>
  <c r="AO91" i="9"/>
  <c r="AM91" i="9"/>
  <c r="AK91" i="9"/>
  <c r="AN95" i="9"/>
  <c r="AP95" i="9"/>
  <c r="AQ95" i="9"/>
  <c r="AO95" i="9"/>
  <c r="AM95" i="9"/>
  <c r="AK95" i="9"/>
  <c r="AN99" i="9"/>
  <c r="AP99" i="9"/>
  <c r="AQ99" i="9"/>
  <c r="AO99" i="9"/>
  <c r="AM99" i="9"/>
  <c r="AK99" i="9"/>
  <c r="AN103" i="9"/>
  <c r="AP103" i="9"/>
  <c r="AQ103" i="9"/>
  <c r="AO103" i="9"/>
  <c r="AM103" i="9"/>
  <c r="AK103" i="9"/>
  <c r="AN107" i="9"/>
  <c r="AP107" i="9"/>
  <c r="AQ107" i="9"/>
  <c r="AO107" i="9"/>
  <c r="AM107" i="9"/>
  <c r="AK107" i="9"/>
  <c r="AN80" i="9"/>
  <c r="AP80" i="9"/>
  <c r="AQ80" i="9"/>
  <c r="AO80" i="9"/>
  <c r="AM80" i="9"/>
  <c r="AK80" i="9"/>
  <c r="CT55" i="9"/>
  <c r="CW55" i="9"/>
  <c r="CS55" i="9"/>
  <c r="CU55" i="9"/>
  <c r="N94" i="9"/>
  <c r="Q94" i="9"/>
  <c r="M94" i="9"/>
  <c r="O94" i="9"/>
  <c r="DN59" i="9"/>
  <c r="DP59" i="9"/>
  <c r="DO59" i="9"/>
  <c r="DR59" i="9"/>
  <c r="AI69" i="9"/>
  <c r="AL69" i="9"/>
  <c r="AH69" i="9"/>
  <c r="AJ69" i="9"/>
  <c r="BP81" i="9"/>
  <c r="BP83" i="9"/>
  <c r="BP85" i="9"/>
  <c r="BP87" i="9"/>
  <c r="BP89" i="9"/>
  <c r="BP91" i="9"/>
  <c r="BP93" i="9"/>
  <c r="BP95" i="9"/>
  <c r="BP97" i="9"/>
  <c r="BP99" i="9"/>
  <c r="BP101" i="9"/>
  <c r="BP103" i="9"/>
  <c r="BP105" i="9"/>
  <c r="BP107" i="9"/>
  <c r="BP109" i="9"/>
  <c r="BP80" i="9"/>
  <c r="BS81" i="9"/>
  <c r="BS83" i="9"/>
  <c r="BS85" i="9"/>
  <c r="BS87" i="9"/>
  <c r="BS89" i="9"/>
  <c r="BS91" i="9"/>
  <c r="BS93" i="9"/>
  <c r="BS95" i="9"/>
  <c r="BS97" i="9"/>
  <c r="BS99" i="9"/>
  <c r="BS101" i="9"/>
  <c r="BS103" i="9"/>
  <c r="BS105" i="9"/>
  <c r="BS107" i="9"/>
  <c r="BS109" i="9"/>
  <c r="BS80" i="9"/>
  <c r="BP82" i="9"/>
  <c r="BP84" i="9"/>
  <c r="BS84" i="9"/>
  <c r="BP86" i="9"/>
  <c r="BP88" i="9"/>
  <c r="BS88" i="9"/>
  <c r="BP90" i="9"/>
  <c r="BP92" i="9"/>
  <c r="BS92" i="9"/>
  <c r="BP94" i="9"/>
  <c r="BP96" i="9"/>
  <c r="BS96" i="9"/>
  <c r="BP98" i="9"/>
  <c r="BP100" i="9"/>
  <c r="BS100" i="9"/>
  <c r="BP102" i="9"/>
  <c r="BP104" i="9"/>
  <c r="BS104" i="9"/>
  <c r="BP106" i="9"/>
  <c r="BP108" i="9"/>
  <c r="BS108" i="9"/>
  <c r="BP110" i="9"/>
  <c r="DA75" i="9"/>
  <c r="CV75" i="9"/>
  <c r="CZ75" i="9"/>
  <c r="CY75" i="9"/>
  <c r="V111" i="9"/>
  <c r="R111" i="9"/>
  <c r="S111" i="9"/>
  <c r="BC72" i="9"/>
  <c r="BE72" i="9"/>
  <c r="BD72" i="9"/>
  <c r="BG72" i="9"/>
  <c r="BD64" i="9"/>
  <c r="BG64" i="9"/>
  <c r="BC64" i="9"/>
  <c r="BE64" i="9"/>
  <c r="BC48" i="9"/>
  <c r="BE48" i="9"/>
  <c r="BD48" i="9"/>
  <c r="BG48" i="9"/>
  <c r="BX62" i="9"/>
  <c r="BZ62" i="9"/>
  <c r="BY62" i="9"/>
  <c r="CB62" i="9"/>
  <c r="BX46" i="9"/>
  <c r="BZ46" i="9"/>
  <c r="BY46" i="9"/>
  <c r="CB46" i="9"/>
  <c r="M108" i="9"/>
  <c r="O108" i="9"/>
  <c r="N108" i="9"/>
  <c r="Q108" i="9"/>
  <c r="N92" i="9"/>
  <c r="Q92" i="9"/>
  <c r="M92" i="9"/>
  <c r="O92" i="9"/>
  <c r="N84" i="9"/>
  <c r="Q84" i="9"/>
  <c r="M84" i="9"/>
  <c r="O84" i="9"/>
  <c r="AI63" i="9"/>
  <c r="AL63" i="9"/>
  <c r="AH63" i="9"/>
  <c r="AJ63" i="9"/>
  <c r="AI47" i="9"/>
  <c r="AL47" i="9"/>
  <c r="AH47" i="9"/>
  <c r="AJ47" i="9"/>
  <c r="BL75" i="9"/>
  <c r="BH75" i="9"/>
  <c r="BD66" i="9"/>
  <c r="BG66" i="9"/>
  <c r="BC66" i="9"/>
  <c r="BE66" i="9"/>
  <c r="BD50" i="9"/>
  <c r="BG50" i="9"/>
  <c r="BC50" i="9"/>
  <c r="BE50" i="9"/>
  <c r="BX68" i="9"/>
  <c r="BZ68" i="9"/>
  <c r="BY68" i="9"/>
  <c r="CB68" i="9"/>
  <c r="BY52" i="9"/>
  <c r="CB52" i="9"/>
  <c r="BX52" i="9"/>
  <c r="BZ52" i="9"/>
  <c r="AE86" i="9"/>
  <c r="AD86" i="9"/>
  <c r="AB86" i="9"/>
  <c r="AE94" i="9"/>
  <c r="AD94" i="9"/>
  <c r="AB94" i="9"/>
  <c r="AE102" i="9"/>
  <c r="AB102" i="9"/>
  <c r="AD102" i="9"/>
  <c r="AE110" i="9"/>
  <c r="AB110" i="9"/>
  <c r="AD110" i="9"/>
  <c r="AN108" i="9"/>
  <c r="AP108" i="9"/>
  <c r="AM108" i="9"/>
  <c r="AQ108" i="9"/>
  <c r="AO108" i="9"/>
  <c r="AK108" i="9"/>
  <c r="AB85" i="9"/>
  <c r="AD85" i="9"/>
  <c r="AE85" i="9"/>
  <c r="AB93" i="9"/>
  <c r="AE93" i="9"/>
  <c r="AD93" i="9"/>
  <c r="AD101" i="9"/>
  <c r="AE101" i="9"/>
  <c r="AB101" i="9"/>
  <c r="AE109" i="9"/>
  <c r="AB109" i="9"/>
  <c r="AD109" i="9"/>
  <c r="AI96" i="9"/>
  <c r="AL96" i="9"/>
  <c r="AH96" i="9"/>
  <c r="AJ96" i="9"/>
  <c r="AN109" i="9"/>
  <c r="AP109" i="9"/>
  <c r="AQ109" i="9"/>
  <c r="AO109" i="9"/>
  <c r="AM109" i="9"/>
  <c r="AK109" i="9"/>
  <c r="CS44" i="9"/>
  <c r="CU44" i="9"/>
  <c r="CT44" i="9"/>
  <c r="CW44" i="9"/>
  <c r="CS51" i="9"/>
  <c r="CU51" i="9"/>
  <c r="CT51" i="9"/>
  <c r="CW51" i="9"/>
  <c r="M106" i="9"/>
  <c r="O106" i="9"/>
  <c r="N106" i="9"/>
  <c r="Q106" i="9"/>
  <c r="DN71" i="9"/>
  <c r="DP71" i="9"/>
  <c r="DO71" i="9"/>
  <c r="DR71" i="9"/>
  <c r="DN55" i="9"/>
  <c r="DP55" i="9"/>
  <c r="DO55" i="9"/>
  <c r="DR55" i="9"/>
  <c r="DO64" i="9"/>
  <c r="DR64" i="9"/>
  <c r="DN64" i="9"/>
  <c r="DP64" i="9"/>
  <c r="DN48" i="9"/>
  <c r="DP48" i="9"/>
  <c r="DO48" i="9"/>
  <c r="DR48" i="9"/>
  <c r="AH57" i="9"/>
  <c r="AJ57" i="9"/>
  <c r="AI57" i="9"/>
  <c r="AL57" i="9"/>
  <c r="CI91" i="9"/>
  <c r="CI89" i="9"/>
  <c r="CI87" i="9"/>
  <c r="CI85" i="9"/>
  <c r="CI83" i="9"/>
  <c r="CS47" i="9"/>
  <c r="CU47" i="9"/>
  <c r="CT47" i="9"/>
  <c r="CW47" i="9"/>
  <c r="DS75" i="9"/>
  <c r="DU75" i="9"/>
  <c r="DV75" i="9"/>
  <c r="DW76" i="9"/>
  <c r="E118" i="9"/>
  <c r="DN67" i="9"/>
  <c r="DP67" i="9"/>
  <c r="DO67" i="9"/>
  <c r="DR67" i="9"/>
  <c r="DO60" i="9"/>
  <c r="DR60" i="9"/>
  <c r="DN60" i="9"/>
  <c r="DP60" i="9"/>
  <c r="AM75" i="9"/>
  <c r="AQ75" i="9"/>
  <c r="AI45" i="9"/>
  <c r="AL45" i="9"/>
  <c r="AH45" i="9"/>
  <c r="AJ45" i="9"/>
  <c r="BD60" i="9"/>
  <c r="BG60" i="9"/>
  <c r="BC60" i="9"/>
  <c r="BE60" i="9"/>
  <c r="BX74" i="9"/>
  <c r="BZ74" i="9"/>
  <c r="BY74" i="9"/>
  <c r="CB74" i="9"/>
  <c r="BX66" i="9"/>
  <c r="BZ66" i="9"/>
  <c r="BY66" i="9"/>
  <c r="CB66" i="9"/>
  <c r="BX50" i="9"/>
  <c r="BZ50" i="9"/>
  <c r="BY50" i="9"/>
  <c r="CB50" i="9"/>
  <c r="M88" i="9"/>
  <c r="O88" i="9"/>
  <c r="N88" i="9"/>
  <c r="Q88" i="9"/>
  <c r="AI59" i="9"/>
  <c r="AL59" i="9"/>
  <c r="AH59" i="9"/>
  <c r="AJ59" i="9"/>
  <c r="BB110" i="9"/>
  <c r="BA110" i="9"/>
  <c r="BD110" i="9"/>
  <c r="BG110" i="9"/>
  <c r="BA106" i="9"/>
  <c r="BB106" i="9"/>
  <c r="BA102" i="9"/>
  <c r="BB102" i="9"/>
  <c r="BA98" i="9"/>
  <c r="BB98" i="9"/>
  <c r="BA94" i="9"/>
  <c r="BB94" i="9"/>
  <c r="BA90" i="9"/>
  <c r="BB90" i="9"/>
  <c r="BA86" i="9"/>
  <c r="BB86" i="9"/>
  <c r="BA82" i="9"/>
  <c r="BB82" i="9"/>
  <c r="AY80" i="9"/>
  <c r="AW80" i="9"/>
  <c r="BC80" i="9"/>
  <c r="AZ80" i="9"/>
  <c r="AZ107" i="9"/>
  <c r="AW107" i="9"/>
  <c r="BD107" i="9"/>
  <c r="BG107" i="9"/>
  <c r="AY107" i="9"/>
  <c r="AZ103" i="9"/>
  <c r="AW103" i="9"/>
  <c r="BC103" i="9"/>
  <c r="AY103" i="9"/>
  <c r="AX98" i="9"/>
  <c r="BA109" i="9"/>
  <c r="BB109" i="9"/>
  <c r="BA105" i="9"/>
  <c r="BB105" i="9"/>
  <c r="BA101" i="9"/>
  <c r="BB101" i="9"/>
  <c r="BD101" i="9"/>
  <c r="BC101" i="9"/>
  <c r="BA97" i="9"/>
  <c r="BB97" i="9"/>
  <c r="BA93" i="9"/>
  <c r="BB93" i="9"/>
  <c r="BA89" i="9"/>
  <c r="BB89" i="9"/>
  <c r="BA85" i="9"/>
  <c r="BB85" i="9"/>
  <c r="BA81" i="9"/>
  <c r="BB81" i="9"/>
  <c r="AX108" i="9"/>
  <c r="AX104" i="9"/>
  <c r="AX100" i="9"/>
  <c r="AX94" i="9"/>
  <c r="AX90" i="9"/>
  <c r="AX86" i="9"/>
  <c r="AX82" i="9"/>
  <c r="AX97" i="9"/>
  <c r="AX93" i="9"/>
  <c r="AX89" i="9"/>
  <c r="AX85" i="9"/>
  <c r="AX81" i="9"/>
  <c r="BD62" i="9"/>
  <c r="BG62" i="9"/>
  <c r="BC62" i="9"/>
  <c r="BE62" i="9"/>
  <c r="BD46" i="9"/>
  <c r="BG46" i="9"/>
  <c r="BC46" i="9"/>
  <c r="BE46" i="9"/>
  <c r="CE75" i="9"/>
  <c r="CA75" i="9"/>
  <c r="CD75" i="9"/>
  <c r="CE76" i="9"/>
  <c r="D116" i="9"/>
  <c r="BY56" i="9"/>
  <c r="CB56" i="9"/>
  <c r="BX56" i="9"/>
  <c r="BZ56" i="9"/>
  <c r="AI104" i="9"/>
  <c r="AL104" i="9"/>
  <c r="AH104" i="9"/>
  <c r="AJ104" i="9"/>
  <c r="AN106" i="9"/>
  <c r="AP106" i="9"/>
  <c r="AO106" i="9"/>
  <c r="AK106" i="9"/>
  <c r="AM106" i="9"/>
  <c r="AQ106" i="9"/>
  <c r="AN110" i="9"/>
  <c r="AP110" i="9"/>
  <c r="AO110" i="9"/>
  <c r="AK110" i="9"/>
  <c r="AM110" i="9"/>
  <c r="AQ110" i="9"/>
  <c r="AB87" i="9"/>
  <c r="AE87" i="9"/>
  <c r="AD87" i="9"/>
  <c r="AB95" i="9"/>
  <c r="AE95" i="9"/>
  <c r="AD95" i="9"/>
  <c r="AD103" i="9"/>
  <c r="AE103" i="9"/>
  <c r="AB103" i="9"/>
  <c r="AD80" i="9"/>
  <c r="AB80" i="9"/>
  <c r="AE80" i="9"/>
  <c r="CT71" i="9"/>
  <c r="CW71" i="9"/>
  <c r="CS71" i="9"/>
  <c r="CU71" i="9"/>
  <c r="N110" i="9"/>
  <c r="Q110" i="9"/>
  <c r="M110" i="9"/>
  <c r="O110" i="9"/>
  <c r="DN44" i="9"/>
  <c r="DP44" i="9"/>
  <c r="DO44" i="9"/>
  <c r="DR44" i="9"/>
  <c r="DO68" i="9"/>
  <c r="DR68" i="9"/>
  <c r="DN68" i="9"/>
  <c r="DP68" i="9"/>
  <c r="DN52" i="9"/>
  <c r="DP52" i="9"/>
  <c r="DO52" i="9"/>
  <c r="DR52" i="9"/>
  <c r="AI53" i="9"/>
  <c r="AL53" i="9"/>
  <c r="AH53" i="9"/>
  <c r="AJ53" i="9"/>
  <c r="CX75" i="9"/>
  <c r="DB75" i="9"/>
  <c r="P111" i="9"/>
  <c r="P112" i="9"/>
  <c r="B119" i="9"/>
  <c r="T111" i="9"/>
  <c r="U111" i="9"/>
  <c r="R75" i="9"/>
  <c r="S75" i="9"/>
  <c r="V75" i="9"/>
  <c r="P75" i="9"/>
  <c r="T75" i="9"/>
  <c r="U75" i="9"/>
  <c r="M72" i="9"/>
  <c r="O72" i="9"/>
  <c r="N72" i="9"/>
  <c r="Q72" i="9"/>
  <c r="M56" i="9"/>
  <c r="O56" i="9"/>
  <c r="N56" i="9"/>
  <c r="Q56" i="9"/>
  <c r="M66" i="9"/>
  <c r="O66" i="9"/>
  <c r="N66" i="9"/>
  <c r="Q66" i="9"/>
  <c r="M68" i="9"/>
  <c r="O68" i="9"/>
  <c r="N68" i="9"/>
  <c r="Q68" i="9"/>
  <c r="N51" i="9"/>
  <c r="Q51" i="9"/>
  <c r="M51" i="9"/>
  <c r="O51" i="9"/>
  <c r="M62" i="9"/>
  <c r="O62" i="9"/>
  <c r="N62" i="9"/>
  <c r="Q62" i="9"/>
  <c r="N45" i="9"/>
  <c r="Q45" i="9"/>
  <c r="M45" i="9"/>
  <c r="O45" i="9"/>
  <c r="M64" i="9"/>
  <c r="O64" i="9"/>
  <c r="N64" i="9"/>
  <c r="Q64" i="9"/>
  <c r="N47" i="9"/>
  <c r="Q47" i="9"/>
  <c r="M47" i="9"/>
  <c r="O47" i="9"/>
  <c r="M74" i="9"/>
  <c r="O74" i="9"/>
  <c r="N74" i="9"/>
  <c r="Q74" i="9"/>
  <c r="N49" i="9"/>
  <c r="Q49" i="9"/>
  <c r="M49" i="9"/>
  <c r="O49" i="9"/>
  <c r="M60" i="9"/>
  <c r="O60" i="9"/>
  <c r="N60" i="9"/>
  <c r="Q60" i="9"/>
  <c r="M70" i="9"/>
  <c r="O70" i="9"/>
  <c r="N70" i="9"/>
  <c r="Q70" i="9"/>
  <c r="N53" i="9"/>
  <c r="Q53" i="9"/>
  <c r="M53" i="9"/>
  <c r="O53" i="9"/>
  <c r="M58" i="9"/>
  <c r="O58" i="9"/>
  <c r="N58" i="9"/>
  <c r="Q58" i="9"/>
  <c r="C48" i="2"/>
  <c r="CA76" i="9"/>
  <c r="B116" i="9"/>
  <c r="BD105" i="9"/>
  <c r="BG105" i="9"/>
  <c r="BD109" i="9"/>
  <c r="BG109" i="9"/>
  <c r="BD102" i="9"/>
  <c r="BD106" i="9"/>
  <c r="BG106" i="9"/>
  <c r="R112" i="9"/>
  <c r="C119" i="9"/>
  <c r="BH76" i="9"/>
  <c r="C115" i="9"/>
  <c r="CC76" i="9"/>
  <c r="C116" i="9"/>
  <c r="BE80" i="9"/>
  <c r="BF76" i="9"/>
  <c r="B115" i="9"/>
  <c r="BD103" i="9"/>
  <c r="BG103" i="9"/>
  <c r="BE109" i="9"/>
  <c r="T112" i="9"/>
  <c r="D119" i="9"/>
  <c r="BE102" i="9"/>
  <c r="V76" i="9"/>
  <c r="E113" i="9"/>
  <c r="BE105" i="9"/>
  <c r="BE103" i="9"/>
  <c r="BJ76" i="9"/>
  <c r="D115" i="9"/>
  <c r="BT108" i="9"/>
  <c r="BU108" i="9"/>
  <c r="BR108" i="9"/>
  <c r="BI85" i="9"/>
  <c r="BK85" i="9"/>
  <c r="BL85" i="9"/>
  <c r="BF85" i="9"/>
  <c r="BJ85" i="9"/>
  <c r="BH85" i="9"/>
  <c r="BI93" i="9"/>
  <c r="BK93" i="9"/>
  <c r="BL93" i="9"/>
  <c r="BF93" i="9"/>
  <c r="BJ93" i="9"/>
  <c r="BH93" i="9"/>
  <c r="BI101" i="9"/>
  <c r="BK101" i="9"/>
  <c r="BL101" i="9"/>
  <c r="BF101" i="9"/>
  <c r="BJ101" i="9"/>
  <c r="BH101" i="9"/>
  <c r="BI87" i="9"/>
  <c r="BK87" i="9"/>
  <c r="BJ87" i="9"/>
  <c r="BH87" i="9"/>
  <c r="BL87" i="9"/>
  <c r="BF87" i="9"/>
  <c r="BI88" i="9"/>
  <c r="BK88" i="9"/>
  <c r="BF88" i="9"/>
  <c r="BH88" i="9"/>
  <c r="BL88" i="9"/>
  <c r="BJ88" i="9"/>
  <c r="BI96" i="9"/>
  <c r="BK96" i="9"/>
  <c r="BF96" i="9"/>
  <c r="BH96" i="9"/>
  <c r="BL96" i="9"/>
  <c r="BJ96" i="9"/>
  <c r="BI104" i="9"/>
  <c r="BK104" i="9"/>
  <c r="BF104" i="9"/>
  <c r="BH104" i="9"/>
  <c r="BL104" i="9"/>
  <c r="BJ104" i="9"/>
  <c r="BI89" i="9"/>
  <c r="BK89" i="9"/>
  <c r="BL89" i="9"/>
  <c r="BF89" i="9"/>
  <c r="BJ89" i="9"/>
  <c r="BH89" i="9"/>
  <c r="BI97" i="9"/>
  <c r="BK97" i="9"/>
  <c r="BL97" i="9"/>
  <c r="BF97" i="9"/>
  <c r="BJ97" i="9"/>
  <c r="BH97" i="9"/>
  <c r="BU104" i="9"/>
  <c r="BT104" i="9"/>
  <c r="BR104" i="9"/>
  <c r="BY104" i="9"/>
  <c r="BU100" i="9"/>
  <c r="BT100" i="9"/>
  <c r="BR100" i="9"/>
  <c r="BU96" i="9"/>
  <c r="BT96" i="9"/>
  <c r="BR96" i="9"/>
  <c r="BX96" i="9"/>
  <c r="BT92" i="9"/>
  <c r="BU92" i="9"/>
  <c r="BR92" i="9"/>
  <c r="BT88" i="9"/>
  <c r="BU88" i="9"/>
  <c r="BR88" i="9"/>
  <c r="BX88" i="9"/>
  <c r="BU84" i="9"/>
  <c r="BT84" i="9"/>
  <c r="BR84" i="9"/>
  <c r="BI84" i="9"/>
  <c r="BK84" i="9"/>
  <c r="BF84" i="9"/>
  <c r="BH84" i="9"/>
  <c r="BL84" i="9"/>
  <c r="BJ84" i="9"/>
  <c r="BI92" i="9"/>
  <c r="BK92" i="9"/>
  <c r="BF92" i="9"/>
  <c r="BH92" i="9"/>
  <c r="BL92" i="9"/>
  <c r="BJ92" i="9"/>
  <c r="BI100" i="9"/>
  <c r="BK100" i="9"/>
  <c r="BF100" i="9"/>
  <c r="BH100" i="9"/>
  <c r="BL100" i="9"/>
  <c r="BJ100" i="9"/>
  <c r="AH103" i="9"/>
  <c r="AJ103" i="9"/>
  <c r="AI103" i="9"/>
  <c r="AL103" i="9"/>
  <c r="AI95" i="9"/>
  <c r="AL95" i="9"/>
  <c r="AH95" i="9"/>
  <c r="AJ95" i="9"/>
  <c r="AZ85" i="9"/>
  <c r="AY85" i="9"/>
  <c r="AW85" i="9"/>
  <c r="AZ93" i="9"/>
  <c r="AY93" i="9"/>
  <c r="AW93" i="9"/>
  <c r="AY82" i="9"/>
  <c r="AZ82" i="9"/>
  <c r="AW82" i="9"/>
  <c r="AZ90" i="9"/>
  <c r="AY90" i="9"/>
  <c r="AW90" i="9"/>
  <c r="AY100" i="9"/>
  <c r="AZ100" i="9"/>
  <c r="AW100" i="9"/>
  <c r="AZ108" i="9"/>
  <c r="AW108" i="9"/>
  <c r="AY108" i="9"/>
  <c r="BI81" i="9"/>
  <c r="BK81" i="9"/>
  <c r="BL81" i="9"/>
  <c r="BF81" i="9"/>
  <c r="BJ81" i="9"/>
  <c r="BH81" i="9"/>
  <c r="BG101" i="9"/>
  <c r="BI105" i="9"/>
  <c r="BK105" i="9"/>
  <c r="BL105" i="9"/>
  <c r="BF105" i="9"/>
  <c r="BJ105" i="9"/>
  <c r="BH105" i="9"/>
  <c r="BI109" i="9"/>
  <c r="BK109" i="9"/>
  <c r="BL109" i="9"/>
  <c r="BF109" i="9"/>
  <c r="BJ109" i="9"/>
  <c r="BH109" i="9"/>
  <c r="BG102" i="9"/>
  <c r="BE106" i="9"/>
  <c r="BI110" i="9"/>
  <c r="BE110" i="9"/>
  <c r="BK110" i="9"/>
  <c r="BL110" i="9"/>
  <c r="BJ110" i="9"/>
  <c r="BF110" i="9"/>
  <c r="BH110" i="9"/>
  <c r="AL75" i="9"/>
  <c r="AM76" i="9"/>
  <c r="C114" i="9"/>
  <c r="CW75" i="9"/>
  <c r="CX76" i="9"/>
  <c r="C117" i="9"/>
  <c r="CK81" i="9"/>
  <c r="CK83" i="9"/>
  <c r="CK85" i="9"/>
  <c r="CK87" i="9"/>
  <c r="CK89" i="9"/>
  <c r="CK91" i="9"/>
  <c r="CK93" i="9"/>
  <c r="CK95" i="9"/>
  <c r="CK97" i="9"/>
  <c r="CK99" i="9"/>
  <c r="CK101" i="9"/>
  <c r="CK103" i="9"/>
  <c r="CK105" i="9"/>
  <c r="CK107" i="9"/>
  <c r="CK109" i="9"/>
  <c r="CK80" i="9"/>
  <c r="CN81" i="9"/>
  <c r="CN83" i="9"/>
  <c r="CN85" i="9"/>
  <c r="CN87" i="9"/>
  <c r="CN89" i="9"/>
  <c r="CM89" i="9"/>
  <c r="CN91" i="9"/>
  <c r="CN93" i="9"/>
  <c r="CM93" i="9"/>
  <c r="CN95" i="9"/>
  <c r="CN97" i="9"/>
  <c r="CM97" i="9"/>
  <c r="CN99" i="9"/>
  <c r="CN101" i="9"/>
  <c r="CN103" i="9"/>
  <c r="CN105" i="9"/>
  <c r="CN107" i="9"/>
  <c r="CN109" i="9"/>
  <c r="CN80" i="9"/>
  <c r="CK82" i="9"/>
  <c r="CK84" i="9"/>
  <c r="CN84" i="9"/>
  <c r="CK86" i="9"/>
  <c r="CK88" i="9"/>
  <c r="CN88" i="9"/>
  <c r="CK90" i="9"/>
  <c r="CK92" i="9"/>
  <c r="CN92" i="9"/>
  <c r="CK94" i="9"/>
  <c r="CK96" i="9"/>
  <c r="CN96" i="9"/>
  <c r="CK98" i="9"/>
  <c r="CK100" i="9"/>
  <c r="CN100" i="9"/>
  <c r="CK102" i="9"/>
  <c r="CK104" i="9"/>
  <c r="CN104" i="9"/>
  <c r="CK106" i="9"/>
  <c r="CK108" i="9"/>
  <c r="CN108" i="9"/>
  <c r="CK110" i="9"/>
  <c r="AI109" i="9"/>
  <c r="AL109" i="9"/>
  <c r="AH109" i="9"/>
  <c r="AJ109" i="9"/>
  <c r="AI93" i="9"/>
  <c r="AL93" i="9"/>
  <c r="AH93" i="9"/>
  <c r="AJ93" i="9"/>
  <c r="AH94" i="9"/>
  <c r="AJ94" i="9"/>
  <c r="AI94" i="9"/>
  <c r="AL94" i="9"/>
  <c r="BV110" i="9"/>
  <c r="BW110" i="9"/>
  <c r="BV106" i="9"/>
  <c r="BW106" i="9"/>
  <c r="BV102" i="9"/>
  <c r="BW102" i="9"/>
  <c r="BV98" i="9"/>
  <c r="BW98" i="9"/>
  <c r="BV94" i="9"/>
  <c r="BW94" i="9"/>
  <c r="BV90" i="9"/>
  <c r="BW90" i="9"/>
  <c r="BV86" i="9"/>
  <c r="BW86" i="9"/>
  <c r="BV82" i="9"/>
  <c r="BW82" i="9"/>
  <c r="BU80" i="9"/>
  <c r="BT80" i="9"/>
  <c r="BR80" i="9"/>
  <c r="BY80" i="9"/>
  <c r="BT107" i="9"/>
  <c r="BU107" i="9"/>
  <c r="BR107" i="9"/>
  <c r="BY107" i="9"/>
  <c r="BR103" i="9"/>
  <c r="BY103" i="9"/>
  <c r="BU103" i="9"/>
  <c r="BT103" i="9"/>
  <c r="BR99" i="9"/>
  <c r="BX99" i="9"/>
  <c r="BT99" i="9"/>
  <c r="BU99" i="9"/>
  <c r="BR95" i="9"/>
  <c r="BY95" i="9"/>
  <c r="BT95" i="9"/>
  <c r="BU95" i="9"/>
  <c r="BR91" i="9"/>
  <c r="BX91" i="9"/>
  <c r="BU91" i="9"/>
  <c r="BT91" i="9"/>
  <c r="BR87" i="9"/>
  <c r="BY87" i="9"/>
  <c r="BU87" i="9"/>
  <c r="BT87" i="9"/>
  <c r="BU83" i="9"/>
  <c r="BT83" i="9"/>
  <c r="BR83" i="9"/>
  <c r="BW80" i="9"/>
  <c r="BV80" i="9"/>
  <c r="BX80" i="9"/>
  <c r="BZ80" i="9"/>
  <c r="BV107" i="9"/>
  <c r="BW107" i="9"/>
  <c r="BV103" i="9"/>
  <c r="BW103" i="9"/>
  <c r="BV99" i="9"/>
  <c r="BW99" i="9"/>
  <c r="BV95" i="9"/>
  <c r="BW95" i="9"/>
  <c r="BV91" i="9"/>
  <c r="BW91" i="9"/>
  <c r="BV87" i="9"/>
  <c r="BW87" i="9"/>
  <c r="BV83" i="9"/>
  <c r="BW83" i="9"/>
  <c r="AI107" i="9"/>
  <c r="AL107" i="9"/>
  <c r="AH107" i="9"/>
  <c r="AJ107" i="9"/>
  <c r="AH91" i="9"/>
  <c r="AJ91" i="9"/>
  <c r="AI91" i="9"/>
  <c r="AL91" i="9"/>
  <c r="AY83" i="9"/>
  <c r="AZ83" i="9"/>
  <c r="AW83" i="9"/>
  <c r="AY91" i="9"/>
  <c r="AZ91" i="9"/>
  <c r="AW91" i="9"/>
  <c r="AZ99" i="9"/>
  <c r="AY99" i="9"/>
  <c r="AW99" i="9"/>
  <c r="AY88" i="9"/>
  <c r="AZ88" i="9"/>
  <c r="AW88" i="9"/>
  <c r="AZ96" i="9"/>
  <c r="AY96" i="9"/>
  <c r="AW96" i="9"/>
  <c r="BI83" i="9"/>
  <c r="BK83" i="9"/>
  <c r="BJ83" i="9"/>
  <c r="BH83" i="9"/>
  <c r="BL83" i="9"/>
  <c r="BF83" i="9"/>
  <c r="BI91" i="9"/>
  <c r="BK91" i="9"/>
  <c r="BJ91" i="9"/>
  <c r="BH91" i="9"/>
  <c r="BL91" i="9"/>
  <c r="BF91" i="9"/>
  <c r="BI95" i="9"/>
  <c r="BK95" i="9"/>
  <c r="BJ95" i="9"/>
  <c r="BH95" i="9"/>
  <c r="BL95" i="9"/>
  <c r="BF95" i="9"/>
  <c r="BI99" i="9"/>
  <c r="BK99" i="9"/>
  <c r="BJ99" i="9"/>
  <c r="BH99" i="9"/>
  <c r="BL99" i="9"/>
  <c r="BF99" i="9"/>
  <c r="BI103" i="9"/>
  <c r="BK103" i="9"/>
  <c r="BJ103" i="9"/>
  <c r="BH103" i="9"/>
  <c r="BL103" i="9"/>
  <c r="BF103" i="9"/>
  <c r="BC107" i="9"/>
  <c r="BE107" i="9"/>
  <c r="BI107" i="9"/>
  <c r="BK107" i="9"/>
  <c r="BJ107" i="9"/>
  <c r="BH107" i="9"/>
  <c r="BL107" i="9"/>
  <c r="BF107" i="9"/>
  <c r="DU76" i="9"/>
  <c r="D118" i="9"/>
  <c r="DF81" i="9"/>
  <c r="DF83" i="9"/>
  <c r="DF85" i="9"/>
  <c r="DF87" i="9"/>
  <c r="DF89" i="9"/>
  <c r="DF91" i="9"/>
  <c r="DF93" i="9"/>
  <c r="DF95" i="9"/>
  <c r="DF97" i="9"/>
  <c r="DF99" i="9"/>
  <c r="DF101" i="9"/>
  <c r="DF103" i="9"/>
  <c r="DF105" i="9"/>
  <c r="DF107" i="9"/>
  <c r="DF109" i="9"/>
  <c r="DF80" i="9"/>
  <c r="DI81" i="9"/>
  <c r="DI83" i="9"/>
  <c r="DI85" i="9"/>
  <c r="DI87" i="9"/>
  <c r="DI89" i="9"/>
  <c r="DI91" i="9"/>
  <c r="DI93" i="9"/>
  <c r="DI95" i="9"/>
  <c r="DI97" i="9"/>
  <c r="DI99" i="9"/>
  <c r="DI101" i="9"/>
  <c r="DI103" i="9"/>
  <c r="DI105" i="9"/>
  <c r="DI107" i="9"/>
  <c r="DI109" i="9"/>
  <c r="DI80" i="9"/>
  <c r="DF82" i="9"/>
  <c r="DF84" i="9"/>
  <c r="DI84" i="9"/>
  <c r="DF86" i="9"/>
  <c r="DF88" i="9"/>
  <c r="DI88" i="9"/>
  <c r="DF90" i="9"/>
  <c r="DF92" i="9"/>
  <c r="DI92" i="9"/>
  <c r="DF94" i="9"/>
  <c r="DF96" i="9"/>
  <c r="DI96" i="9"/>
  <c r="DF98" i="9"/>
  <c r="DF100" i="9"/>
  <c r="DI100" i="9"/>
  <c r="DF102" i="9"/>
  <c r="DF104" i="9"/>
  <c r="DI104" i="9"/>
  <c r="DF106" i="9"/>
  <c r="DF108" i="9"/>
  <c r="DI108" i="9"/>
  <c r="DF110" i="9"/>
  <c r="DP75" i="9"/>
  <c r="DQ76" i="9"/>
  <c r="B118" i="9"/>
  <c r="AI105" i="9"/>
  <c r="AL105" i="9"/>
  <c r="AH105" i="9"/>
  <c r="AJ105" i="9"/>
  <c r="AH97" i="9"/>
  <c r="AJ97" i="9"/>
  <c r="AI97" i="9"/>
  <c r="AL97" i="9"/>
  <c r="AI81" i="9"/>
  <c r="AL81" i="9"/>
  <c r="AH81" i="9"/>
  <c r="AJ81" i="9"/>
  <c r="AH106" i="9"/>
  <c r="AJ106" i="9"/>
  <c r="AI106" i="9"/>
  <c r="AL106" i="9"/>
  <c r="AH90" i="9"/>
  <c r="AJ90" i="9"/>
  <c r="AI90" i="9"/>
  <c r="AL90" i="9"/>
  <c r="BL76" i="9"/>
  <c r="E115" i="9"/>
  <c r="AK111" i="9"/>
  <c r="AO111" i="9"/>
  <c r="AP111" i="9"/>
  <c r="AN111" i="9"/>
  <c r="AO112" i="9"/>
  <c r="D120" i="9"/>
  <c r="AI80" i="9"/>
  <c r="AL80" i="9"/>
  <c r="AH80" i="9"/>
  <c r="AJ80" i="9"/>
  <c r="AH87" i="9"/>
  <c r="AJ87" i="9"/>
  <c r="AI87" i="9"/>
  <c r="AL87" i="9"/>
  <c r="AY81" i="9"/>
  <c r="AW81" i="9"/>
  <c r="AZ81" i="9"/>
  <c r="AZ89" i="9"/>
  <c r="AY89" i="9"/>
  <c r="AW89" i="9"/>
  <c r="AY97" i="9"/>
  <c r="AZ97" i="9"/>
  <c r="AW97" i="9"/>
  <c r="AZ86" i="9"/>
  <c r="AY86" i="9"/>
  <c r="AW86" i="9"/>
  <c r="AZ94" i="9"/>
  <c r="AY94" i="9"/>
  <c r="AW94" i="9"/>
  <c r="AZ104" i="9"/>
  <c r="AY104" i="9"/>
  <c r="AW104" i="9"/>
  <c r="BE101" i="9"/>
  <c r="AY98" i="9"/>
  <c r="AZ98" i="9"/>
  <c r="AW98" i="9"/>
  <c r="BI82" i="9"/>
  <c r="BK82" i="9"/>
  <c r="BL82" i="9"/>
  <c r="BJ82" i="9"/>
  <c r="BF82" i="9"/>
  <c r="BH82" i="9"/>
  <c r="BI86" i="9"/>
  <c r="BK86" i="9"/>
  <c r="BL86" i="9"/>
  <c r="BJ86" i="9"/>
  <c r="BF86" i="9"/>
  <c r="BH86" i="9"/>
  <c r="BI90" i="9"/>
  <c r="BK90" i="9"/>
  <c r="BL90" i="9"/>
  <c r="BJ90" i="9"/>
  <c r="BF90" i="9"/>
  <c r="BH90" i="9"/>
  <c r="BI94" i="9"/>
  <c r="BK94" i="9"/>
  <c r="BL94" i="9"/>
  <c r="BJ94" i="9"/>
  <c r="BF94" i="9"/>
  <c r="BH94" i="9"/>
  <c r="BI98" i="9"/>
  <c r="BK98" i="9"/>
  <c r="BL98" i="9"/>
  <c r="BJ98" i="9"/>
  <c r="BF98" i="9"/>
  <c r="BH98" i="9"/>
  <c r="BI102" i="9"/>
  <c r="BK102" i="9"/>
  <c r="BL102" i="9"/>
  <c r="BJ102" i="9"/>
  <c r="BF102" i="9"/>
  <c r="BH102" i="9"/>
  <c r="BI106" i="9"/>
  <c r="BK106" i="9"/>
  <c r="BL106" i="9"/>
  <c r="BJ106" i="9"/>
  <c r="BF106" i="9"/>
  <c r="BH106" i="9"/>
  <c r="AJ75" i="9"/>
  <c r="AK76" i="9"/>
  <c r="B114" i="9"/>
  <c r="CU75" i="9"/>
  <c r="CV76" i="9"/>
  <c r="B117" i="9"/>
  <c r="AH101" i="9"/>
  <c r="AJ101" i="9"/>
  <c r="AI101" i="9"/>
  <c r="AL101" i="9"/>
  <c r="AH85" i="9"/>
  <c r="AJ85" i="9"/>
  <c r="AI85" i="9"/>
  <c r="AL85" i="9"/>
  <c r="AI110" i="9"/>
  <c r="AL110" i="9"/>
  <c r="AH110" i="9"/>
  <c r="AJ110" i="9"/>
  <c r="AI102" i="9"/>
  <c r="AL102" i="9"/>
  <c r="AH102" i="9"/>
  <c r="AJ102" i="9"/>
  <c r="AI86" i="9"/>
  <c r="AL86" i="9"/>
  <c r="AH86" i="9"/>
  <c r="AJ86" i="9"/>
  <c r="V112" i="9"/>
  <c r="E119" i="9"/>
  <c r="CZ76" i="9"/>
  <c r="D117" i="9"/>
  <c r="DB76" i="9"/>
  <c r="E117" i="9"/>
  <c r="BW108" i="9"/>
  <c r="BV108" i="9"/>
  <c r="BY108" i="9"/>
  <c r="CB108" i="9"/>
  <c r="BX108" i="9"/>
  <c r="BV104" i="9"/>
  <c r="BW104" i="9"/>
  <c r="BX104" i="9"/>
  <c r="BV100" i="9"/>
  <c r="BW100" i="9"/>
  <c r="BX100" i="9"/>
  <c r="BY100" i="9"/>
  <c r="BV96" i="9"/>
  <c r="BW96" i="9"/>
  <c r="BY96" i="9"/>
  <c r="BV92" i="9"/>
  <c r="BW92" i="9"/>
  <c r="BX92" i="9"/>
  <c r="BY92" i="9"/>
  <c r="BV88" i="9"/>
  <c r="BW88" i="9"/>
  <c r="BY88" i="9"/>
  <c r="BV84" i="9"/>
  <c r="BW84" i="9"/>
  <c r="BT109" i="9"/>
  <c r="BU109" i="9"/>
  <c r="BR109" i="9"/>
  <c r="BX109" i="9"/>
  <c r="BT105" i="9"/>
  <c r="BU105" i="9"/>
  <c r="BR105" i="9"/>
  <c r="BY105" i="9"/>
  <c r="BR101" i="9"/>
  <c r="BX101" i="9"/>
  <c r="BU101" i="9"/>
  <c r="BT101" i="9"/>
  <c r="BR97" i="9"/>
  <c r="BX97" i="9"/>
  <c r="BU97" i="9"/>
  <c r="BT97" i="9"/>
  <c r="BR93" i="9"/>
  <c r="BX93" i="9"/>
  <c r="BT93" i="9"/>
  <c r="BU93" i="9"/>
  <c r="BR89" i="9"/>
  <c r="BY89" i="9"/>
  <c r="BU89" i="9"/>
  <c r="BT89" i="9"/>
  <c r="BU85" i="9"/>
  <c r="BT85" i="9"/>
  <c r="BR85" i="9"/>
  <c r="BU81" i="9"/>
  <c r="BT81" i="9"/>
  <c r="BR81" i="9"/>
  <c r="BX81" i="9"/>
  <c r="BW109" i="9"/>
  <c r="BV109" i="9"/>
  <c r="BV105" i="9"/>
  <c r="BW105" i="9"/>
  <c r="BV101" i="9"/>
  <c r="BW101" i="9"/>
  <c r="BY101" i="9"/>
  <c r="BV97" i="9"/>
  <c r="BW97" i="9"/>
  <c r="BV93" i="9"/>
  <c r="BW93" i="9"/>
  <c r="BV89" i="9"/>
  <c r="BW89" i="9"/>
  <c r="BV85" i="9"/>
  <c r="BW85" i="9"/>
  <c r="BV81" i="9"/>
  <c r="BW81" i="9"/>
  <c r="BS110" i="9"/>
  <c r="BS106" i="9"/>
  <c r="BS102" i="9"/>
  <c r="BS98" i="9"/>
  <c r="BS94" i="9"/>
  <c r="BS90" i="9"/>
  <c r="BS86" i="9"/>
  <c r="BS82" i="9"/>
  <c r="AH99" i="9"/>
  <c r="AJ99" i="9"/>
  <c r="AI99" i="9"/>
  <c r="AL99" i="9"/>
  <c r="AH83" i="9"/>
  <c r="AJ83" i="9"/>
  <c r="AI83" i="9"/>
  <c r="AL83" i="9"/>
  <c r="CG76" i="9"/>
  <c r="E116" i="9"/>
  <c r="AZ87" i="9"/>
  <c r="AY87" i="9"/>
  <c r="AW87" i="9"/>
  <c r="AZ95" i="9"/>
  <c r="AY95" i="9"/>
  <c r="AW95" i="9"/>
  <c r="AZ84" i="9"/>
  <c r="AY84" i="9"/>
  <c r="AW84" i="9"/>
  <c r="AY92" i="9"/>
  <c r="AZ92" i="9"/>
  <c r="AW92" i="9"/>
  <c r="BD80" i="9"/>
  <c r="BG80" i="9"/>
  <c r="BI80" i="9"/>
  <c r="BK80" i="9"/>
  <c r="BJ80" i="9"/>
  <c r="BH80" i="9"/>
  <c r="BL80" i="9"/>
  <c r="BF80" i="9"/>
  <c r="BI108" i="9"/>
  <c r="BK108" i="9"/>
  <c r="BF108" i="9"/>
  <c r="BH108" i="9"/>
  <c r="BL108" i="9"/>
  <c r="BJ108" i="9"/>
  <c r="AQ76" i="9"/>
  <c r="E114" i="9"/>
  <c r="DR75" i="9"/>
  <c r="DS76" i="9"/>
  <c r="C118" i="9"/>
  <c r="AI89" i="9"/>
  <c r="AL89" i="9"/>
  <c r="AH89" i="9"/>
  <c r="AJ89" i="9"/>
  <c r="AI98" i="9"/>
  <c r="AL98" i="9"/>
  <c r="AH98" i="9"/>
  <c r="AJ98" i="9"/>
  <c r="AH82" i="9"/>
  <c r="AJ82" i="9"/>
  <c r="AI82" i="9"/>
  <c r="AL82" i="9"/>
  <c r="AM111" i="9"/>
  <c r="AQ111" i="9"/>
  <c r="O75" i="9"/>
  <c r="P76" i="9"/>
  <c r="B113" i="9"/>
  <c r="T76" i="9"/>
  <c r="D113" i="9"/>
  <c r="Q75" i="9"/>
  <c r="R76" i="9"/>
  <c r="C113" i="9"/>
  <c r="CB107" i="9"/>
  <c r="CB80" i="9"/>
  <c r="BY93" i="9"/>
  <c r="BY99" i="9"/>
  <c r="CB99" i="9"/>
  <c r="BY109" i="9"/>
  <c r="CB109" i="9"/>
  <c r="BX95" i="9"/>
  <c r="BZ95" i="9"/>
  <c r="BX103" i="9"/>
  <c r="BX83" i="9"/>
  <c r="BZ83" i="9"/>
  <c r="BY83" i="9"/>
  <c r="CB83" i="9"/>
  <c r="BY85" i="9"/>
  <c r="BX85" i="9"/>
  <c r="BZ85" i="9"/>
  <c r="BX84" i="9"/>
  <c r="BZ84" i="9"/>
  <c r="BY84" i="9"/>
  <c r="CB84" i="9"/>
  <c r="BZ100" i="9"/>
  <c r="CB104" i="9"/>
  <c r="BZ109" i="9"/>
  <c r="BX87" i="9"/>
  <c r="BZ87" i="9"/>
  <c r="CB105" i="9"/>
  <c r="BZ88" i="9"/>
  <c r="BZ96" i="9"/>
  <c r="BZ99" i="9"/>
  <c r="BZ97" i="9"/>
  <c r="BY97" i="9"/>
  <c r="CB97" i="9"/>
  <c r="BY91" i="9"/>
  <c r="CB91" i="9"/>
  <c r="BX107" i="9"/>
  <c r="BZ107" i="9"/>
  <c r="BZ91" i="9"/>
  <c r="CB89" i="9"/>
  <c r="BX89" i="9"/>
  <c r="BZ89" i="9"/>
  <c r="BX105" i="9"/>
  <c r="BZ105" i="9"/>
  <c r="CB103" i="9"/>
  <c r="DK104" i="9"/>
  <c r="DJ104" i="9"/>
  <c r="DH104" i="9"/>
  <c r="DN104" i="9"/>
  <c r="DK96" i="9"/>
  <c r="DJ96" i="9"/>
  <c r="DH96" i="9"/>
  <c r="DJ88" i="9"/>
  <c r="DK88" i="9"/>
  <c r="DH88" i="9"/>
  <c r="DO88" i="9"/>
  <c r="CD94" i="9"/>
  <c r="CF94" i="9"/>
  <c r="CE94" i="9"/>
  <c r="CG94" i="9"/>
  <c r="CA94" i="9"/>
  <c r="CC94" i="9"/>
  <c r="CD102" i="9"/>
  <c r="CF102" i="9"/>
  <c r="CE102" i="9"/>
  <c r="CG102" i="9"/>
  <c r="CA102" i="9"/>
  <c r="CC102" i="9"/>
  <c r="CP104" i="9"/>
  <c r="CO104" i="9"/>
  <c r="CM104" i="9"/>
  <c r="CP96" i="9"/>
  <c r="CO96" i="9"/>
  <c r="CM96" i="9"/>
  <c r="CS96" i="9"/>
  <c r="CP88" i="9"/>
  <c r="CO88" i="9"/>
  <c r="CM88" i="9"/>
  <c r="CP84" i="9"/>
  <c r="CO84" i="9"/>
  <c r="CM84" i="9"/>
  <c r="CT84" i="9"/>
  <c r="CD85" i="9"/>
  <c r="CF85" i="9"/>
  <c r="CG85" i="9"/>
  <c r="CA85" i="9"/>
  <c r="CE85" i="9"/>
  <c r="CC85" i="9"/>
  <c r="CD89" i="9"/>
  <c r="CF89" i="9"/>
  <c r="CG89" i="9"/>
  <c r="CA89" i="9"/>
  <c r="CE89" i="9"/>
  <c r="CC89" i="9"/>
  <c r="CD101" i="9"/>
  <c r="CF101" i="9"/>
  <c r="CG101" i="9"/>
  <c r="CA101" i="9"/>
  <c r="CE101" i="9"/>
  <c r="CC101" i="9"/>
  <c r="DK108" i="9"/>
  <c r="DJ108" i="9"/>
  <c r="DH108" i="9"/>
  <c r="DK100" i="9"/>
  <c r="DJ100" i="9"/>
  <c r="DH100" i="9"/>
  <c r="DO100" i="9"/>
  <c r="DJ92" i="9"/>
  <c r="DK92" i="9"/>
  <c r="DH92" i="9"/>
  <c r="DJ84" i="9"/>
  <c r="DK84" i="9"/>
  <c r="DH84" i="9"/>
  <c r="DN84" i="9"/>
  <c r="CD86" i="9"/>
  <c r="CF86" i="9"/>
  <c r="CE86" i="9"/>
  <c r="CG86" i="9"/>
  <c r="CA86" i="9"/>
  <c r="CC86" i="9"/>
  <c r="CP108" i="9"/>
  <c r="CO108" i="9"/>
  <c r="CM108" i="9"/>
  <c r="CP100" i="9"/>
  <c r="CO100" i="9"/>
  <c r="CM100" i="9"/>
  <c r="CS100" i="9"/>
  <c r="CP92" i="9"/>
  <c r="CO92" i="9"/>
  <c r="CM92" i="9"/>
  <c r="CD93" i="9"/>
  <c r="CF93" i="9"/>
  <c r="CG93" i="9"/>
  <c r="CA93" i="9"/>
  <c r="CE93" i="9"/>
  <c r="CC93" i="9"/>
  <c r="CD97" i="9"/>
  <c r="CF97" i="9"/>
  <c r="CG97" i="9"/>
  <c r="CA97" i="9"/>
  <c r="CE97" i="9"/>
  <c r="CC97" i="9"/>
  <c r="CD82" i="9"/>
  <c r="CF82" i="9"/>
  <c r="CE82" i="9"/>
  <c r="CG82" i="9"/>
  <c r="CA82" i="9"/>
  <c r="CC82" i="9"/>
  <c r="CD90" i="9"/>
  <c r="CF90" i="9"/>
  <c r="CE90" i="9"/>
  <c r="CG90" i="9"/>
  <c r="CA90" i="9"/>
  <c r="CC90" i="9"/>
  <c r="CD98" i="9"/>
  <c r="CF98" i="9"/>
  <c r="CE98" i="9"/>
  <c r="CG98" i="9"/>
  <c r="CA98" i="9"/>
  <c r="CC98" i="9"/>
  <c r="BC92" i="9"/>
  <c r="BE92" i="9"/>
  <c r="BD92" i="9"/>
  <c r="BG92" i="9"/>
  <c r="BU86" i="9"/>
  <c r="BT86" i="9"/>
  <c r="BR86" i="9"/>
  <c r="BU102" i="9"/>
  <c r="BT102" i="9"/>
  <c r="BR102" i="9"/>
  <c r="BY81" i="9"/>
  <c r="CB81" i="9"/>
  <c r="CD88" i="9"/>
  <c r="CF88" i="9"/>
  <c r="CC88" i="9"/>
  <c r="CE88" i="9"/>
  <c r="CG88" i="9"/>
  <c r="CA88" i="9"/>
  <c r="CD96" i="9"/>
  <c r="CF96" i="9"/>
  <c r="CC96" i="9"/>
  <c r="CE96" i="9"/>
  <c r="CG96" i="9"/>
  <c r="CA96" i="9"/>
  <c r="CD104" i="9"/>
  <c r="CF104" i="9"/>
  <c r="CC104" i="9"/>
  <c r="CE104" i="9"/>
  <c r="CG104" i="9"/>
  <c r="CA104" i="9"/>
  <c r="BD97" i="9"/>
  <c r="BG97" i="9"/>
  <c r="BC97" i="9"/>
  <c r="BE97" i="9"/>
  <c r="AL111" i="9"/>
  <c r="AM112" i="9"/>
  <c r="C120" i="9"/>
  <c r="DL110" i="9"/>
  <c r="DM110" i="9"/>
  <c r="DL106" i="9"/>
  <c r="DM106" i="9"/>
  <c r="DL102" i="9"/>
  <c r="DM102" i="9"/>
  <c r="DL98" i="9"/>
  <c r="DM98" i="9"/>
  <c r="DL94" i="9"/>
  <c r="DM94" i="9"/>
  <c r="DL90" i="9"/>
  <c r="DM90" i="9"/>
  <c r="DL86" i="9"/>
  <c r="DM86" i="9"/>
  <c r="DL82" i="9"/>
  <c r="DM82" i="9"/>
  <c r="DK109" i="9"/>
  <c r="DH109" i="9"/>
  <c r="DJ109" i="9"/>
  <c r="DK105" i="9"/>
  <c r="DH105" i="9"/>
  <c r="DJ105" i="9"/>
  <c r="DJ101" i="9"/>
  <c r="DK101" i="9"/>
  <c r="DH101" i="9"/>
  <c r="DO101" i="9"/>
  <c r="DH97" i="9"/>
  <c r="DN97" i="9"/>
  <c r="DK97" i="9"/>
  <c r="DJ97" i="9"/>
  <c r="DH93" i="9"/>
  <c r="DN93" i="9"/>
  <c r="DK93" i="9"/>
  <c r="DJ93" i="9"/>
  <c r="DH89" i="9"/>
  <c r="DO89" i="9"/>
  <c r="DJ89" i="9"/>
  <c r="DK89" i="9"/>
  <c r="DH85" i="9"/>
  <c r="DN85" i="9"/>
  <c r="DJ85" i="9"/>
  <c r="DK85" i="9"/>
  <c r="DK81" i="9"/>
  <c r="DJ81" i="9"/>
  <c r="DH81" i="9"/>
  <c r="DL109" i="9"/>
  <c r="DM109" i="9"/>
  <c r="DL105" i="9"/>
  <c r="DM105" i="9"/>
  <c r="DL101" i="9"/>
  <c r="DM101" i="9"/>
  <c r="DL97" i="9"/>
  <c r="DM97" i="9"/>
  <c r="DL93" i="9"/>
  <c r="DM93" i="9"/>
  <c r="DL89" i="9"/>
  <c r="DM89" i="9"/>
  <c r="DL85" i="9"/>
  <c r="DM85" i="9"/>
  <c r="DL81" i="9"/>
  <c r="DM81" i="9"/>
  <c r="BC96" i="9"/>
  <c r="BE96" i="9"/>
  <c r="BD96" i="9"/>
  <c r="BG96" i="9"/>
  <c r="BD99" i="9"/>
  <c r="BG99" i="9"/>
  <c r="BC99" i="9"/>
  <c r="BE99" i="9"/>
  <c r="BD83" i="9"/>
  <c r="BG83" i="9"/>
  <c r="BC83" i="9"/>
  <c r="BE83" i="9"/>
  <c r="CD83" i="9"/>
  <c r="CF83" i="9"/>
  <c r="CE83" i="9"/>
  <c r="CC83" i="9"/>
  <c r="CG83" i="9"/>
  <c r="CA83" i="9"/>
  <c r="CD87" i="9"/>
  <c r="CF87" i="9"/>
  <c r="CE87" i="9"/>
  <c r="CC87" i="9"/>
  <c r="CG87" i="9"/>
  <c r="CA87" i="9"/>
  <c r="CD91" i="9"/>
  <c r="CF91" i="9"/>
  <c r="CE91" i="9"/>
  <c r="CC91" i="9"/>
  <c r="CG91" i="9"/>
  <c r="CA91" i="9"/>
  <c r="CD95" i="9"/>
  <c r="CF95" i="9"/>
  <c r="CE95" i="9"/>
  <c r="CC95" i="9"/>
  <c r="CG95" i="9"/>
  <c r="CA95" i="9"/>
  <c r="CD99" i="9"/>
  <c r="CF99" i="9"/>
  <c r="CE99" i="9"/>
  <c r="CC99" i="9"/>
  <c r="CG99" i="9"/>
  <c r="CA99" i="9"/>
  <c r="CD103" i="9"/>
  <c r="CF103" i="9"/>
  <c r="CE103" i="9"/>
  <c r="CC103" i="9"/>
  <c r="CG103" i="9"/>
  <c r="CA103" i="9"/>
  <c r="CD107" i="9"/>
  <c r="CF107" i="9"/>
  <c r="CE107" i="9"/>
  <c r="CC107" i="9"/>
  <c r="CG107" i="9"/>
  <c r="CA107" i="9"/>
  <c r="CD80" i="9"/>
  <c r="CF80" i="9"/>
  <c r="CE80" i="9"/>
  <c r="CC80" i="9"/>
  <c r="CG80" i="9"/>
  <c r="CA80" i="9"/>
  <c r="CR110" i="9"/>
  <c r="CQ110" i="9"/>
  <c r="CQ106" i="9"/>
  <c r="CR106" i="9"/>
  <c r="CQ102" i="9"/>
  <c r="CR102" i="9"/>
  <c r="CQ98" i="9"/>
  <c r="CR98" i="9"/>
  <c r="CQ94" i="9"/>
  <c r="CR94" i="9"/>
  <c r="CQ90" i="9"/>
  <c r="CR90" i="9"/>
  <c r="CQ86" i="9"/>
  <c r="CR86" i="9"/>
  <c r="CR82" i="9"/>
  <c r="CQ82" i="9"/>
  <c r="CO80" i="9"/>
  <c r="CM80" i="9"/>
  <c r="CS80" i="9"/>
  <c r="CP80" i="9"/>
  <c r="CP107" i="9"/>
  <c r="CM107" i="9"/>
  <c r="CT107" i="9"/>
  <c r="CO107" i="9"/>
  <c r="CP103" i="9"/>
  <c r="CO103" i="9"/>
  <c r="CP99" i="9"/>
  <c r="CM99" i="9"/>
  <c r="CS99" i="9"/>
  <c r="CO99" i="9"/>
  <c r="CP95" i="9"/>
  <c r="CO95" i="9"/>
  <c r="CO91" i="9"/>
  <c r="CP91" i="9"/>
  <c r="CO87" i="9"/>
  <c r="CP87" i="9"/>
  <c r="CP83" i="9"/>
  <c r="CO83" i="9"/>
  <c r="CQ80" i="9"/>
  <c r="CR80" i="9"/>
  <c r="CQ107" i="9"/>
  <c r="CR107" i="9"/>
  <c r="CQ103" i="9"/>
  <c r="CR103" i="9"/>
  <c r="CQ99" i="9"/>
  <c r="CR99" i="9"/>
  <c r="CQ95" i="9"/>
  <c r="CR95" i="9"/>
  <c r="CQ91" i="9"/>
  <c r="CR91" i="9"/>
  <c r="CQ87" i="9"/>
  <c r="CR87" i="9"/>
  <c r="CQ83" i="9"/>
  <c r="CR83" i="9"/>
  <c r="BH111" i="9"/>
  <c r="BF111" i="9"/>
  <c r="BK111" i="9"/>
  <c r="BC100" i="9"/>
  <c r="BE100" i="9"/>
  <c r="BD100" i="9"/>
  <c r="BG100" i="9"/>
  <c r="BC82" i="9"/>
  <c r="BE82" i="9"/>
  <c r="BD82" i="9"/>
  <c r="BG82" i="9"/>
  <c r="BD85" i="9"/>
  <c r="BG85" i="9"/>
  <c r="BC85" i="9"/>
  <c r="BE85" i="9"/>
  <c r="BD95" i="9"/>
  <c r="BG95" i="9"/>
  <c r="BC95" i="9"/>
  <c r="BE95" i="9"/>
  <c r="BU94" i="9"/>
  <c r="BT94" i="9"/>
  <c r="BR94" i="9"/>
  <c r="BT110" i="9"/>
  <c r="BU110" i="9"/>
  <c r="BR110" i="9"/>
  <c r="CB93" i="9"/>
  <c r="CB101" i="9"/>
  <c r="CD84" i="9"/>
  <c r="CF84" i="9"/>
  <c r="CC84" i="9"/>
  <c r="CE84" i="9"/>
  <c r="CG84" i="9"/>
  <c r="CA84" i="9"/>
  <c r="CD92" i="9"/>
  <c r="BZ92" i="9"/>
  <c r="CF92" i="9"/>
  <c r="CC92" i="9"/>
  <c r="CE92" i="9"/>
  <c r="CG92" i="9"/>
  <c r="CA92" i="9"/>
  <c r="CD100" i="9"/>
  <c r="CF100" i="9"/>
  <c r="CC100" i="9"/>
  <c r="CE100" i="9"/>
  <c r="CG100" i="9"/>
  <c r="CA100" i="9"/>
  <c r="CD108" i="9"/>
  <c r="CF108" i="9"/>
  <c r="CC108" i="9"/>
  <c r="CA108" i="9"/>
  <c r="CE108" i="9"/>
  <c r="CG108" i="9"/>
  <c r="BD94" i="9"/>
  <c r="BG94" i="9"/>
  <c r="BC94" i="9"/>
  <c r="BE94" i="9"/>
  <c r="BC84" i="9"/>
  <c r="BE84" i="9"/>
  <c r="BD84" i="9"/>
  <c r="BG84" i="9"/>
  <c r="BD87" i="9"/>
  <c r="BG87" i="9"/>
  <c r="BC87" i="9"/>
  <c r="BE87" i="9"/>
  <c r="BU82" i="9"/>
  <c r="BT82" i="9"/>
  <c r="BR82" i="9"/>
  <c r="BU90" i="9"/>
  <c r="BT90" i="9"/>
  <c r="BR90" i="9"/>
  <c r="BU98" i="9"/>
  <c r="BT98" i="9"/>
  <c r="BR98" i="9"/>
  <c r="BT106" i="9"/>
  <c r="BU106" i="9"/>
  <c r="BR106" i="9"/>
  <c r="CD81" i="9"/>
  <c r="CF81" i="9"/>
  <c r="BZ81" i="9"/>
  <c r="CG81" i="9"/>
  <c r="CA81" i="9"/>
  <c r="CE81" i="9"/>
  <c r="CC81" i="9"/>
  <c r="CB85" i="9"/>
  <c r="BZ93" i="9"/>
  <c r="BZ101" i="9"/>
  <c r="CD105" i="9"/>
  <c r="CF105" i="9"/>
  <c r="CG105" i="9"/>
  <c r="CA105" i="9"/>
  <c r="CE105" i="9"/>
  <c r="CC105" i="9"/>
  <c r="CD109" i="9"/>
  <c r="CF109" i="9"/>
  <c r="CG109" i="9"/>
  <c r="CA109" i="9"/>
  <c r="CE109" i="9"/>
  <c r="CC109" i="9"/>
  <c r="CB88" i="9"/>
  <c r="CB92" i="9"/>
  <c r="CB96" i="9"/>
  <c r="CB100" i="9"/>
  <c r="BZ104" i="9"/>
  <c r="BZ108" i="9"/>
  <c r="BD98" i="9"/>
  <c r="BG98" i="9"/>
  <c r="BC98" i="9"/>
  <c r="BE98" i="9"/>
  <c r="BD104" i="9"/>
  <c r="BG104" i="9"/>
  <c r="BC104" i="9"/>
  <c r="BE104" i="9"/>
  <c r="BD86" i="9"/>
  <c r="BG86" i="9"/>
  <c r="BC86" i="9"/>
  <c r="BE86" i="9"/>
  <c r="BD89" i="9"/>
  <c r="BG89" i="9"/>
  <c r="BC89" i="9"/>
  <c r="BE89" i="9"/>
  <c r="BC81" i="9"/>
  <c r="BE81" i="9"/>
  <c r="BD81" i="9"/>
  <c r="BG81" i="9"/>
  <c r="AQ112" i="9"/>
  <c r="E120" i="9"/>
  <c r="DL108" i="9"/>
  <c r="DM108" i="9"/>
  <c r="DN108" i="9"/>
  <c r="DO108" i="9"/>
  <c r="DL104" i="9"/>
  <c r="DM104" i="9"/>
  <c r="DO104" i="9"/>
  <c r="DL100" i="9"/>
  <c r="DM100" i="9"/>
  <c r="DN96" i="9"/>
  <c r="DL96" i="9"/>
  <c r="DM96" i="9"/>
  <c r="DO96" i="9"/>
  <c r="DL92" i="9"/>
  <c r="DM92" i="9"/>
  <c r="DN92" i="9"/>
  <c r="DO92" i="9"/>
  <c r="DN88" i="9"/>
  <c r="DL88" i="9"/>
  <c r="DM88" i="9"/>
  <c r="DO84" i="9"/>
  <c r="DL84" i="9"/>
  <c r="DM84" i="9"/>
  <c r="DJ80" i="9"/>
  <c r="DH80" i="9"/>
  <c r="DK80" i="9"/>
  <c r="DK107" i="9"/>
  <c r="DH107" i="9"/>
  <c r="DO107" i="9"/>
  <c r="DJ107" i="9"/>
  <c r="DH103" i="9"/>
  <c r="DO103" i="9"/>
  <c r="DK103" i="9"/>
  <c r="DJ103" i="9"/>
  <c r="DH99" i="9"/>
  <c r="DN99" i="9"/>
  <c r="DK99" i="9"/>
  <c r="DJ99" i="9"/>
  <c r="DH95" i="9"/>
  <c r="DN95" i="9"/>
  <c r="DK95" i="9"/>
  <c r="DJ95" i="9"/>
  <c r="DH91" i="9"/>
  <c r="DN91" i="9"/>
  <c r="DJ91" i="9"/>
  <c r="DK91" i="9"/>
  <c r="DH87" i="9"/>
  <c r="DO87" i="9"/>
  <c r="DJ87" i="9"/>
  <c r="DK87" i="9"/>
  <c r="DJ83" i="9"/>
  <c r="DH83" i="9"/>
  <c r="DO83" i="9"/>
  <c r="DK83" i="9"/>
  <c r="DL80" i="9"/>
  <c r="DM80" i="9"/>
  <c r="DL107" i="9"/>
  <c r="DM107" i="9"/>
  <c r="DL103" i="9"/>
  <c r="DM103" i="9"/>
  <c r="DL99" i="9"/>
  <c r="DM99" i="9"/>
  <c r="DL95" i="9"/>
  <c r="DM95" i="9"/>
  <c r="DL91" i="9"/>
  <c r="DM91" i="9"/>
  <c r="DL87" i="9"/>
  <c r="DM87" i="9"/>
  <c r="DL83" i="9"/>
  <c r="DM83" i="9"/>
  <c r="DI110" i="9"/>
  <c r="DI106" i="9"/>
  <c r="DI102" i="9"/>
  <c r="DI98" i="9"/>
  <c r="DI94" i="9"/>
  <c r="DI90" i="9"/>
  <c r="DI86" i="9"/>
  <c r="DI82" i="9"/>
  <c r="BC88" i="9"/>
  <c r="BE88" i="9"/>
  <c r="BD88" i="9"/>
  <c r="BG88" i="9"/>
  <c r="BD91" i="9"/>
  <c r="BG91" i="9"/>
  <c r="BC91" i="9"/>
  <c r="BE91" i="9"/>
  <c r="CB87" i="9"/>
  <c r="CB95" i="9"/>
  <c r="BZ103" i="9"/>
  <c r="CD106" i="9"/>
  <c r="CF106" i="9"/>
  <c r="CE106" i="9"/>
  <c r="CG106" i="9"/>
  <c r="CC106" i="9"/>
  <c r="CA106" i="9"/>
  <c r="CD110" i="9"/>
  <c r="CF110" i="9"/>
  <c r="CE110" i="9"/>
  <c r="CG110" i="9"/>
  <c r="CC110" i="9"/>
  <c r="CA110" i="9"/>
  <c r="CQ108" i="9"/>
  <c r="CR108" i="9"/>
  <c r="CS108" i="9"/>
  <c r="CT108" i="9"/>
  <c r="CQ104" i="9"/>
  <c r="CR104" i="9"/>
  <c r="CT104" i="9"/>
  <c r="CS104" i="9"/>
  <c r="CQ100" i="9"/>
  <c r="CR100" i="9"/>
  <c r="CQ96" i="9"/>
  <c r="CR96" i="9"/>
  <c r="CT96" i="9"/>
  <c r="CQ92" i="9"/>
  <c r="CR92" i="9"/>
  <c r="CT92" i="9"/>
  <c r="CS92" i="9"/>
  <c r="CT88" i="9"/>
  <c r="CQ88" i="9"/>
  <c r="CR88" i="9"/>
  <c r="CS88" i="9"/>
  <c r="CS84" i="9"/>
  <c r="CQ84" i="9"/>
  <c r="CR84" i="9"/>
  <c r="CP109" i="9"/>
  <c r="CM109" i="9"/>
  <c r="CO109" i="9"/>
  <c r="CO105" i="9"/>
  <c r="CP105" i="9"/>
  <c r="CM105" i="9"/>
  <c r="CO101" i="9"/>
  <c r="CP101" i="9"/>
  <c r="CM101" i="9"/>
  <c r="CP97" i="9"/>
  <c r="CO97" i="9"/>
  <c r="CP93" i="9"/>
  <c r="CO93" i="9"/>
  <c r="CP89" i="9"/>
  <c r="CO89" i="9"/>
  <c r="CO85" i="9"/>
  <c r="CM85" i="9"/>
  <c r="CP85" i="9"/>
  <c r="CP81" i="9"/>
  <c r="CO81" i="9"/>
  <c r="CM81" i="9"/>
  <c r="CR109" i="9"/>
  <c r="CQ109" i="9"/>
  <c r="CR105" i="9"/>
  <c r="CQ105" i="9"/>
  <c r="CQ101" i="9"/>
  <c r="CR101" i="9"/>
  <c r="CQ97" i="9"/>
  <c r="CR97" i="9"/>
  <c r="CT97" i="9"/>
  <c r="CS97" i="9"/>
  <c r="CQ93" i="9"/>
  <c r="CR93" i="9"/>
  <c r="CT93" i="9"/>
  <c r="CS93" i="9"/>
  <c r="CQ89" i="9"/>
  <c r="CR89" i="9"/>
  <c r="CT89" i="9"/>
  <c r="CS89" i="9"/>
  <c r="CQ85" i="9"/>
  <c r="CR85" i="9"/>
  <c r="CQ81" i="9"/>
  <c r="CR81" i="9"/>
  <c r="CM103" i="9"/>
  <c r="CT103" i="9"/>
  <c r="CM95" i="9"/>
  <c r="CS95" i="9"/>
  <c r="CM91" i="9"/>
  <c r="CS91" i="9"/>
  <c r="CM87" i="9"/>
  <c r="CS87" i="9"/>
  <c r="CM83" i="9"/>
  <c r="CT83" i="9"/>
  <c r="CW83" i="9"/>
  <c r="CN110" i="9"/>
  <c r="CN106" i="9"/>
  <c r="CN102" i="9"/>
  <c r="CN98" i="9"/>
  <c r="CN94" i="9"/>
  <c r="CN90" i="9"/>
  <c r="CN86" i="9"/>
  <c r="CN82" i="9"/>
  <c r="BJ111" i="9"/>
  <c r="BL111" i="9"/>
  <c r="BI111" i="9"/>
  <c r="BJ112" i="9"/>
  <c r="D121" i="9"/>
  <c r="BD108" i="9"/>
  <c r="BG108" i="9"/>
  <c r="BC108" i="9"/>
  <c r="BE108" i="9"/>
  <c r="BD90" i="9"/>
  <c r="BG90" i="9"/>
  <c r="BC90" i="9"/>
  <c r="BE90" i="9"/>
  <c r="BD93" i="9"/>
  <c r="BG93" i="9"/>
  <c r="BC93" i="9"/>
  <c r="BE93" i="9"/>
  <c r="AJ111" i="9"/>
  <c r="AK112" i="9"/>
  <c r="B120" i="9"/>
  <c r="L5" i="2"/>
  <c r="K5" i="2"/>
  <c r="F15" i="5"/>
  <c r="CT100" i="9"/>
  <c r="DN109" i="9"/>
  <c r="DO109" i="9"/>
  <c r="DR109" i="9"/>
  <c r="CU95" i="9"/>
  <c r="DO85" i="9"/>
  <c r="DR85" i="9"/>
  <c r="DN89" i="9"/>
  <c r="DP104" i="9"/>
  <c r="DP108" i="9"/>
  <c r="CU108" i="9"/>
  <c r="DR107" i="9"/>
  <c r="DR108" i="9"/>
  <c r="CW108" i="9"/>
  <c r="CW107" i="9"/>
  <c r="CW103" i="9"/>
  <c r="DO95" i="9"/>
  <c r="DR95" i="9"/>
  <c r="DN103" i="9"/>
  <c r="DP103" i="9"/>
  <c r="DO97" i="9"/>
  <c r="DR97" i="9"/>
  <c r="CU99" i="9"/>
  <c r="CT85" i="9"/>
  <c r="CS85" i="9"/>
  <c r="CT81" i="9"/>
  <c r="CW81" i="9"/>
  <c r="CS81" i="9"/>
  <c r="CU81" i="9"/>
  <c r="CS101" i="9"/>
  <c r="CU101" i="9"/>
  <c r="CT101" i="9"/>
  <c r="CS105" i="9"/>
  <c r="CT105" i="9"/>
  <c r="CW105" i="9"/>
  <c r="DO80" i="9"/>
  <c r="DR80" i="9"/>
  <c r="DN80" i="9"/>
  <c r="DP80" i="9"/>
  <c r="DO105" i="9"/>
  <c r="DR105" i="9"/>
  <c r="DN105" i="9"/>
  <c r="DP105" i="9"/>
  <c r="DN81" i="9"/>
  <c r="DP81" i="9"/>
  <c r="DO81" i="9"/>
  <c r="CW104" i="9"/>
  <c r="CT80" i="9"/>
  <c r="CW80" i="9"/>
  <c r="DO93" i="9"/>
  <c r="DR93" i="9"/>
  <c r="CU85" i="9"/>
  <c r="CW89" i="9"/>
  <c r="CW93" i="9"/>
  <c r="CW97" i="9"/>
  <c r="CW101" i="9"/>
  <c r="DR84" i="9"/>
  <c r="DR88" i="9"/>
  <c r="CC111" i="9"/>
  <c r="CA111" i="9"/>
  <c r="DN101" i="9"/>
  <c r="DP101" i="9"/>
  <c r="CS109" i="9"/>
  <c r="CU109" i="9"/>
  <c r="CT109" i="9"/>
  <c r="CW109" i="9"/>
  <c r="DN83" i="9"/>
  <c r="DP83" i="9"/>
  <c r="DO91" i="9"/>
  <c r="DR91" i="9"/>
  <c r="DR81" i="9"/>
  <c r="DR83" i="9"/>
  <c r="DP109" i="9"/>
  <c r="DN87" i="9"/>
  <c r="DP87" i="9"/>
  <c r="DN100" i="9"/>
  <c r="DP100" i="9"/>
  <c r="CW92" i="9"/>
  <c r="CU96" i="9"/>
  <c r="CW100" i="9"/>
  <c r="DO99" i="9"/>
  <c r="DR99" i="9"/>
  <c r="DN107" i="9"/>
  <c r="DP107" i="9"/>
  <c r="CY88" i="9"/>
  <c r="CU88" i="9"/>
  <c r="DA88" i="9"/>
  <c r="CZ88" i="9"/>
  <c r="CX88" i="9"/>
  <c r="DB88" i="9"/>
  <c r="CV88" i="9"/>
  <c r="DT87" i="9"/>
  <c r="DV87" i="9"/>
  <c r="DW87" i="9"/>
  <c r="DQ87" i="9"/>
  <c r="DU87" i="9"/>
  <c r="DS87" i="9"/>
  <c r="DT99" i="9"/>
  <c r="DV99" i="9"/>
  <c r="DP99" i="9"/>
  <c r="DW99" i="9"/>
  <c r="DQ99" i="9"/>
  <c r="DU99" i="9"/>
  <c r="DS99" i="9"/>
  <c r="DT96" i="9"/>
  <c r="DV96" i="9"/>
  <c r="DP96" i="9"/>
  <c r="DU96" i="9"/>
  <c r="DW96" i="9"/>
  <c r="DS96" i="9"/>
  <c r="DQ96" i="9"/>
  <c r="CY83" i="9"/>
  <c r="DA83" i="9"/>
  <c r="CZ83" i="9"/>
  <c r="DB83" i="9"/>
  <c r="CX83" i="9"/>
  <c r="CV83" i="9"/>
  <c r="CY91" i="9"/>
  <c r="DA91" i="9"/>
  <c r="CU91" i="9"/>
  <c r="CZ91" i="9"/>
  <c r="DB91" i="9"/>
  <c r="CX91" i="9"/>
  <c r="CV91" i="9"/>
  <c r="CY99" i="9"/>
  <c r="DA99" i="9"/>
  <c r="CZ99" i="9"/>
  <c r="DB99" i="9"/>
  <c r="CX99" i="9"/>
  <c r="CV99" i="9"/>
  <c r="CY86" i="9"/>
  <c r="DA86" i="9"/>
  <c r="DB86" i="9"/>
  <c r="CV86" i="9"/>
  <c r="CZ86" i="9"/>
  <c r="CX86" i="9"/>
  <c r="CY94" i="9"/>
  <c r="DA94" i="9"/>
  <c r="DB94" i="9"/>
  <c r="CV94" i="9"/>
  <c r="CZ94" i="9"/>
  <c r="CX94" i="9"/>
  <c r="CY102" i="9"/>
  <c r="DA102" i="9"/>
  <c r="DB102" i="9"/>
  <c r="CV102" i="9"/>
  <c r="CZ102" i="9"/>
  <c r="CX102" i="9"/>
  <c r="DT89" i="9"/>
  <c r="DV89" i="9"/>
  <c r="DU89" i="9"/>
  <c r="DS89" i="9"/>
  <c r="DW89" i="9"/>
  <c r="DQ89" i="9"/>
  <c r="DT93" i="9"/>
  <c r="DV93" i="9"/>
  <c r="DP93" i="9"/>
  <c r="DU93" i="9"/>
  <c r="DS93" i="9"/>
  <c r="DW93" i="9"/>
  <c r="DQ93" i="9"/>
  <c r="DT86" i="9"/>
  <c r="DV86" i="9"/>
  <c r="DS86" i="9"/>
  <c r="DQ86" i="9"/>
  <c r="DU86" i="9"/>
  <c r="DW86" i="9"/>
  <c r="DT94" i="9"/>
  <c r="DV94" i="9"/>
  <c r="DS94" i="9"/>
  <c r="DQ94" i="9"/>
  <c r="DU94" i="9"/>
  <c r="DW94" i="9"/>
  <c r="DT102" i="9"/>
  <c r="DV102" i="9"/>
  <c r="DS102" i="9"/>
  <c r="DQ102" i="9"/>
  <c r="DU102" i="9"/>
  <c r="DW102" i="9"/>
  <c r="DT83" i="9"/>
  <c r="DV83" i="9"/>
  <c r="DW83" i="9"/>
  <c r="DQ83" i="9"/>
  <c r="DU83" i="9"/>
  <c r="DS83" i="9"/>
  <c r="DT91" i="9"/>
  <c r="DV91" i="9"/>
  <c r="DP91" i="9"/>
  <c r="DW91" i="9"/>
  <c r="DQ91" i="9"/>
  <c r="DU91" i="9"/>
  <c r="DS91" i="9"/>
  <c r="DT95" i="9"/>
  <c r="DV95" i="9"/>
  <c r="DP95" i="9"/>
  <c r="DW95" i="9"/>
  <c r="DQ95" i="9"/>
  <c r="DU95" i="9"/>
  <c r="DS95" i="9"/>
  <c r="DT103" i="9"/>
  <c r="DV103" i="9"/>
  <c r="DW103" i="9"/>
  <c r="DQ103" i="9"/>
  <c r="DU103" i="9"/>
  <c r="DS103" i="9"/>
  <c r="DT100" i="9"/>
  <c r="DV100" i="9"/>
  <c r="DU100" i="9"/>
  <c r="DW100" i="9"/>
  <c r="DS100" i="9"/>
  <c r="DQ100" i="9"/>
  <c r="CY87" i="9"/>
  <c r="CU87" i="9"/>
  <c r="DA87" i="9"/>
  <c r="CZ87" i="9"/>
  <c r="DB87" i="9"/>
  <c r="CX87" i="9"/>
  <c r="CV87" i="9"/>
  <c r="CY95" i="9"/>
  <c r="DA95" i="9"/>
  <c r="CZ95" i="9"/>
  <c r="DB95" i="9"/>
  <c r="CX95" i="9"/>
  <c r="CV95" i="9"/>
  <c r="CY103" i="9"/>
  <c r="DA103" i="9"/>
  <c r="CZ103" i="9"/>
  <c r="DB103" i="9"/>
  <c r="CX103" i="9"/>
  <c r="CV103" i="9"/>
  <c r="CY90" i="9"/>
  <c r="DA90" i="9"/>
  <c r="DB90" i="9"/>
  <c r="CV90" i="9"/>
  <c r="CZ90" i="9"/>
  <c r="CX90" i="9"/>
  <c r="CY98" i="9"/>
  <c r="DA98" i="9"/>
  <c r="DB98" i="9"/>
  <c r="CV98" i="9"/>
  <c r="CZ98" i="9"/>
  <c r="CX98" i="9"/>
  <c r="DT85" i="9"/>
  <c r="DV85" i="9"/>
  <c r="DU85" i="9"/>
  <c r="DS85" i="9"/>
  <c r="DW85" i="9"/>
  <c r="DQ85" i="9"/>
  <c r="DT97" i="9"/>
  <c r="DV97" i="9"/>
  <c r="DP97" i="9"/>
  <c r="DU97" i="9"/>
  <c r="DS97" i="9"/>
  <c r="DW97" i="9"/>
  <c r="DQ97" i="9"/>
  <c r="DT101" i="9"/>
  <c r="DV101" i="9"/>
  <c r="DU101" i="9"/>
  <c r="DS101" i="9"/>
  <c r="DW101" i="9"/>
  <c r="DQ101" i="9"/>
  <c r="DT90" i="9"/>
  <c r="DV90" i="9"/>
  <c r="DS90" i="9"/>
  <c r="DQ90" i="9"/>
  <c r="DU90" i="9"/>
  <c r="DW90" i="9"/>
  <c r="DT98" i="9"/>
  <c r="DV98" i="9"/>
  <c r="DS98" i="9"/>
  <c r="DQ98" i="9"/>
  <c r="DU98" i="9"/>
  <c r="DW98" i="9"/>
  <c r="CO90" i="9"/>
  <c r="CP90" i="9"/>
  <c r="CM90" i="9"/>
  <c r="CO106" i="9"/>
  <c r="CP106" i="9"/>
  <c r="CM106" i="9"/>
  <c r="CY85" i="9"/>
  <c r="DA85" i="9"/>
  <c r="CX85" i="9"/>
  <c r="CV85" i="9"/>
  <c r="CZ85" i="9"/>
  <c r="DB85" i="9"/>
  <c r="CO86" i="9"/>
  <c r="CP86" i="9"/>
  <c r="CM86" i="9"/>
  <c r="CP94" i="9"/>
  <c r="CO94" i="9"/>
  <c r="CM94" i="9"/>
  <c r="CO102" i="9"/>
  <c r="CP102" i="9"/>
  <c r="CM102" i="9"/>
  <c r="CP110" i="9"/>
  <c r="CM110" i="9"/>
  <c r="CO110" i="9"/>
  <c r="CW85" i="9"/>
  <c r="CU89" i="9"/>
  <c r="CU93" i="9"/>
  <c r="CU97" i="9"/>
  <c r="CU105" i="9"/>
  <c r="CW84" i="9"/>
  <c r="CW88" i="9"/>
  <c r="CW96" i="9"/>
  <c r="CU100" i="9"/>
  <c r="CU104" i="9"/>
  <c r="DK86" i="9"/>
  <c r="DJ86" i="9"/>
  <c r="DH86" i="9"/>
  <c r="DJ94" i="9"/>
  <c r="DK94" i="9"/>
  <c r="DH94" i="9"/>
  <c r="DJ102" i="9"/>
  <c r="DK102" i="9"/>
  <c r="DH102" i="9"/>
  <c r="DJ110" i="9"/>
  <c r="DK110" i="9"/>
  <c r="DH110" i="9"/>
  <c r="DT107" i="9"/>
  <c r="DV107" i="9"/>
  <c r="DW107" i="9"/>
  <c r="DQ107" i="9"/>
  <c r="DU107" i="9"/>
  <c r="DS107" i="9"/>
  <c r="DT80" i="9"/>
  <c r="DV80" i="9"/>
  <c r="DW80" i="9"/>
  <c r="DQ80" i="9"/>
  <c r="DU80" i="9"/>
  <c r="DS80" i="9"/>
  <c r="DR92" i="9"/>
  <c r="DR96" i="9"/>
  <c r="DR100" i="9"/>
  <c r="DR104" i="9"/>
  <c r="BE111" i="9"/>
  <c r="BF112" i="9"/>
  <c r="B121" i="9"/>
  <c r="CE111" i="9"/>
  <c r="CG111" i="9"/>
  <c r="BY106" i="9"/>
  <c r="CB106" i="9"/>
  <c r="BX106" i="9"/>
  <c r="BZ106" i="9"/>
  <c r="BY90" i="9"/>
  <c r="CB90" i="9"/>
  <c r="BX90" i="9"/>
  <c r="BZ90" i="9"/>
  <c r="BL112" i="9"/>
  <c r="E121" i="9"/>
  <c r="CS83" i="9"/>
  <c r="CU83" i="9"/>
  <c r="CT87" i="9"/>
  <c r="CW87" i="9"/>
  <c r="CT91" i="9"/>
  <c r="CW91" i="9"/>
  <c r="CT95" i="9"/>
  <c r="CW95" i="9"/>
  <c r="CT99" i="9"/>
  <c r="CW99" i="9"/>
  <c r="CS103" i="9"/>
  <c r="CU103" i="9"/>
  <c r="CS107" i="9"/>
  <c r="CU107" i="9"/>
  <c r="CY107" i="9"/>
  <c r="DA107" i="9"/>
  <c r="CZ107" i="9"/>
  <c r="DB107" i="9"/>
  <c r="CX107" i="9"/>
  <c r="CV107" i="9"/>
  <c r="CY80" i="9"/>
  <c r="CU80" i="9"/>
  <c r="DA80" i="9"/>
  <c r="CZ80" i="9"/>
  <c r="DB80" i="9"/>
  <c r="CX80" i="9"/>
  <c r="CV80" i="9"/>
  <c r="CY82" i="9"/>
  <c r="DA82" i="9"/>
  <c r="DB82" i="9"/>
  <c r="CV82" i="9"/>
  <c r="CZ82" i="9"/>
  <c r="CX82" i="9"/>
  <c r="CY106" i="9"/>
  <c r="DA106" i="9"/>
  <c r="DB106" i="9"/>
  <c r="CV106" i="9"/>
  <c r="CZ106" i="9"/>
  <c r="CX106" i="9"/>
  <c r="CY110" i="9"/>
  <c r="DA110" i="9"/>
  <c r="DB110" i="9"/>
  <c r="CV110" i="9"/>
  <c r="CZ110" i="9"/>
  <c r="CX110" i="9"/>
  <c r="DT81" i="9"/>
  <c r="DV81" i="9"/>
  <c r="DU81" i="9"/>
  <c r="DS81" i="9"/>
  <c r="DQ81" i="9"/>
  <c r="DW81" i="9"/>
  <c r="DP85" i="9"/>
  <c r="DP89" i="9"/>
  <c r="DR101" i="9"/>
  <c r="DT105" i="9"/>
  <c r="DV105" i="9"/>
  <c r="DU105" i="9"/>
  <c r="DS105" i="9"/>
  <c r="DW105" i="9"/>
  <c r="DQ105" i="9"/>
  <c r="DT109" i="9"/>
  <c r="DV109" i="9"/>
  <c r="DU109" i="9"/>
  <c r="DS109" i="9"/>
  <c r="DW109" i="9"/>
  <c r="DQ109" i="9"/>
  <c r="DT82" i="9"/>
  <c r="DV82" i="9"/>
  <c r="DS82" i="9"/>
  <c r="DQ82" i="9"/>
  <c r="DU82" i="9"/>
  <c r="DW82" i="9"/>
  <c r="DT106" i="9"/>
  <c r="DV106" i="9"/>
  <c r="DS106" i="9"/>
  <c r="DQ106" i="9"/>
  <c r="DU106" i="9"/>
  <c r="DW106" i="9"/>
  <c r="DT110" i="9"/>
  <c r="DV110" i="9"/>
  <c r="DS110" i="9"/>
  <c r="DQ110" i="9"/>
  <c r="DU110" i="9"/>
  <c r="DW110" i="9"/>
  <c r="CB111" i="9"/>
  <c r="BX102" i="9"/>
  <c r="BZ102" i="9"/>
  <c r="BY102" i="9"/>
  <c r="CB102" i="9"/>
  <c r="CO82" i="9"/>
  <c r="CP82" i="9"/>
  <c r="CM82" i="9"/>
  <c r="CP98" i="9"/>
  <c r="CO98" i="9"/>
  <c r="CM98" i="9"/>
  <c r="CY81" i="9"/>
  <c r="DA81" i="9"/>
  <c r="CX81" i="9"/>
  <c r="CV81" i="9"/>
  <c r="CZ81" i="9"/>
  <c r="DB81" i="9"/>
  <c r="CY89" i="9"/>
  <c r="DA89" i="9"/>
  <c r="CX89" i="9"/>
  <c r="CV89" i="9"/>
  <c r="CZ89" i="9"/>
  <c r="DB89" i="9"/>
  <c r="CY93" i="9"/>
  <c r="DA93" i="9"/>
  <c r="CX93" i="9"/>
  <c r="CV93" i="9"/>
  <c r="CZ93" i="9"/>
  <c r="DB93" i="9"/>
  <c r="CY97" i="9"/>
  <c r="DA97" i="9"/>
  <c r="CX97" i="9"/>
  <c r="CV97" i="9"/>
  <c r="CZ97" i="9"/>
  <c r="DB97" i="9"/>
  <c r="CY101" i="9"/>
  <c r="DA101" i="9"/>
  <c r="CX101" i="9"/>
  <c r="CV101" i="9"/>
  <c r="CZ101" i="9"/>
  <c r="DB101" i="9"/>
  <c r="CY105" i="9"/>
  <c r="DA105" i="9"/>
  <c r="CX105" i="9"/>
  <c r="CV105" i="9"/>
  <c r="CZ105" i="9"/>
  <c r="DB105" i="9"/>
  <c r="CY109" i="9"/>
  <c r="DA109" i="9"/>
  <c r="CX109" i="9"/>
  <c r="CV109" i="9"/>
  <c r="CZ109" i="9"/>
  <c r="DB109" i="9"/>
  <c r="CY84" i="9"/>
  <c r="DA84" i="9"/>
  <c r="CU84" i="9"/>
  <c r="CZ84" i="9"/>
  <c r="CX84" i="9"/>
  <c r="DB84" i="9"/>
  <c r="CV84" i="9"/>
  <c r="CY92" i="9"/>
  <c r="DA92" i="9"/>
  <c r="CU92" i="9"/>
  <c r="CZ92" i="9"/>
  <c r="CX92" i="9"/>
  <c r="DB92" i="9"/>
  <c r="CV92" i="9"/>
  <c r="CY96" i="9"/>
  <c r="DA96" i="9"/>
  <c r="CZ96" i="9"/>
  <c r="CX96" i="9"/>
  <c r="DB96" i="9"/>
  <c r="CV96" i="9"/>
  <c r="CY100" i="9"/>
  <c r="DA100" i="9"/>
  <c r="CZ100" i="9"/>
  <c r="CX100" i="9"/>
  <c r="DB100" i="9"/>
  <c r="CV100" i="9"/>
  <c r="CY104" i="9"/>
  <c r="DA104" i="9"/>
  <c r="CZ104" i="9"/>
  <c r="CX104" i="9"/>
  <c r="DB104" i="9"/>
  <c r="CV104" i="9"/>
  <c r="CY108" i="9"/>
  <c r="DA108" i="9"/>
  <c r="CZ108" i="9"/>
  <c r="CX108" i="9"/>
  <c r="DB108" i="9"/>
  <c r="CV108" i="9"/>
  <c r="DK82" i="9"/>
  <c r="DJ82" i="9"/>
  <c r="DH82" i="9"/>
  <c r="DJ90" i="9"/>
  <c r="DK90" i="9"/>
  <c r="DH90" i="9"/>
  <c r="DJ98" i="9"/>
  <c r="DK98" i="9"/>
  <c r="DH98" i="9"/>
  <c r="DK106" i="9"/>
  <c r="DJ106" i="9"/>
  <c r="DH106" i="9"/>
  <c r="DR87" i="9"/>
  <c r="DR103" i="9"/>
  <c r="DT84" i="9"/>
  <c r="DV84" i="9"/>
  <c r="DP84" i="9"/>
  <c r="DU84" i="9"/>
  <c r="DW84" i="9"/>
  <c r="DS84" i="9"/>
  <c r="DQ84" i="9"/>
  <c r="DT88" i="9"/>
  <c r="DV88" i="9"/>
  <c r="DP88" i="9"/>
  <c r="DU88" i="9"/>
  <c r="DW88" i="9"/>
  <c r="DS88" i="9"/>
  <c r="DQ88" i="9"/>
  <c r="DT92" i="9"/>
  <c r="DP92" i="9"/>
  <c r="DV92" i="9"/>
  <c r="DU92" i="9"/>
  <c r="DW92" i="9"/>
  <c r="DS92" i="9"/>
  <c r="DQ92" i="9"/>
  <c r="DT104" i="9"/>
  <c r="DV104" i="9"/>
  <c r="DU104" i="9"/>
  <c r="DW104" i="9"/>
  <c r="DS104" i="9"/>
  <c r="DQ104" i="9"/>
  <c r="DT108" i="9"/>
  <c r="DV108" i="9"/>
  <c r="DU108" i="9"/>
  <c r="DW108" i="9"/>
  <c r="DS108" i="9"/>
  <c r="DQ108" i="9"/>
  <c r="BG111" i="9"/>
  <c r="BH112" i="9"/>
  <c r="C121" i="9"/>
  <c r="BZ111" i="9"/>
  <c r="CA112" i="9"/>
  <c r="B122" i="9"/>
  <c r="CD111" i="9"/>
  <c r="BX98" i="9"/>
  <c r="BZ98" i="9"/>
  <c r="BY98" i="9"/>
  <c r="CB98" i="9"/>
  <c r="BX82" i="9"/>
  <c r="BZ82" i="9"/>
  <c r="BY82" i="9"/>
  <c r="CB82" i="9"/>
  <c r="BY110" i="9"/>
  <c r="CB110" i="9"/>
  <c r="BX110" i="9"/>
  <c r="BZ110" i="9"/>
  <c r="BY94" i="9"/>
  <c r="CB94" i="9"/>
  <c r="BX94" i="9"/>
  <c r="BZ94" i="9"/>
  <c r="CF111" i="9"/>
  <c r="CG112" i="9"/>
  <c r="E122" i="9"/>
  <c r="DR89" i="9"/>
  <c r="BX86" i="9"/>
  <c r="BZ86" i="9"/>
  <c r="BY86" i="9"/>
  <c r="CB86" i="9"/>
  <c r="L1" i="7"/>
  <c r="CC112" i="9"/>
  <c r="C122" i="9"/>
  <c r="DS111" i="9"/>
  <c r="DV111" i="9"/>
  <c r="DR111" i="9"/>
  <c r="CU111" i="9"/>
  <c r="DP111" i="9"/>
  <c r="DN98" i="9"/>
  <c r="DP98" i="9"/>
  <c r="DO98" i="9"/>
  <c r="DR98" i="9"/>
  <c r="DO82" i="9"/>
  <c r="DR82" i="9"/>
  <c r="DN82" i="9"/>
  <c r="DP82" i="9"/>
  <c r="DB111" i="9"/>
  <c r="CV111" i="9"/>
  <c r="DA111" i="9"/>
  <c r="DB112" i="9"/>
  <c r="E123" i="9"/>
  <c r="CS82" i="9"/>
  <c r="CU82" i="9"/>
  <c r="CT82" i="9"/>
  <c r="CW82" i="9"/>
  <c r="DW111" i="9"/>
  <c r="DO110" i="9"/>
  <c r="DR110" i="9"/>
  <c r="DN110" i="9"/>
  <c r="DP110" i="9"/>
  <c r="DN94" i="9"/>
  <c r="DP94" i="9"/>
  <c r="DO94" i="9"/>
  <c r="DR94" i="9"/>
  <c r="CW111" i="9"/>
  <c r="CT110" i="9"/>
  <c r="CW110" i="9"/>
  <c r="CS110" i="9"/>
  <c r="CU110" i="9"/>
  <c r="CT94" i="9"/>
  <c r="CW94" i="9"/>
  <c r="CS94" i="9"/>
  <c r="CU94" i="9"/>
  <c r="CT106" i="9"/>
  <c r="CW106" i="9"/>
  <c r="CS106" i="9"/>
  <c r="CU106" i="9"/>
  <c r="DN106" i="9"/>
  <c r="DP106" i="9"/>
  <c r="DO106" i="9"/>
  <c r="DR106" i="9"/>
  <c r="DN90" i="9"/>
  <c r="DP90" i="9"/>
  <c r="DO90" i="9"/>
  <c r="DR90" i="9"/>
  <c r="CZ111" i="9"/>
  <c r="CX111" i="9"/>
  <c r="CY111" i="9"/>
  <c r="CT98" i="9"/>
  <c r="CW98" i="9"/>
  <c r="CS98" i="9"/>
  <c r="CU98" i="9"/>
  <c r="DQ111" i="9"/>
  <c r="DU111" i="9"/>
  <c r="DT111" i="9"/>
  <c r="CE112" i="9"/>
  <c r="D122" i="9"/>
  <c r="DN102" i="9"/>
  <c r="DP102" i="9"/>
  <c r="DO102" i="9"/>
  <c r="DR102" i="9"/>
  <c r="DO86" i="9"/>
  <c r="DR86" i="9"/>
  <c r="DN86" i="9"/>
  <c r="DP86" i="9"/>
  <c r="CS102" i="9"/>
  <c r="CU102" i="9"/>
  <c r="CT102" i="9"/>
  <c r="CW102" i="9"/>
  <c r="CS86" i="9"/>
  <c r="CU86" i="9"/>
  <c r="CT86" i="9"/>
  <c r="CW86" i="9"/>
  <c r="CT90" i="9"/>
  <c r="CW90" i="9"/>
  <c r="CS90" i="9"/>
  <c r="CU90" i="9"/>
  <c r="L4" i="6"/>
  <c r="L3" i="6"/>
  <c r="DS112" i="9"/>
  <c r="C124" i="9"/>
  <c r="DQ112" i="9"/>
  <c r="B124" i="9"/>
  <c r="DW112" i="9"/>
  <c r="E124" i="9"/>
  <c r="CV112" i="9"/>
  <c r="B123" i="9"/>
  <c r="DU112" i="9"/>
  <c r="D124" i="9"/>
  <c r="B125" i="9"/>
  <c r="Q23" i="2"/>
  <c r="E126" i="9"/>
  <c r="B126" i="9"/>
  <c r="E125" i="9"/>
  <c r="Q26" i="2"/>
  <c r="CX112" i="9"/>
  <c r="C123" i="9"/>
  <c r="CZ112" i="9"/>
  <c r="D123" i="9"/>
  <c r="D125" i="9"/>
  <c r="Q25" i="2"/>
  <c r="C125" i="9"/>
  <c r="Q24" i="2"/>
  <c r="J26" i="2"/>
  <c r="D126" i="9"/>
  <c r="C126" i="9"/>
  <c r="A34" i="7"/>
  <c r="C25" i="5"/>
  <c r="K3" i="2"/>
  <c r="L2" i="7"/>
  <c r="L6" i="6"/>
  <c r="E13" i="2"/>
  <c r="E11" i="2"/>
  <c r="C8" i="8"/>
  <c r="E12" i="2"/>
  <c r="F35" i="5"/>
  <c r="H35" i="5"/>
  <c r="C13" i="8"/>
  <c r="C11" i="8"/>
  <c r="C20" i="8"/>
  <c r="C23" i="8"/>
  <c r="C9" i="8"/>
  <c r="L3" i="7"/>
  <c r="F11" i="6"/>
  <c r="AB30" i="5"/>
  <c r="AB29" i="5"/>
  <c r="AB28" i="5"/>
  <c r="AB27" i="5"/>
  <c r="AB26" i="5"/>
  <c r="AB25" i="5"/>
  <c r="AB24" i="5"/>
  <c r="AB23" i="5"/>
  <c r="AB22" i="5"/>
  <c r="AB21" i="5"/>
  <c r="AB20" i="5"/>
  <c r="AB19" i="5"/>
  <c r="AB18" i="5"/>
  <c r="AB17" i="5"/>
  <c r="AB16" i="5"/>
  <c r="AB15" i="5"/>
  <c r="AB14" i="5"/>
  <c r="AB13" i="5"/>
  <c r="AB12" i="5"/>
  <c r="AB11" i="5"/>
  <c r="AB10" i="5"/>
  <c r="AB9" i="5"/>
  <c r="AB8" i="5"/>
  <c r="AB7" i="5"/>
  <c r="AB6" i="5"/>
  <c r="AB5" i="5"/>
  <c r="AB4" i="5"/>
  <c r="AB3" i="5"/>
  <c r="AB2" i="5"/>
  <c r="AB1" i="5"/>
  <c r="AB31" i="5"/>
  <c r="C25" i="8"/>
  <c r="C15" i="8"/>
  <c r="C16" i="8"/>
  <c r="C12" i="8"/>
  <c r="C21" i="8"/>
  <c r="C27" i="8"/>
  <c r="C28" i="8"/>
  <c r="K19" i="2"/>
  <c r="L19" i="2"/>
  <c r="G19" i="2"/>
  <c r="H19" i="2"/>
  <c r="E11" i="8"/>
  <c r="E19" i="2"/>
  <c r="F19" i="2"/>
  <c r="L10" i="5"/>
  <c r="F13" i="6"/>
  <c r="E16" i="2"/>
  <c r="I19" i="2"/>
  <c r="J19" i="2"/>
  <c r="E23" i="8"/>
  <c r="AB32" i="5"/>
  <c r="C31" i="8"/>
  <c r="E15" i="8"/>
  <c r="I20" i="2"/>
  <c r="I22" i="2"/>
  <c r="I21" i="2"/>
  <c r="G20" i="2"/>
  <c r="E20" i="2"/>
  <c r="K21" i="2"/>
  <c r="K22" i="2"/>
  <c r="G21" i="2"/>
  <c r="E21" i="2"/>
  <c r="K20" i="2"/>
  <c r="G22" i="2"/>
  <c r="E22" i="2"/>
  <c r="E27" i="8"/>
  <c r="K23" i="2"/>
  <c r="G23" i="2"/>
  <c r="G24" i="2"/>
  <c r="I23" i="2"/>
  <c r="E23" i="2"/>
  <c r="F36" i="5"/>
  <c r="H36" i="5"/>
  <c r="I24" i="2"/>
  <c r="E24" i="2"/>
  <c r="K24" i="2"/>
  <c r="E25" i="5"/>
  <c r="H25" i="5"/>
  <c r="K4" i="2"/>
  <c r="H2" i="7"/>
  <c r="H6" i="7"/>
  <c r="H8" i="7"/>
  <c r="H10" i="7"/>
  <c r="H12" i="7"/>
  <c r="H14" i="7"/>
  <c r="H16" i="7"/>
  <c r="H18" i="7"/>
  <c r="H20" i="7"/>
  <c r="H22" i="7"/>
  <c r="H24" i="7"/>
  <c r="H26" i="7"/>
  <c r="H28" i="7"/>
  <c r="H30" i="7"/>
  <c r="H32" i="7"/>
  <c r="H3" i="7"/>
  <c r="H5" i="7"/>
  <c r="H7" i="7"/>
  <c r="H9" i="7"/>
  <c r="H11" i="7"/>
  <c r="H13" i="7"/>
  <c r="H15" i="7"/>
  <c r="H17" i="7"/>
  <c r="H19" i="7"/>
  <c r="H21" i="7"/>
  <c r="H23" i="7"/>
  <c r="H25" i="7"/>
  <c r="H27" i="7"/>
  <c r="H29" i="7"/>
  <c r="H31" i="7"/>
  <c r="H21" i="5"/>
  <c r="E12" i="8"/>
  <c r="C24" i="8"/>
  <c r="E24" i="8"/>
  <c r="E16" i="8"/>
  <c r="L7" i="6"/>
  <c r="H27" i="5"/>
  <c r="J15" i="2"/>
  <c r="E27" i="5"/>
  <c r="G18" i="4"/>
  <c r="I21" i="5"/>
  <c r="E28" i="8"/>
  <c r="B31" i="7"/>
  <c r="J32" i="9"/>
  <c r="L32" i="9"/>
  <c r="B27" i="7"/>
  <c r="J28" i="9"/>
  <c r="B23" i="7"/>
  <c r="J24" i="9"/>
  <c r="L24" i="9"/>
  <c r="B19" i="7"/>
  <c r="J20" i="9"/>
  <c r="B15" i="7"/>
  <c r="B11" i="7"/>
  <c r="B7" i="7"/>
  <c r="B3" i="7"/>
  <c r="J4" i="9"/>
  <c r="B32" i="7"/>
  <c r="J33" i="9"/>
  <c r="B28" i="7"/>
  <c r="J29" i="9"/>
  <c r="B24" i="7"/>
  <c r="J25" i="9"/>
  <c r="B20" i="7"/>
  <c r="J21" i="9"/>
  <c r="B16" i="7"/>
  <c r="J17" i="9"/>
  <c r="B12" i="7"/>
  <c r="B8" i="7"/>
  <c r="B4" i="7"/>
  <c r="B29" i="7"/>
  <c r="J30" i="9"/>
  <c r="B25" i="7"/>
  <c r="J26" i="9"/>
  <c r="B21" i="7"/>
  <c r="J22" i="9"/>
  <c r="L22" i="9"/>
  <c r="B17" i="7"/>
  <c r="J18" i="9"/>
  <c r="B13" i="7"/>
  <c r="B9" i="7"/>
  <c r="B5" i="7"/>
  <c r="B30" i="7"/>
  <c r="J31" i="9"/>
  <c r="B26" i="7"/>
  <c r="J27" i="9"/>
  <c r="B22" i="7"/>
  <c r="J23" i="9"/>
  <c r="B18" i="7"/>
  <c r="J19" i="9"/>
  <c r="B14" i="7"/>
  <c r="J15" i="9"/>
  <c r="B10" i="7"/>
  <c r="B6" i="7"/>
  <c r="B2" i="7"/>
  <c r="F12" i="6"/>
  <c r="C36" i="5"/>
  <c r="D36" i="5"/>
  <c r="M32" i="9"/>
  <c r="N32" i="9"/>
  <c r="K32" i="9"/>
  <c r="N22" i="9"/>
  <c r="M22" i="9"/>
  <c r="K22" i="9"/>
  <c r="P22" i="9"/>
  <c r="N24" i="9"/>
  <c r="M24" i="9"/>
  <c r="K24" i="9"/>
  <c r="R24" i="9"/>
  <c r="I10" i="7"/>
  <c r="D10" i="7"/>
  <c r="J11" i="9"/>
  <c r="L27" i="9"/>
  <c r="I13" i="7"/>
  <c r="D13" i="7"/>
  <c r="B13" i="9"/>
  <c r="J14" i="9"/>
  <c r="I8" i="7"/>
  <c r="D8" i="7"/>
  <c r="J9" i="9"/>
  <c r="I6" i="7"/>
  <c r="D6" i="7"/>
  <c r="J7" i="9"/>
  <c r="L23" i="9"/>
  <c r="L31" i="9"/>
  <c r="I9" i="7"/>
  <c r="D9" i="7"/>
  <c r="B9" i="9"/>
  <c r="T10" i="9"/>
  <c r="J10" i="9"/>
  <c r="I12" i="7"/>
  <c r="D12" i="7"/>
  <c r="B12" i="9"/>
  <c r="J13" i="9"/>
  <c r="L21" i="9"/>
  <c r="L29" i="9"/>
  <c r="I11" i="7"/>
  <c r="D11" i="7"/>
  <c r="B11" i="9"/>
  <c r="T12" i="9"/>
  <c r="J12" i="9"/>
  <c r="L15" i="9"/>
  <c r="L20" i="9"/>
  <c r="L28" i="9"/>
  <c r="L33" i="9"/>
  <c r="L18" i="9"/>
  <c r="L26" i="9"/>
  <c r="L30" i="9"/>
  <c r="L4" i="9"/>
  <c r="I2" i="7"/>
  <c r="D2" i="7"/>
  <c r="B2" i="9"/>
  <c r="J3" i="9"/>
  <c r="L19" i="9"/>
  <c r="I5" i="7"/>
  <c r="D5" i="7"/>
  <c r="B5" i="9"/>
  <c r="J6" i="9"/>
  <c r="O22" i="9"/>
  <c r="L17" i="9"/>
  <c r="L25" i="9"/>
  <c r="I7" i="7"/>
  <c r="D7" i="7"/>
  <c r="B7" i="9"/>
  <c r="J8" i="9"/>
  <c r="I15" i="7"/>
  <c r="D15" i="7"/>
  <c r="B15" i="9"/>
  <c r="J16" i="9"/>
  <c r="Q24" i="9"/>
  <c r="W6" i="9"/>
  <c r="B8" i="9"/>
  <c r="B10" i="9"/>
  <c r="B6" i="9"/>
  <c r="I4" i="7"/>
  <c r="D4" i="7"/>
  <c r="B4" i="9"/>
  <c r="J5" i="9"/>
  <c r="G5" i="9"/>
  <c r="I14" i="7"/>
  <c r="D14" i="7"/>
  <c r="B14" i="9"/>
  <c r="G16" i="6"/>
  <c r="I18" i="7"/>
  <c r="D18" i="7"/>
  <c r="I22" i="7"/>
  <c r="D22" i="7"/>
  <c r="I26" i="7"/>
  <c r="D26" i="7"/>
  <c r="I30" i="7"/>
  <c r="D30" i="7"/>
  <c r="B30" i="9"/>
  <c r="I17" i="7"/>
  <c r="D17" i="7"/>
  <c r="B17" i="9"/>
  <c r="I21" i="7"/>
  <c r="D21" i="7"/>
  <c r="B21" i="9"/>
  <c r="I25" i="7"/>
  <c r="D25" i="7"/>
  <c r="B25" i="9"/>
  <c r="I29" i="7"/>
  <c r="D29" i="7"/>
  <c r="B29" i="9"/>
  <c r="I16" i="7"/>
  <c r="D16" i="7"/>
  <c r="I20" i="7"/>
  <c r="D20" i="7"/>
  <c r="I24" i="7"/>
  <c r="D24" i="7"/>
  <c r="I28" i="7"/>
  <c r="D28" i="7"/>
  <c r="I32" i="7"/>
  <c r="D32" i="7"/>
  <c r="B32" i="9"/>
  <c r="I3" i="7"/>
  <c r="D3" i="7"/>
  <c r="B3" i="9"/>
  <c r="I19" i="7"/>
  <c r="D19" i="7"/>
  <c r="B19" i="9"/>
  <c r="I23" i="7"/>
  <c r="D23" i="7"/>
  <c r="B23" i="9"/>
  <c r="I27" i="7"/>
  <c r="D27" i="7"/>
  <c r="B27" i="9"/>
  <c r="I31" i="7"/>
  <c r="D31" i="7"/>
  <c r="B31" i="9"/>
  <c r="C2" i="7"/>
  <c r="C6" i="7"/>
  <c r="C10" i="7"/>
  <c r="C14" i="7"/>
  <c r="C18" i="7"/>
  <c r="C22" i="7"/>
  <c r="C26" i="7"/>
  <c r="C30" i="7"/>
  <c r="C5" i="7"/>
  <c r="C9" i="7"/>
  <c r="C13" i="7"/>
  <c r="C17" i="7"/>
  <c r="C21" i="7"/>
  <c r="C25" i="7"/>
  <c r="C29" i="7"/>
  <c r="C4" i="7"/>
  <c r="C8" i="7"/>
  <c r="C12" i="7"/>
  <c r="C16" i="7"/>
  <c r="C20" i="7"/>
  <c r="C24" i="7"/>
  <c r="C28" i="7"/>
  <c r="C32" i="7"/>
  <c r="C3" i="7"/>
  <c r="C7" i="7"/>
  <c r="C11" i="7"/>
  <c r="C15" i="7"/>
  <c r="C19" i="7"/>
  <c r="C23" i="7"/>
  <c r="C27" i="7"/>
  <c r="C31" i="7"/>
  <c r="M42" i="2"/>
  <c r="M44" i="2"/>
  <c r="F47" i="2"/>
  <c r="F45" i="2"/>
  <c r="M45" i="2"/>
  <c r="F46" i="2"/>
  <c r="Y20" i="9"/>
  <c r="Z20" i="9"/>
  <c r="Y26" i="9"/>
  <c r="Z26" i="9"/>
  <c r="C5" i="9"/>
  <c r="Y7" i="9"/>
  <c r="Z7" i="9"/>
  <c r="C8" i="9"/>
  <c r="Y9" i="9"/>
  <c r="Z9" i="9"/>
  <c r="W16" i="9"/>
  <c r="Y16" i="9"/>
  <c r="Z16" i="9"/>
  <c r="Y8" i="9"/>
  <c r="Z8" i="9"/>
  <c r="W12" i="9"/>
  <c r="Y12" i="9"/>
  <c r="Z12" i="9"/>
  <c r="Y13" i="9"/>
  <c r="Z13" i="9"/>
  <c r="G9" i="9"/>
  <c r="Y10" i="9"/>
  <c r="Z10" i="9"/>
  <c r="G13" i="9"/>
  <c r="Y14" i="9"/>
  <c r="Z14" i="9"/>
  <c r="Y28" i="9"/>
  <c r="Z28" i="9"/>
  <c r="Y33" i="9"/>
  <c r="Z33" i="9"/>
  <c r="Y18" i="9"/>
  <c r="Z18" i="9"/>
  <c r="Y15" i="9"/>
  <c r="Z15" i="9"/>
  <c r="Y32" i="9"/>
  <c r="Z32" i="9"/>
  <c r="Y24" i="9"/>
  <c r="Z24" i="9"/>
  <c r="Y4" i="9"/>
  <c r="Z4" i="9"/>
  <c r="Y30" i="9"/>
  <c r="Z30" i="9"/>
  <c r="Y22" i="9"/>
  <c r="Z22" i="9"/>
  <c r="Y31" i="9"/>
  <c r="Z31" i="9"/>
  <c r="Y3" i="9"/>
  <c r="Z3" i="9"/>
  <c r="Y5" i="9"/>
  <c r="Z5" i="9"/>
  <c r="G11" i="9"/>
  <c r="W10" i="9"/>
  <c r="Y11" i="9"/>
  <c r="Z11" i="9"/>
  <c r="W14" i="9"/>
  <c r="P24" i="9"/>
  <c r="Y6" i="9"/>
  <c r="Z6" i="9"/>
  <c r="G12" i="9"/>
  <c r="C11" i="9"/>
  <c r="C9" i="9"/>
  <c r="U10" i="9"/>
  <c r="C10" i="9"/>
  <c r="T14" i="9"/>
  <c r="O24" i="9"/>
  <c r="S24" i="9"/>
  <c r="U14" i="9"/>
  <c r="C7" i="9"/>
  <c r="E8" i="9"/>
  <c r="E7" i="9"/>
  <c r="U12" i="9"/>
  <c r="P32" i="9"/>
  <c r="V32" i="9"/>
  <c r="R32" i="9"/>
  <c r="O32" i="9"/>
  <c r="S32" i="9"/>
  <c r="Q32" i="9"/>
  <c r="U6" i="9"/>
  <c r="E10" i="9"/>
  <c r="E12" i="9"/>
  <c r="E6" i="9"/>
  <c r="U16" i="9"/>
  <c r="T6" i="9"/>
  <c r="Q22" i="9"/>
  <c r="F11" i="9"/>
  <c r="E11" i="9"/>
  <c r="F5" i="9"/>
  <c r="E5" i="9"/>
  <c r="F7" i="9"/>
  <c r="F9" i="9"/>
  <c r="E9" i="9"/>
  <c r="G15" i="9"/>
  <c r="T16" i="9"/>
  <c r="R22" i="9"/>
  <c r="AD28" i="9"/>
  <c r="AB28" i="9"/>
  <c r="AA28" i="9"/>
  <c r="X28" i="9"/>
  <c r="AC28" i="9"/>
  <c r="AD20" i="9"/>
  <c r="AB20" i="9"/>
  <c r="AA20" i="9"/>
  <c r="X20" i="9"/>
  <c r="AC20" i="9"/>
  <c r="AA33" i="9"/>
  <c r="AD33" i="9"/>
  <c r="AB33" i="9"/>
  <c r="X33" i="9"/>
  <c r="AC33" i="9"/>
  <c r="AD26" i="9"/>
  <c r="AB26" i="9"/>
  <c r="AA26" i="9"/>
  <c r="X26" i="9"/>
  <c r="AC26" i="9"/>
  <c r="AD18" i="9"/>
  <c r="AB18" i="9"/>
  <c r="AA18" i="9"/>
  <c r="X18" i="9"/>
  <c r="AC18" i="9"/>
  <c r="AA15" i="9"/>
  <c r="AD15" i="9"/>
  <c r="AB15" i="9"/>
  <c r="X15" i="9"/>
  <c r="AC15" i="9"/>
  <c r="AA5" i="9"/>
  <c r="AD5" i="9"/>
  <c r="AB5" i="9"/>
  <c r="X5" i="9"/>
  <c r="AC5" i="9"/>
  <c r="AA13" i="9"/>
  <c r="AD13" i="9"/>
  <c r="AB13" i="9"/>
  <c r="X13" i="9"/>
  <c r="AC13" i="9"/>
  <c r="G10" i="9"/>
  <c r="AA11" i="9"/>
  <c r="AD11" i="9"/>
  <c r="AB11" i="9"/>
  <c r="X11" i="9"/>
  <c r="AC11" i="9"/>
  <c r="G7" i="9"/>
  <c r="AD8" i="9"/>
  <c r="AB8" i="9"/>
  <c r="AA8" i="9"/>
  <c r="X8" i="9"/>
  <c r="AC8" i="9"/>
  <c r="AD16" i="9"/>
  <c r="AB16" i="9"/>
  <c r="AA16" i="9"/>
  <c r="X16" i="9"/>
  <c r="AC16" i="9"/>
  <c r="N17" i="9"/>
  <c r="M17" i="9"/>
  <c r="K17" i="9"/>
  <c r="AD6" i="9"/>
  <c r="AB6" i="9"/>
  <c r="AA6" i="9"/>
  <c r="X6" i="9"/>
  <c r="AC6" i="9"/>
  <c r="L3" i="9"/>
  <c r="M4" i="9"/>
  <c r="N4" i="9"/>
  <c r="K4" i="9"/>
  <c r="N26" i="9"/>
  <c r="M26" i="9"/>
  <c r="K26" i="9"/>
  <c r="N33" i="9"/>
  <c r="M33" i="9"/>
  <c r="K33" i="9"/>
  <c r="N20" i="9"/>
  <c r="M20" i="9"/>
  <c r="K20" i="9"/>
  <c r="L12" i="9"/>
  <c r="M29" i="9"/>
  <c r="N29" i="9"/>
  <c r="K29" i="9"/>
  <c r="L13" i="9"/>
  <c r="L10" i="9"/>
  <c r="M31" i="9"/>
  <c r="N31" i="9"/>
  <c r="K31" i="9"/>
  <c r="L7" i="9"/>
  <c r="L9" i="9"/>
  <c r="L14" i="9"/>
  <c r="N27" i="9"/>
  <c r="M27" i="9"/>
  <c r="K27" i="9"/>
  <c r="AD32" i="9"/>
  <c r="AB32" i="9"/>
  <c r="AA32" i="9"/>
  <c r="X32" i="9"/>
  <c r="AC32" i="9"/>
  <c r="AD24" i="9"/>
  <c r="AB24" i="9"/>
  <c r="AA24" i="9"/>
  <c r="X24" i="9"/>
  <c r="AC24" i="9"/>
  <c r="AD4" i="9"/>
  <c r="AB4" i="9"/>
  <c r="AA4" i="9"/>
  <c r="X4" i="9"/>
  <c r="AC4" i="9"/>
  <c r="AD30" i="9"/>
  <c r="AB30" i="9"/>
  <c r="AA30" i="9"/>
  <c r="X30" i="9"/>
  <c r="AC30" i="9"/>
  <c r="AD22" i="9"/>
  <c r="AB22" i="9"/>
  <c r="AA22" i="9"/>
  <c r="X22" i="9"/>
  <c r="AC22" i="9"/>
  <c r="AA31" i="9"/>
  <c r="AD31" i="9"/>
  <c r="AB31" i="9"/>
  <c r="X31" i="9"/>
  <c r="AC31" i="9"/>
  <c r="AD3" i="9"/>
  <c r="AB3" i="9"/>
  <c r="AA3" i="9"/>
  <c r="X3" i="9"/>
  <c r="AC3" i="9"/>
  <c r="G6" i="9"/>
  <c r="AA7" i="9"/>
  <c r="AD7" i="9"/>
  <c r="AB7" i="9"/>
  <c r="X7" i="9"/>
  <c r="AC7" i="9"/>
  <c r="G8" i="9"/>
  <c r="AA9" i="9"/>
  <c r="AD9" i="9"/>
  <c r="AB9" i="9"/>
  <c r="X9" i="9"/>
  <c r="AC9" i="9"/>
  <c r="L16" i="9"/>
  <c r="L8" i="9"/>
  <c r="N25" i="9"/>
  <c r="M25" i="9"/>
  <c r="K25" i="9"/>
  <c r="L6" i="9"/>
  <c r="N19" i="9"/>
  <c r="M19" i="9"/>
  <c r="K19" i="9"/>
  <c r="N30" i="9"/>
  <c r="M30" i="9"/>
  <c r="K30" i="9"/>
  <c r="N18" i="9"/>
  <c r="M18" i="9"/>
  <c r="K18" i="9"/>
  <c r="N28" i="9"/>
  <c r="M28" i="9"/>
  <c r="K28" i="9"/>
  <c r="M15" i="9"/>
  <c r="N15" i="9"/>
  <c r="K15" i="9"/>
  <c r="AD12" i="9"/>
  <c r="AB12" i="9"/>
  <c r="AA12" i="9"/>
  <c r="X12" i="9"/>
  <c r="AC12" i="9"/>
  <c r="M21" i="9"/>
  <c r="N21" i="9"/>
  <c r="K21" i="9"/>
  <c r="AD10" i="9"/>
  <c r="AB10" i="9"/>
  <c r="AA10" i="9"/>
  <c r="X10" i="9"/>
  <c r="AC10" i="9"/>
  <c r="M23" i="9"/>
  <c r="N23" i="9"/>
  <c r="K23" i="9"/>
  <c r="AD14" i="9"/>
  <c r="AB14" i="9"/>
  <c r="AA14" i="9"/>
  <c r="X14" i="9"/>
  <c r="AC14" i="9"/>
  <c r="L11" i="9"/>
  <c r="G27" i="9"/>
  <c r="W28" i="9"/>
  <c r="U28" i="9"/>
  <c r="T28" i="9"/>
  <c r="G19" i="9"/>
  <c r="W20" i="9"/>
  <c r="U20" i="9"/>
  <c r="T20" i="9"/>
  <c r="G32" i="9"/>
  <c r="T33" i="9"/>
  <c r="W33" i="9"/>
  <c r="U33" i="9"/>
  <c r="B24" i="9"/>
  <c r="B16" i="9"/>
  <c r="E16" i="9"/>
  <c r="G25" i="9"/>
  <c r="W26" i="9"/>
  <c r="U26" i="9"/>
  <c r="T26" i="9"/>
  <c r="G17" i="9"/>
  <c r="W18" i="9"/>
  <c r="U18" i="9"/>
  <c r="T18" i="9"/>
  <c r="B26" i="9"/>
  <c r="E25" i="9"/>
  <c r="B18" i="9"/>
  <c r="E17" i="9"/>
  <c r="T15" i="9"/>
  <c r="W15" i="9"/>
  <c r="U15" i="9"/>
  <c r="G4" i="9"/>
  <c r="T5" i="9"/>
  <c r="W5" i="9"/>
  <c r="U5" i="9"/>
  <c r="T13" i="9"/>
  <c r="W13" i="9"/>
  <c r="U13" i="9"/>
  <c r="G31" i="9"/>
  <c r="W32" i="9"/>
  <c r="U32" i="9"/>
  <c r="T32" i="9"/>
  <c r="G23" i="9"/>
  <c r="W24" i="9"/>
  <c r="V24" i="9"/>
  <c r="U24" i="9"/>
  <c r="T24" i="9"/>
  <c r="W4" i="9"/>
  <c r="U4" i="9"/>
  <c r="T4" i="9"/>
  <c r="B28" i="9"/>
  <c r="F27" i="9"/>
  <c r="B20" i="9"/>
  <c r="E20" i="9"/>
  <c r="G29" i="9"/>
  <c r="W30" i="9"/>
  <c r="U30" i="9"/>
  <c r="T30" i="9"/>
  <c r="C28" i="9"/>
  <c r="G21" i="9"/>
  <c r="W22" i="9"/>
  <c r="V22" i="9"/>
  <c r="U22" i="9"/>
  <c r="S22" i="9"/>
  <c r="T22" i="9"/>
  <c r="G30" i="9"/>
  <c r="T31" i="9"/>
  <c r="W31" i="9"/>
  <c r="U31" i="9"/>
  <c r="B22" i="9"/>
  <c r="E22" i="9"/>
  <c r="W3" i="9"/>
  <c r="U3" i="9"/>
  <c r="T3" i="9"/>
  <c r="T7" i="9"/>
  <c r="W7" i="9"/>
  <c r="U7" i="9"/>
  <c r="T11" i="9"/>
  <c r="W11" i="9"/>
  <c r="U11" i="9"/>
  <c r="C14" i="9"/>
  <c r="W8" i="9"/>
  <c r="U8" i="9"/>
  <c r="T8" i="9"/>
  <c r="C6" i="9"/>
  <c r="T9" i="9"/>
  <c r="W9" i="9"/>
  <c r="U9" i="9"/>
  <c r="C12" i="9"/>
  <c r="C4" i="9"/>
  <c r="L5" i="9"/>
  <c r="E4" i="9"/>
  <c r="G2" i="9"/>
  <c r="E3" i="9"/>
  <c r="G3" i="9"/>
  <c r="F31" i="9"/>
  <c r="E30" i="9"/>
  <c r="C30" i="9"/>
  <c r="F30" i="9"/>
  <c r="C29" i="9"/>
  <c r="E32" i="9"/>
  <c r="C32" i="9"/>
  <c r="F32" i="9"/>
  <c r="E31" i="9"/>
  <c r="C31" i="9"/>
  <c r="G14" i="9"/>
  <c r="F19" i="9"/>
  <c r="F29" i="9"/>
  <c r="F3" i="9"/>
  <c r="E2" i="9"/>
  <c r="C2" i="9"/>
  <c r="E29" i="9"/>
  <c r="C3" i="9"/>
  <c r="F15" i="9"/>
  <c r="E15" i="9"/>
  <c r="E27" i="9"/>
  <c r="E36" i="9"/>
  <c r="F44" i="2"/>
  <c r="F25" i="9"/>
  <c r="E21" i="9"/>
  <c r="G22" i="9"/>
  <c r="Y23" i="9"/>
  <c r="Z23" i="9"/>
  <c r="G20" i="9"/>
  <c r="Y21" i="9"/>
  <c r="Z21" i="9"/>
  <c r="G26" i="9"/>
  <c r="Y27" i="9"/>
  <c r="Z27" i="9"/>
  <c r="G24" i="9"/>
  <c r="Y25" i="9"/>
  <c r="Z25" i="9"/>
  <c r="Z36" i="9"/>
  <c r="G28" i="9"/>
  <c r="Y29" i="9"/>
  <c r="Z29" i="9"/>
  <c r="G18" i="9"/>
  <c r="G16" i="9"/>
  <c r="G33" i="9"/>
  <c r="Y19" i="9"/>
  <c r="Z19" i="9"/>
  <c r="Y17" i="9"/>
  <c r="Z17" i="9"/>
  <c r="Y36" i="9"/>
  <c r="Z37" i="9"/>
  <c r="Q18" i="2"/>
  <c r="C16" i="9"/>
  <c r="E24" i="9"/>
  <c r="C19" i="9"/>
  <c r="E23" i="9"/>
  <c r="C21" i="9"/>
  <c r="F17" i="9"/>
  <c r="E19" i="9"/>
  <c r="F23" i="9"/>
  <c r="C17" i="9"/>
  <c r="F21" i="9"/>
  <c r="C15" i="9"/>
  <c r="C23" i="9"/>
  <c r="E18" i="9"/>
  <c r="C24" i="9"/>
  <c r="C27" i="9"/>
  <c r="C25" i="9"/>
  <c r="E28" i="9"/>
  <c r="E26" i="9"/>
  <c r="F36" i="9"/>
  <c r="C20" i="9"/>
  <c r="AA17" i="9"/>
  <c r="AD17" i="9"/>
  <c r="AB17" i="9"/>
  <c r="X17" i="9"/>
  <c r="AC17" i="9"/>
  <c r="AA25" i="9"/>
  <c r="AD25" i="9"/>
  <c r="AB25" i="9"/>
  <c r="X25" i="9"/>
  <c r="AC25" i="9"/>
  <c r="N11" i="9"/>
  <c r="M11" i="9"/>
  <c r="K11" i="9"/>
  <c r="P21" i="9"/>
  <c r="V21" i="9"/>
  <c r="O21" i="9"/>
  <c r="S21" i="9"/>
  <c r="Q21" i="9"/>
  <c r="R21" i="9"/>
  <c r="P28" i="9"/>
  <c r="V28" i="9"/>
  <c r="Q28" i="9"/>
  <c r="O28" i="9"/>
  <c r="S28" i="9"/>
  <c r="R28" i="9"/>
  <c r="O30" i="9"/>
  <c r="S30" i="9"/>
  <c r="Q30" i="9"/>
  <c r="P30" i="9"/>
  <c r="V30" i="9"/>
  <c r="R30" i="9"/>
  <c r="N6" i="9"/>
  <c r="M6" i="9"/>
  <c r="K6" i="9"/>
  <c r="N8" i="9"/>
  <c r="M8" i="9"/>
  <c r="K8" i="9"/>
  <c r="AC36" i="9"/>
  <c r="X36" i="9"/>
  <c r="AB36" i="9"/>
  <c r="AC37" i="9"/>
  <c r="Q19" i="2"/>
  <c r="Q27" i="9"/>
  <c r="R27" i="9"/>
  <c r="P27" i="9"/>
  <c r="V27" i="9"/>
  <c r="O27" i="9"/>
  <c r="S27" i="9"/>
  <c r="M9" i="9"/>
  <c r="N9" i="9"/>
  <c r="K9" i="9"/>
  <c r="Q31" i="9"/>
  <c r="P31" i="9"/>
  <c r="V31" i="9"/>
  <c r="R31" i="9"/>
  <c r="O31" i="9"/>
  <c r="S31" i="9"/>
  <c r="N13" i="9"/>
  <c r="M13" i="9"/>
  <c r="K13" i="9"/>
  <c r="N12" i="9"/>
  <c r="M12" i="9"/>
  <c r="K12" i="9"/>
  <c r="R33" i="9"/>
  <c r="O33" i="9"/>
  <c r="S33" i="9"/>
  <c r="Q33" i="9"/>
  <c r="P33" i="9"/>
  <c r="V33" i="9"/>
  <c r="Q4" i="9"/>
  <c r="O4" i="9"/>
  <c r="S4" i="9"/>
  <c r="R4" i="9"/>
  <c r="P4" i="9"/>
  <c r="V4" i="9"/>
  <c r="AA23" i="9"/>
  <c r="AD23" i="9"/>
  <c r="AB23" i="9"/>
  <c r="X23" i="9"/>
  <c r="AC23" i="9"/>
  <c r="AA21" i="9"/>
  <c r="AD21" i="9"/>
  <c r="AB21" i="9"/>
  <c r="X21" i="9"/>
  <c r="AC21" i="9"/>
  <c r="AA29" i="9"/>
  <c r="AD29" i="9"/>
  <c r="AB29" i="9"/>
  <c r="X29" i="9"/>
  <c r="AC29" i="9"/>
  <c r="T36" i="9"/>
  <c r="U36" i="9"/>
  <c r="AA19" i="9"/>
  <c r="AD19" i="9"/>
  <c r="AB19" i="9"/>
  <c r="X19" i="9"/>
  <c r="AC19" i="9"/>
  <c r="AA27" i="9"/>
  <c r="AD27" i="9"/>
  <c r="AB27" i="9"/>
  <c r="X27" i="9"/>
  <c r="AC27" i="9"/>
  <c r="P23" i="9"/>
  <c r="V23" i="9"/>
  <c r="O23" i="9"/>
  <c r="S23" i="9"/>
  <c r="Q23" i="9"/>
  <c r="R23" i="9"/>
  <c r="P15" i="9"/>
  <c r="V15" i="9"/>
  <c r="Q15" i="9"/>
  <c r="O15" i="9"/>
  <c r="S15" i="9"/>
  <c r="R15" i="9"/>
  <c r="Q18" i="9"/>
  <c r="O18" i="9"/>
  <c r="S18" i="9"/>
  <c r="R18" i="9"/>
  <c r="P18" i="9"/>
  <c r="V18" i="9"/>
  <c r="P19" i="9"/>
  <c r="V19" i="9"/>
  <c r="O19" i="9"/>
  <c r="S19" i="9"/>
  <c r="Q19" i="9"/>
  <c r="R19" i="9"/>
  <c r="P25" i="9"/>
  <c r="V25" i="9"/>
  <c r="O25" i="9"/>
  <c r="S25" i="9"/>
  <c r="Q25" i="9"/>
  <c r="R25" i="9"/>
  <c r="N16" i="9"/>
  <c r="M16" i="9"/>
  <c r="K16" i="9"/>
  <c r="AA36" i="9"/>
  <c r="AD36" i="9"/>
  <c r="N14" i="9"/>
  <c r="M14" i="9"/>
  <c r="K14" i="9"/>
  <c r="M7" i="9"/>
  <c r="N7" i="9"/>
  <c r="K7" i="9"/>
  <c r="N10" i="9"/>
  <c r="M10" i="9"/>
  <c r="K10" i="9"/>
  <c r="Q29" i="9"/>
  <c r="R29" i="9"/>
  <c r="P29" i="9"/>
  <c r="V29" i="9"/>
  <c r="O29" i="9"/>
  <c r="S29" i="9"/>
  <c r="Q20" i="9"/>
  <c r="O20" i="9"/>
  <c r="S20" i="9"/>
  <c r="R20" i="9"/>
  <c r="P20" i="9"/>
  <c r="V20" i="9"/>
  <c r="Q26" i="9"/>
  <c r="O26" i="9"/>
  <c r="S26" i="9"/>
  <c r="R26" i="9"/>
  <c r="P26" i="9"/>
  <c r="V26" i="9"/>
  <c r="M3" i="9"/>
  <c r="K3" i="9"/>
  <c r="Q3" i="9"/>
  <c r="N3" i="9"/>
  <c r="Q17" i="9"/>
  <c r="R17" i="9"/>
  <c r="P17" i="9"/>
  <c r="V17" i="9"/>
  <c r="O17" i="9"/>
  <c r="S17" i="9"/>
  <c r="W36" i="9"/>
  <c r="T23" i="9"/>
  <c r="W23" i="9"/>
  <c r="U23" i="9"/>
  <c r="T21" i="9"/>
  <c r="W21" i="9"/>
  <c r="U21" i="9"/>
  <c r="T29" i="9"/>
  <c r="W29" i="9"/>
  <c r="U29" i="9"/>
  <c r="T19" i="9"/>
  <c r="W19" i="9"/>
  <c r="U19" i="9"/>
  <c r="T27" i="9"/>
  <c r="W27" i="9"/>
  <c r="U27" i="9"/>
  <c r="T17" i="9"/>
  <c r="W17" i="9"/>
  <c r="U17" i="9"/>
  <c r="T25" i="9"/>
  <c r="W25" i="9"/>
  <c r="U25" i="9"/>
  <c r="C18" i="9"/>
  <c r="C26" i="9"/>
  <c r="C22" i="9"/>
  <c r="S3" i="6"/>
  <c r="M5" i="9"/>
  <c r="K5" i="9"/>
  <c r="N5" i="9"/>
  <c r="A36" i="9"/>
  <c r="C36" i="9"/>
  <c r="E13" i="9"/>
  <c r="F13" i="9"/>
  <c r="E14" i="9"/>
  <c r="C13" i="9"/>
  <c r="S4" i="6"/>
  <c r="B34" i="7"/>
  <c r="F21" i="6"/>
  <c r="F20" i="6"/>
  <c r="E27" i="2"/>
  <c r="G32" i="2"/>
  <c r="F33" i="9"/>
  <c r="AB38" i="9"/>
  <c r="AC38" i="9"/>
  <c r="O3" i="9"/>
  <c r="S3" i="9"/>
  <c r="P3" i="9"/>
  <c r="V3" i="9"/>
  <c r="R3" i="9"/>
  <c r="P7" i="9"/>
  <c r="V7" i="9"/>
  <c r="Q7" i="9"/>
  <c r="O7" i="9"/>
  <c r="S7" i="9"/>
  <c r="R7" i="9"/>
  <c r="P12" i="9"/>
  <c r="V12" i="9"/>
  <c r="R12" i="9"/>
  <c r="O12" i="9"/>
  <c r="S12" i="9"/>
  <c r="Q12" i="9"/>
  <c r="P9" i="9"/>
  <c r="V9" i="9"/>
  <c r="Q9" i="9"/>
  <c r="O9" i="9"/>
  <c r="S9" i="9"/>
  <c r="R9" i="9"/>
  <c r="O6" i="9"/>
  <c r="S6" i="9"/>
  <c r="Q6" i="9"/>
  <c r="P6" i="9"/>
  <c r="V6" i="9"/>
  <c r="R6" i="9"/>
  <c r="R10" i="9"/>
  <c r="P10" i="9"/>
  <c r="V10" i="9"/>
  <c r="Q10" i="9"/>
  <c r="O10" i="9"/>
  <c r="S10" i="9"/>
  <c r="P14" i="9"/>
  <c r="V14" i="9"/>
  <c r="R14" i="9"/>
  <c r="O14" i="9"/>
  <c r="S14" i="9"/>
  <c r="Q14" i="9"/>
  <c r="Q16" i="9"/>
  <c r="O16" i="9"/>
  <c r="S16" i="9"/>
  <c r="R16" i="9"/>
  <c r="P16" i="9"/>
  <c r="V16" i="9"/>
  <c r="Q13" i="9"/>
  <c r="P13" i="9"/>
  <c r="V13" i="9"/>
  <c r="R13" i="9"/>
  <c r="O13" i="9"/>
  <c r="S13" i="9"/>
  <c r="R8" i="9"/>
  <c r="P8" i="9"/>
  <c r="V8" i="9"/>
  <c r="Q8" i="9"/>
  <c r="O8" i="9"/>
  <c r="S8" i="9"/>
  <c r="R11" i="9"/>
  <c r="O11" i="9"/>
  <c r="S11" i="9"/>
  <c r="Q11" i="9"/>
  <c r="P11" i="9"/>
  <c r="V11" i="9"/>
  <c r="Q5" i="9"/>
  <c r="P5" i="9"/>
  <c r="V5" i="9"/>
  <c r="R5" i="9"/>
  <c r="O5" i="9"/>
  <c r="S5" i="9"/>
  <c r="D38" i="9"/>
  <c r="E33" i="9"/>
  <c r="C33" i="9"/>
  <c r="G33" i="2"/>
  <c r="S2" i="6"/>
  <c r="K32" i="2"/>
  <c r="K33" i="2"/>
  <c r="K31" i="2"/>
  <c r="D34" i="7"/>
  <c r="K30" i="2"/>
  <c r="L30" i="2"/>
  <c r="E30" i="2"/>
  <c r="E31" i="2"/>
  <c r="I33" i="2"/>
  <c r="I31" i="2"/>
  <c r="E32" i="2"/>
  <c r="I32" i="2"/>
  <c r="E33" i="2"/>
  <c r="G31" i="2"/>
  <c r="S38" i="9"/>
  <c r="T38" i="9"/>
  <c r="S36" i="9"/>
  <c r="T37" i="9"/>
  <c r="Q16" i="2"/>
  <c r="Y38" i="9"/>
  <c r="Z38" i="9"/>
  <c r="V36" i="9"/>
  <c r="W37" i="9"/>
  <c r="Q17" i="2"/>
  <c r="V38" i="9"/>
  <c r="W38" i="9"/>
  <c r="G19" i="6"/>
  <c r="C34" i="7"/>
  <c r="I30" i="2"/>
  <c r="J30" i="2"/>
  <c r="K34" i="2"/>
  <c r="E34" i="2"/>
  <c r="F30" i="2"/>
  <c r="H30" i="2"/>
  <c r="G34" i="2"/>
  <c r="K35" i="2"/>
  <c r="I34" i="2"/>
  <c r="G35" i="2"/>
  <c r="E35" i="2"/>
  <c r="I35" i="2"/>
</calcChain>
</file>

<file path=xl/comments1.xml><?xml version="1.0" encoding="utf-8"?>
<comments xmlns="http://schemas.openxmlformats.org/spreadsheetml/2006/main">
  <authors>
    <author>tjenkins</author>
    <author>T Jenkins</author>
    <author>BOLIVAR-MENDOZA, GABRIEL - [ETSE]</author>
  </authors>
  <commentList>
    <comment ref="P4" authorId="0" shapeId="0">
      <text>
        <r>
          <rPr>
            <b/>
            <sz val="8"/>
            <color indexed="81"/>
            <rFont val="Tahoma"/>
            <family val="2"/>
          </rPr>
          <t>tjenkins:</t>
        </r>
        <r>
          <rPr>
            <sz val="8"/>
            <color indexed="81"/>
            <rFont val="Tahoma"/>
            <family val="2"/>
          </rPr>
          <t xml:space="preserve">
Enter the latitude of the location of the collector.</t>
        </r>
      </text>
    </comment>
    <comment ref="P5" authorId="1" shapeId="0">
      <text>
        <r>
          <rPr>
            <b/>
            <sz val="9"/>
            <color indexed="81"/>
            <rFont val="Tahoma"/>
            <family val="2"/>
          </rPr>
          <t>T Jenkins:</t>
        </r>
        <r>
          <rPr>
            <sz val="9"/>
            <color indexed="81"/>
            <rFont val="Tahoma"/>
            <family val="2"/>
          </rPr>
          <t xml:space="preserve">
Location's Longitude Angle.</t>
        </r>
      </text>
    </comment>
    <comment ref="P9" authorId="1" shapeId="0">
      <text>
        <r>
          <rPr>
            <b/>
            <sz val="9"/>
            <color indexed="81"/>
            <rFont val="Tahoma"/>
            <family val="2"/>
          </rPr>
          <t>T Jenkins:
Julian Day</t>
        </r>
        <r>
          <rPr>
            <sz val="9"/>
            <color indexed="81"/>
            <rFont val="Tahoma"/>
            <family val="2"/>
          </rPr>
          <t xml:space="preserve">
Must be between 1-365.</t>
        </r>
      </text>
    </comment>
    <comment ref="E13" authorId="1" shapeId="0">
      <text>
        <r>
          <rPr>
            <b/>
            <sz val="9"/>
            <color indexed="81"/>
            <rFont val="Tahoma"/>
            <family val="2"/>
          </rPr>
          <t>T Jenkins:</t>
        </r>
        <r>
          <rPr>
            <sz val="9"/>
            <color indexed="81"/>
            <rFont val="Tahoma"/>
            <family val="2"/>
          </rPr>
          <t xml:space="preserve">
Enter hours in military time. For example 1 P.M. is 13 hours (12+1) while 11 P.M. would be 23 (12+11). Midnight to 1 A.M.  is 0 hours.</t>
        </r>
      </text>
    </comment>
    <comment ref="F13" authorId="1" shapeId="0">
      <text>
        <r>
          <rPr>
            <b/>
            <sz val="9"/>
            <color indexed="81"/>
            <rFont val="Tahoma"/>
            <family val="2"/>
          </rPr>
          <t>T Jenkins:</t>
        </r>
        <r>
          <rPr>
            <sz val="9"/>
            <color indexed="81"/>
            <rFont val="Tahoma"/>
            <family val="2"/>
          </rPr>
          <t xml:space="preserve">
Enter a value from 0-59 for the minutes after the hour.</t>
        </r>
      </text>
    </comment>
    <comment ref="H13" authorId="0" shapeId="0">
      <text>
        <r>
          <rPr>
            <b/>
            <sz val="8"/>
            <color indexed="81"/>
            <rFont val="Tahoma"/>
            <family val="2"/>
          </rPr>
          <t>tjenkins:</t>
        </r>
        <r>
          <rPr>
            <sz val="8"/>
            <color indexed="81"/>
            <rFont val="Tahoma"/>
            <family val="2"/>
          </rPr>
          <t xml:space="preserve">
Hours and fraction of hours - example: 8:30 is 8.5.
</t>
        </r>
      </text>
    </comment>
    <comment ref="E14" authorId="2" shapeId="0">
      <text>
        <r>
          <rPr>
            <b/>
            <sz val="9"/>
            <color indexed="81"/>
            <rFont val="Tahoma"/>
            <family val="2"/>
          </rPr>
          <t>Daylight Savings Time starts the second Sunday of March and ends the first Sunday of November.</t>
        </r>
      </text>
    </comment>
    <comment ref="D17" authorId="2" shapeId="0">
      <text>
        <r>
          <rPr>
            <b/>
            <sz val="9"/>
            <color indexed="81"/>
            <rFont val="Tahoma"/>
            <family val="2"/>
          </rPr>
          <t xml:space="preserve">tjenkins:
</t>
        </r>
        <r>
          <rPr>
            <sz val="9"/>
            <color indexed="81"/>
            <rFont val="Tahoma"/>
            <family val="2"/>
          </rPr>
          <t>See solar time calculation document.</t>
        </r>
      </text>
    </comment>
    <comment ref="E20" authorId="2" shapeId="0">
      <text>
        <r>
          <rPr>
            <b/>
            <sz val="9"/>
            <color indexed="81"/>
            <rFont val="Tahoma"/>
            <family val="2"/>
          </rPr>
          <t>This Longitude value is determined with the Time Zone value entered before.</t>
        </r>
      </text>
    </comment>
    <comment ref="E21" authorId="0" shapeId="0">
      <text>
        <r>
          <rPr>
            <sz val="8"/>
            <color indexed="81"/>
            <rFont val="Tahoma"/>
            <family val="2"/>
          </rPr>
          <t>The hours are (+) before solar noon and (-) after solar noon. The value is hr and fraction of an hour.</t>
        </r>
      </text>
    </comment>
    <comment ref="C25" authorId="2" shapeId="0">
      <text>
        <r>
          <rPr>
            <b/>
            <sz val="9"/>
            <color indexed="81"/>
            <rFont val="Tahoma"/>
            <family val="2"/>
          </rPr>
          <t>This is the solar time at the specified LOCAL time.</t>
        </r>
      </text>
    </comment>
    <comment ref="C35" authorId="2" shapeId="0">
      <text>
        <r>
          <rPr>
            <b/>
            <sz val="9"/>
            <color indexed="81"/>
            <rFont val="Tahoma"/>
            <family val="2"/>
          </rPr>
          <t>Enter the hour in military time (0-23) for the solar time.</t>
        </r>
      </text>
    </comment>
    <comment ref="D35" authorId="2" shapeId="0">
      <text>
        <r>
          <rPr>
            <b/>
            <sz val="9"/>
            <color indexed="81"/>
            <rFont val="Tahoma"/>
            <family val="2"/>
          </rPr>
          <t>Enter the minutes (0-59) for the solar time.</t>
        </r>
      </text>
    </comment>
    <comment ref="C36" authorId="2" shapeId="0">
      <text>
        <r>
          <rPr>
            <b/>
            <sz val="9"/>
            <color indexed="81"/>
            <rFont val="Tahoma"/>
            <family val="2"/>
          </rPr>
          <t>This is the Local Time at the solar time specified in the location previously entered.</t>
        </r>
      </text>
    </comment>
  </commentList>
</comments>
</file>

<file path=xl/comments2.xml><?xml version="1.0" encoding="utf-8"?>
<comments xmlns="http://schemas.openxmlformats.org/spreadsheetml/2006/main">
  <authors>
    <author>tjenkins</author>
    <author>BOLIVAR-MENDOZA, GABRIEL - [ETSE]</author>
  </authors>
  <commentList>
    <comment ref="L5" authorId="0" shapeId="0">
      <text>
        <r>
          <rPr>
            <b/>
            <sz val="8"/>
            <color indexed="81"/>
            <rFont val="Tahoma"/>
            <family val="2"/>
          </rPr>
          <t>tjenkins:</t>
        </r>
        <r>
          <rPr>
            <sz val="8"/>
            <color indexed="81"/>
            <rFont val="Tahoma"/>
            <family val="2"/>
          </rPr>
          <t xml:space="preserve">
Julian day number from previous sheet.</t>
        </r>
      </text>
    </comment>
    <comment ref="L7" authorId="1" shapeId="0">
      <text>
        <r>
          <rPr>
            <sz val="9"/>
            <color indexed="81"/>
            <rFont val="Tahoma"/>
            <family val="2"/>
          </rPr>
          <t>Solar Time value in decimal from the previous sheet.</t>
        </r>
      </text>
    </comment>
    <comment ref="A10" authorId="1" shapeId="0">
      <text>
        <r>
          <rPr>
            <b/>
            <sz val="9"/>
            <color indexed="81"/>
            <rFont val="Tahoma"/>
            <family val="2"/>
          </rPr>
          <t>Formula: 23.45 *SIN((360/365)*(n-81))
Where: n is the Julian Day number</t>
        </r>
      </text>
    </comment>
    <comment ref="F10" authorId="1" shapeId="0">
      <text>
        <r>
          <rPr>
            <b/>
            <sz val="9"/>
            <color indexed="81"/>
            <rFont val="Tahoma"/>
            <family val="2"/>
          </rPr>
          <t xml:space="preserve">tjenkins:
</t>
        </r>
        <r>
          <rPr>
            <sz val="9"/>
            <color indexed="81"/>
            <rFont val="Tahoma"/>
            <family val="2"/>
          </rPr>
          <t>The angle formed between the equator and a line drawn from the center of the sun to the center of the earth.</t>
        </r>
      </text>
    </comment>
    <comment ref="A11" authorId="1" shapeId="0">
      <text>
        <r>
          <rPr>
            <b/>
            <sz val="9"/>
            <color indexed="81"/>
            <rFont val="Tahoma"/>
            <family val="2"/>
          </rPr>
          <t>Formula: 90 - L + δ
Where: L is Latitude angle in degrees</t>
        </r>
      </text>
    </comment>
    <comment ref="F11" authorId="1" shapeId="0">
      <text>
        <r>
          <rPr>
            <b/>
            <sz val="9"/>
            <color indexed="81"/>
            <rFont val="Tahoma"/>
            <family val="2"/>
          </rPr>
          <t xml:space="preserve">tjenkins:
</t>
        </r>
        <r>
          <rPr>
            <sz val="9"/>
            <color indexed="81"/>
            <rFont val="Tahoma"/>
            <family val="2"/>
          </rPr>
          <t>Solar altitude angle 
(at noon).</t>
        </r>
      </text>
    </comment>
    <comment ref="A12" authorId="1" shapeId="0">
      <text>
        <r>
          <rPr>
            <b/>
            <sz val="9"/>
            <color indexed="81"/>
            <rFont val="Tahoma"/>
            <family val="2"/>
          </rPr>
          <t xml:space="preserve">Formula: 90 - β </t>
        </r>
      </text>
    </comment>
    <comment ref="F12" authorId="1" shapeId="0">
      <text>
        <r>
          <rPr>
            <b/>
            <sz val="9"/>
            <color indexed="81"/>
            <rFont val="Tahoma"/>
            <family val="2"/>
          </rPr>
          <t xml:space="preserve">tjenkins:
</t>
        </r>
        <r>
          <rPr>
            <sz val="9"/>
            <color indexed="81"/>
            <rFont val="Tahoma"/>
            <family val="2"/>
          </rPr>
          <t>The calculated optimum tilt angle for the solar collector at solar noon.</t>
        </r>
      </text>
    </comment>
    <comment ref="A13" authorId="1" shapeId="0">
      <text>
        <r>
          <rPr>
            <b/>
            <sz val="9"/>
            <color indexed="81"/>
            <rFont val="Tahoma"/>
            <family val="2"/>
          </rPr>
          <t xml:space="preserve">Formula: 1/(sin β) </t>
        </r>
      </text>
    </comment>
    <comment ref="F13" authorId="1" shapeId="0">
      <text>
        <r>
          <rPr>
            <b/>
            <sz val="9"/>
            <color indexed="81"/>
            <rFont val="Tahoma"/>
            <family val="2"/>
          </rPr>
          <t xml:space="preserve">tjenkins:
</t>
        </r>
        <r>
          <rPr>
            <sz val="9"/>
            <color indexed="81"/>
            <rFont val="Tahoma"/>
            <family val="2"/>
          </rPr>
          <t>Calculated measure of the amount of atmosphere the sun's rays must pass.</t>
        </r>
      </text>
    </comment>
    <comment ref="F16" authorId="0" shapeId="0">
      <text>
        <r>
          <rPr>
            <b/>
            <sz val="8"/>
            <color indexed="81"/>
            <rFont val="Tahoma"/>
            <family val="2"/>
          </rPr>
          <t>tjenkins:</t>
        </r>
        <r>
          <rPr>
            <sz val="8"/>
            <color indexed="81"/>
            <rFont val="Tahoma"/>
            <family val="2"/>
          </rPr>
          <t xml:space="preserve">
The hours (2.5 for example) before or after solar noon of the time you are interested.
See the time calculation sheet for a way to determine this value.</t>
        </r>
      </text>
    </comment>
    <comment ref="A17" authorId="1" shapeId="0">
      <text>
        <r>
          <rPr>
            <b/>
            <sz val="9"/>
            <color indexed="81"/>
            <rFont val="Tahoma"/>
            <family val="2"/>
          </rPr>
          <t>Formula:  15</t>
        </r>
        <r>
          <rPr>
            <b/>
            <sz val="9"/>
            <color indexed="81"/>
            <rFont val="Calibri"/>
            <family val="2"/>
          </rPr>
          <t>°</t>
        </r>
        <r>
          <rPr>
            <b/>
            <sz val="9"/>
            <color indexed="81"/>
            <rFont val="Tahoma"/>
            <family val="2"/>
          </rPr>
          <t>/h * (hr -/+ solar noon)</t>
        </r>
      </text>
    </comment>
    <comment ref="F17" authorId="1" shapeId="0">
      <text>
        <r>
          <rPr>
            <sz val="9"/>
            <color indexed="81"/>
            <rFont val="Tahoma"/>
            <family val="2"/>
          </rPr>
          <t>Number of degrees the earth must rotate or has rotated so the sun is directly above your meridian (longitude specified).</t>
        </r>
      </text>
    </comment>
    <comment ref="F18" authorId="1" shapeId="0">
      <text>
        <r>
          <rPr>
            <sz val="9"/>
            <color indexed="81"/>
            <rFont val="Tahoma"/>
            <family val="2"/>
          </rPr>
          <t>Solar altitude angle.</t>
        </r>
      </text>
    </comment>
    <comment ref="A19" authorId="1" shapeId="0">
      <text>
        <r>
          <rPr>
            <sz val="9"/>
            <color indexed="81"/>
            <rFont val="Tahoma"/>
            <family val="2"/>
          </rPr>
          <t>Position of the sun (East or West) from the longitude specified.</t>
        </r>
      </text>
    </comment>
    <comment ref="F19" authorId="0" shapeId="0">
      <text>
        <r>
          <rPr>
            <b/>
            <sz val="8"/>
            <color indexed="81"/>
            <rFont val="Tahoma"/>
            <family val="2"/>
          </rPr>
          <t>tjenkins:</t>
        </r>
        <r>
          <rPr>
            <sz val="8"/>
            <color indexed="81"/>
            <rFont val="Tahoma"/>
            <family val="2"/>
          </rPr>
          <t xml:space="preserve">
This is the azimuth angle of the sun at this time of day from true south. Degrees East are positive (+) and degrees West are negative (-).</t>
        </r>
      </text>
    </comment>
    <comment ref="F20" authorId="1" shapeId="0">
      <text>
        <r>
          <rPr>
            <sz val="9"/>
            <color indexed="81"/>
            <rFont val="Tahoma"/>
            <family val="2"/>
          </rPr>
          <t>Degrees from the horizontal.</t>
        </r>
      </text>
    </comment>
  </commentList>
</comments>
</file>

<file path=xl/comments3.xml><?xml version="1.0" encoding="utf-8"?>
<comments xmlns="http://schemas.openxmlformats.org/spreadsheetml/2006/main">
  <authors>
    <author>BOLIVAR-MENDOZA, GABRIEL - [ETSE]</author>
    <author>tjenkins</author>
  </authors>
  <commentList>
    <comment ref="O3" authorId="0" shapeId="0">
      <text>
        <r>
          <rPr>
            <b/>
            <sz val="9"/>
            <color indexed="81"/>
            <rFont val="Tahoma"/>
            <family val="2"/>
          </rPr>
          <t xml:space="preserve">Typical coefficients for ground reflectance. </t>
        </r>
      </text>
    </comment>
    <comment ref="L6" authorId="1" shapeId="0">
      <text>
        <r>
          <rPr>
            <b/>
            <sz val="8"/>
            <color indexed="81"/>
            <rFont val="Tahoma"/>
            <family val="2"/>
          </rPr>
          <t>tjenkins:</t>
        </r>
        <r>
          <rPr>
            <sz val="8"/>
            <color indexed="81"/>
            <rFont val="Tahoma"/>
            <family val="2"/>
          </rPr>
          <t xml:space="preserve">
Enter the rotation or azimuth angle of the collector (from true south). Angle to the Southwest are negative (-) and to the Southeast are positive (+).</t>
        </r>
      </text>
    </comment>
    <comment ref="L7" authorId="1" shapeId="0">
      <text>
        <r>
          <rPr>
            <b/>
            <sz val="8"/>
            <color indexed="81"/>
            <rFont val="Tahoma"/>
            <family val="2"/>
          </rPr>
          <t>tjenkins:</t>
        </r>
        <r>
          <rPr>
            <sz val="8"/>
            <color indexed="81"/>
            <rFont val="Tahoma"/>
            <family val="2"/>
          </rPr>
          <t xml:space="preserve">
Enter the tilt angle of the collector.</t>
        </r>
      </text>
    </comment>
    <comment ref="L8" authorId="1" shapeId="0">
      <text>
        <r>
          <rPr>
            <b/>
            <sz val="8"/>
            <color indexed="81"/>
            <rFont val="Tahoma"/>
            <family val="2"/>
          </rPr>
          <t>tjenkins:</t>
        </r>
        <r>
          <rPr>
            <sz val="8"/>
            <color indexed="81"/>
            <rFont val="Tahoma"/>
            <family val="2"/>
          </rPr>
          <t xml:space="preserve">
Enter the reflective coefficient of the surface surrounding the collector - this is a table lookup value.</t>
        </r>
      </text>
    </comment>
    <comment ref="A10" authorId="0" shapeId="0">
      <text>
        <r>
          <rPr>
            <b/>
            <sz val="9"/>
            <color indexed="81"/>
            <rFont val="Tahoma"/>
            <family val="2"/>
          </rPr>
          <t xml:space="preserve">tjenkins:
</t>
        </r>
        <r>
          <rPr>
            <sz val="9"/>
            <color indexed="81"/>
            <rFont val="Tahoma"/>
            <family val="2"/>
          </rPr>
          <t>Solar flux-radiation that hits the top of the atmosphere.</t>
        </r>
      </text>
    </comment>
    <comment ref="A12" authorId="1" shapeId="0">
      <text>
        <r>
          <rPr>
            <b/>
            <sz val="8"/>
            <color indexed="81"/>
            <rFont val="Tahoma"/>
            <family val="2"/>
          </rPr>
          <t>tjenkins:</t>
        </r>
        <r>
          <rPr>
            <sz val="8"/>
            <color indexed="81"/>
            <rFont val="Tahoma"/>
            <family val="2"/>
          </rPr>
          <t xml:space="preserve">
Avg calc. of standard dust, water vapor, etc. that might be in normal atmosphere conditions</t>
        </r>
      </text>
    </comment>
    <comment ref="A13" authorId="0" shapeId="0">
      <text>
        <r>
          <rPr>
            <b/>
            <sz val="9"/>
            <color indexed="81"/>
            <rFont val="Tahoma"/>
            <family val="2"/>
          </rPr>
          <t>Formula:  = 0.095+0.04sin(360/365)(n-100)</t>
        </r>
      </text>
    </comment>
    <comment ref="A16" authorId="0" shape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18" authorId="0" shapeId="0">
      <text>
        <r>
          <rPr>
            <b/>
            <sz val="9"/>
            <color indexed="81"/>
            <rFont val="Tahoma"/>
            <family val="2"/>
          </rPr>
          <t>These values are not affected for the collector angle entries.</t>
        </r>
      </text>
    </comment>
    <comment ref="G18" authorId="0" shapeId="0">
      <text>
        <r>
          <rPr>
            <b/>
            <sz val="9"/>
            <color indexed="81"/>
            <rFont val="Tahoma"/>
            <family val="2"/>
          </rPr>
          <t>These values are affected for the collector azimuth and tilt angles as well as for the reflectance value.</t>
        </r>
      </text>
    </comment>
    <comment ref="J18" authorId="0" shapeId="0">
      <text>
        <r>
          <rPr>
            <b/>
            <sz val="9"/>
            <color indexed="81"/>
            <rFont val="Tahoma"/>
            <family val="2"/>
          </rPr>
          <t>These values are only affected for the reflectance value.</t>
        </r>
      </text>
    </comment>
    <comment ref="L18" authorId="0" shapeId="0">
      <text>
        <r>
          <rPr>
            <b/>
            <sz val="9"/>
            <color indexed="81"/>
            <rFont val="Tahoma"/>
            <family val="2"/>
          </rPr>
          <t>These values are not affected for the collector angle entries, but only for the reflectance value.</t>
        </r>
      </text>
    </comment>
    <comment ref="A19" authorId="0" shapeId="0">
      <text>
        <r>
          <rPr>
            <b/>
            <sz val="9"/>
            <color indexed="81"/>
            <rFont val="Tahoma"/>
            <family val="2"/>
          </rPr>
          <t>Formula: cosβcos(Φs-Φc)sin∑+sinβ cos∑</t>
        </r>
      </text>
    </comment>
    <comment ref="A20" authorId="1" shapeId="0">
      <text>
        <r>
          <rPr>
            <b/>
            <sz val="8"/>
            <color indexed="81"/>
            <rFont val="Tahoma"/>
            <family val="2"/>
          </rPr>
          <t>tjenkins:</t>
        </r>
        <r>
          <rPr>
            <sz val="8"/>
            <color indexed="81"/>
            <rFont val="Tahoma"/>
            <family val="2"/>
          </rPr>
          <t xml:space="preserve">
Amount of direct insolation that would hit one meter square area of the collector.</t>
        </r>
      </text>
    </comment>
    <comment ref="A21" authorId="1" shapeId="0">
      <text>
        <r>
          <rPr>
            <b/>
            <sz val="8"/>
            <color indexed="81"/>
            <rFont val="Tahoma"/>
            <family val="2"/>
          </rPr>
          <t>tjenkins:</t>
        </r>
        <r>
          <rPr>
            <sz val="8"/>
            <color indexed="81"/>
            <rFont val="Tahoma"/>
            <family val="2"/>
          </rPr>
          <t xml:space="preserve">
Solar radiation hitting a collector face from diffuse sources only.</t>
        </r>
      </text>
    </comment>
    <comment ref="A22" authorId="1" shapeId="0">
      <text>
        <r>
          <rPr>
            <b/>
            <sz val="8"/>
            <color indexed="81"/>
            <rFont val="Tahoma"/>
            <family val="2"/>
          </rPr>
          <t>tjenkins:</t>
        </r>
        <r>
          <rPr>
            <sz val="8"/>
            <color indexed="81"/>
            <rFont val="Tahoma"/>
            <family val="2"/>
          </rPr>
          <t xml:space="preserve">
Reflected insolation upon the collector face.</t>
        </r>
      </text>
    </comment>
    <comment ref="A23" authorId="1" shapeId="0">
      <text>
        <r>
          <rPr>
            <b/>
            <sz val="8"/>
            <color indexed="81"/>
            <rFont val="Tahoma"/>
            <family val="2"/>
          </rPr>
          <t>tjenkins:</t>
        </r>
        <r>
          <rPr>
            <sz val="8"/>
            <color indexed="81"/>
            <rFont val="Tahoma"/>
            <family val="2"/>
          </rPr>
          <t xml:space="preserve">
Total solar insolation on a collector face from all three sources.</t>
        </r>
      </text>
    </comment>
    <comment ref="A27" authorId="0" shape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29" authorId="0" shapeId="0">
      <text>
        <r>
          <rPr>
            <b/>
            <sz val="9"/>
            <color indexed="81"/>
            <rFont val="Tahoma"/>
            <family val="2"/>
          </rPr>
          <t>These values are not affected for the collector angle entries.</t>
        </r>
      </text>
    </comment>
    <comment ref="G29" authorId="0" shapeId="0">
      <text>
        <r>
          <rPr>
            <b/>
            <sz val="9"/>
            <color indexed="81"/>
            <rFont val="Tahoma"/>
            <family val="2"/>
          </rPr>
          <t>These values are affected for the collector azimuth and tilt angles as well as for the reflectance value.</t>
        </r>
      </text>
    </comment>
    <comment ref="J29" authorId="0" shapeId="0">
      <text>
        <r>
          <rPr>
            <b/>
            <sz val="9"/>
            <color indexed="81"/>
            <rFont val="Tahoma"/>
            <family val="2"/>
          </rPr>
          <t>These values are only affected for the reflectance value.</t>
        </r>
      </text>
    </comment>
    <comment ref="L29" authorId="0" shapeId="0">
      <text>
        <r>
          <rPr>
            <b/>
            <sz val="9"/>
            <color indexed="81"/>
            <rFont val="Tahoma"/>
            <family val="2"/>
          </rPr>
          <t>These values are not affected for the collector angle entries, but only for the reflectance value.</t>
        </r>
      </text>
    </comment>
    <comment ref="A30" authorId="0" shapeId="0">
      <text>
        <r>
          <rPr>
            <b/>
            <sz val="9"/>
            <color indexed="81"/>
            <rFont val="Tahoma"/>
            <family val="2"/>
          </rPr>
          <t>Formula: cosβcos(Φs-Φc)sin∑+sinβ cos∑</t>
        </r>
      </text>
    </comment>
    <comment ref="A31" authorId="1" shapeId="0">
      <text>
        <r>
          <rPr>
            <b/>
            <sz val="8"/>
            <color indexed="81"/>
            <rFont val="Tahoma"/>
            <family val="2"/>
          </rPr>
          <t>tjenkins:</t>
        </r>
        <r>
          <rPr>
            <sz val="8"/>
            <color indexed="81"/>
            <rFont val="Tahoma"/>
            <family val="2"/>
          </rPr>
          <t xml:space="preserve">
Amount of direct insolation that would hit the earth in a one meter square area.</t>
        </r>
      </text>
    </comment>
    <comment ref="A32" authorId="1" shapeId="0">
      <text>
        <r>
          <rPr>
            <b/>
            <sz val="8"/>
            <color indexed="81"/>
            <rFont val="Tahoma"/>
            <family val="2"/>
          </rPr>
          <t>tjenkins:</t>
        </r>
        <r>
          <rPr>
            <sz val="8"/>
            <color indexed="81"/>
            <rFont val="Tahoma"/>
            <family val="2"/>
          </rPr>
          <t xml:space="preserve">
Solar radiation hitting a collector face from diffuse sources only.</t>
        </r>
      </text>
    </comment>
    <comment ref="A33" authorId="1" shapeId="0">
      <text>
        <r>
          <rPr>
            <b/>
            <sz val="8"/>
            <color indexed="81"/>
            <rFont val="Tahoma"/>
            <family val="2"/>
          </rPr>
          <t>tjenkins:</t>
        </r>
        <r>
          <rPr>
            <sz val="8"/>
            <color indexed="81"/>
            <rFont val="Tahoma"/>
            <family val="2"/>
          </rPr>
          <t xml:space="preserve">
Reflected insolation upon the collector face.</t>
        </r>
      </text>
    </comment>
    <comment ref="A34" authorId="1" shapeId="0">
      <text>
        <r>
          <rPr>
            <b/>
            <sz val="8"/>
            <color indexed="81"/>
            <rFont val="Tahoma"/>
            <family val="2"/>
          </rPr>
          <t>tjenkins:</t>
        </r>
        <r>
          <rPr>
            <sz val="8"/>
            <color indexed="81"/>
            <rFont val="Tahoma"/>
            <family val="2"/>
          </rPr>
          <t xml:space="preserve">
Totla solar insolation on a collector face from all three sources.</t>
        </r>
      </text>
    </comment>
    <comment ref="F45" authorId="0" shapeId="0">
      <text>
        <r>
          <rPr>
            <b/>
            <sz val="9"/>
            <color indexed="81"/>
            <rFont val="Tahoma"/>
            <family val="2"/>
          </rPr>
          <t>This calculation assumes that the voltage remain constant.</t>
        </r>
      </text>
    </comment>
  </commentList>
</comments>
</file>

<file path=xl/comments4.xml><?xml version="1.0" encoding="utf-8"?>
<comments xmlns="http://schemas.openxmlformats.org/spreadsheetml/2006/main">
  <authors>
    <author>BOLIVAR-MENDOZA, GABRIEL - [ETSE]</author>
  </authors>
  <commentList>
    <comment ref="C8" authorId="0" shapeId="0">
      <text>
        <r>
          <rPr>
            <sz val="9"/>
            <color indexed="81"/>
            <rFont val="Tahoma"/>
            <family val="2"/>
          </rPr>
          <t>Degree angles the sun is away from the meridian (longitude value) specified.</t>
        </r>
      </text>
    </comment>
    <comment ref="B10" authorId="0" shapeId="0">
      <text>
        <r>
          <rPr>
            <sz val="9"/>
            <color indexed="81"/>
            <rFont val="Tahoma"/>
            <family val="2"/>
          </rPr>
          <t>Geometric Sunrise is based on angles measured to the center of the sun.</t>
        </r>
      </text>
    </comment>
    <comment ref="C13" authorId="0" shapeId="0">
      <text>
        <r>
          <rPr>
            <sz val="9"/>
            <color indexed="81"/>
            <rFont val="Tahoma"/>
            <family val="2"/>
          </rPr>
          <t>Atmospheric refraction that makes the sun appears to rise some minutes sonner.</t>
        </r>
      </text>
    </comment>
    <comment ref="B14" authorId="0" shapeId="0">
      <text>
        <r>
          <rPr>
            <sz val="9"/>
            <color indexed="81"/>
            <rFont val="Tahoma"/>
            <family val="2"/>
          </rPr>
          <t>Takes the adjustment factor into consideration.</t>
        </r>
      </text>
    </comment>
    <comment ref="C20" authorId="0" shapeId="0">
      <text>
        <r>
          <rPr>
            <sz val="9"/>
            <color indexed="81"/>
            <rFont val="Tahoma"/>
            <family val="2"/>
          </rPr>
          <t>Degree angles the sun is away from the meridian (longitude value) specified.</t>
        </r>
      </text>
    </comment>
    <comment ref="B22" authorId="0" shapeId="0">
      <text>
        <r>
          <rPr>
            <sz val="9"/>
            <color indexed="81"/>
            <rFont val="Tahoma"/>
            <family val="2"/>
          </rPr>
          <t>Geometric Sunrise is based on angles measured to the center of the sun.</t>
        </r>
      </text>
    </comment>
    <comment ref="C25" authorId="0" shapeId="0">
      <text>
        <r>
          <rPr>
            <sz val="9"/>
            <color indexed="81"/>
            <rFont val="Tahoma"/>
            <family val="2"/>
          </rPr>
          <t>Atmospheric refraction that makes the sun appears to set some minutes later.</t>
        </r>
      </text>
    </comment>
  </commentList>
</comments>
</file>

<file path=xl/sharedStrings.xml><?xml version="1.0" encoding="utf-8"?>
<sst xmlns="http://schemas.openxmlformats.org/spreadsheetml/2006/main" count="714" uniqueCount="230">
  <si>
    <t>degrees</t>
  </si>
  <si>
    <t>Solar Time, Angles, and Irradiance Calculator</t>
  </si>
  <si>
    <t>Copyright © NMSU 2013</t>
  </si>
  <si>
    <t>The authors wish to express extreme gratitude for the assistance of the following:</t>
  </si>
  <si>
    <t xml:space="preserve">College of Engineering (COE) and Engineering NM:                      http://engr.nmsu.edu/index.shtml  </t>
  </si>
  <si>
    <t>Cooperative Extension Service:                                                     http://extension.nmsu.edu/</t>
  </si>
  <si>
    <t>New Mexico Space Grant Consortium (NMSGC):                        http://www.nmspacegrant.com/</t>
  </si>
  <si>
    <t>Department of Engineering Technology and Surveying Engineering (ETSE):  http://et.nmsu.edu/</t>
  </si>
  <si>
    <t>See related energy videos at:</t>
  </si>
  <si>
    <t xml:space="preserve">http://www.youtube.com/playlist?list=PL89870B418A514D27  </t>
  </si>
  <si>
    <t>Time Conversion</t>
  </si>
  <si>
    <t>Hr</t>
  </si>
  <si>
    <t>minutes</t>
  </si>
  <si>
    <t>Local Time (CT)</t>
  </si>
  <si>
    <t>Time Zone (use drop-down menu)</t>
  </si>
  <si>
    <t>Eastern</t>
  </si>
  <si>
    <t>Central</t>
  </si>
  <si>
    <t>Mountain</t>
  </si>
  <si>
    <t>Pacific</t>
  </si>
  <si>
    <t>Min</t>
  </si>
  <si>
    <t>Y</t>
  </si>
  <si>
    <t>N</t>
  </si>
  <si>
    <t>or</t>
  </si>
  <si>
    <t>Determining Sun Angles for any Day/Time</t>
  </si>
  <si>
    <t>Solar Calculations at Solar Noon</t>
  </si>
  <si>
    <t>TILTED</t>
  </si>
  <si>
    <t>FLAT</t>
  </si>
  <si>
    <t>January</t>
  </si>
  <si>
    <t>February</t>
  </si>
  <si>
    <t>March</t>
  </si>
  <si>
    <t>April</t>
  </si>
  <si>
    <t>May</t>
  </si>
  <si>
    <t>July</t>
  </si>
  <si>
    <t>August</t>
  </si>
  <si>
    <t>September</t>
  </si>
  <si>
    <t>October</t>
  </si>
  <si>
    <t>November</t>
  </si>
  <si>
    <t>December</t>
  </si>
  <si>
    <t>Month</t>
  </si>
  <si>
    <t xml:space="preserve">n = </t>
  </si>
  <si>
    <t>n =</t>
  </si>
  <si>
    <t>Day</t>
  </si>
  <si>
    <t>Julian Day</t>
  </si>
  <si>
    <t>June</t>
  </si>
  <si>
    <t>Useful</t>
  </si>
  <si>
    <t>Enter the month and day to calculate the Julian day number:</t>
  </si>
  <si>
    <t>Time in decimal</t>
  </si>
  <si>
    <t>Local Meridian (degrees West of Greenwich)</t>
  </si>
  <si>
    <t>Calculations:</t>
  </si>
  <si>
    <t>hours</t>
  </si>
  <si>
    <t>Decimal</t>
  </si>
  <si>
    <t>12-hour Format</t>
  </si>
  <si>
    <t>Local Time Zones</t>
  </si>
  <si>
    <t>degrees West</t>
  </si>
  <si>
    <t xml:space="preserve">Solar Time (ST) </t>
  </si>
  <si>
    <t>Latitude</t>
  </si>
  <si>
    <t>Hours before/after solar noon (+/-)</t>
  </si>
  <si>
    <t>Solar Insolation</t>
  </si>
  <si>
    <t>1-AXIS TRACKER</t>
  </si>
  <si>
    <t>2-AXIS TRACKER</t>
  </si>
  <si>
    <t>Azimuth</t>
  </si>
  <si>
    <t>Before</t>
  </si>
  <si>
    <t>After</t>
  </si>
  <si>
    <t>Sunrise and Sunset</t>
  </si>
  <si>
    <t>Sunrise</t>
  </si>
  <si>
    <t>Hour angle</t>
  </si>
  <si>
    <t>min</t>
  </si>
  <si>
    <t>Sunset</t>
  </si>
  <si>
    <t>Geometric Sunset</t>
  </si>
  <si>
    <t>Geometric Sunrise</t>
  </si>
  <si>
    <t>Local Time</t>
  </si>
  <si>
    <t>Solar Time</t>
  </si>
  <si>
    <t>Day duration</t>
  </si>
  <si>
    <t>Hours</t>
  </si>
  <si>
    <t>Longitude</t>
  </si>
  <si>
    <t>Solar Time in Decimal</t>
  </si>
  <si>
    <t>Local Time in Decimal</t>
  </si>
  <si>
    <t>East from north</t>
  </si>
  <si>
    <t>West from south</t>
  </si>
  <si>
    <t>From book: east or west from north</t>
  </si>
  <si>
    <t>Solar Declination</t>
  </si>
  <si>
    <t>Solar Altitude</t>
  </si>
  <si>
    <t>Time</t>
  </si>
  <si>
    <t>Altitude</t>
  </si>
  <si>
    <t>Insolation</t>
  </si>
  <si>
    <t>Hours +/-</t>
  </si>
  <si>
    <t>Hour Angle</t>
  </si>
  <si>
    <t>Air Mass</t>
  </si>
  <si>
    <t>Ground Reflectance (ρ)</t>
  </si>
  <si>
    <t>Fresh snow</t>
  </si>
  <si>
    <t>Gravel roof</t>
  </si>
  <si>
    <t xml:space="preserve">Collector azimuth angle (Φc)  </t>
  </si>
  <si>
    <t>Reflectance of surface (ρ)</t>
  </si>
  <si>
    <t>Date</t>
  </si>
  <si>
    <t>Length</t>
  </si>
  <si>
    <t>Width</t>
  </si>
  <si>
    <t>in</t>
  </si>
  <si>
    <t>Amps</t>
  </si>
  <si>
    <t>V</t>
  </si>
  <si>
    <t>W</t>
  </si>
  <si>
    <t>ACTUAL POWER GENERATED</t>
  </si>
  <si>
    <t>Area</t>
  </si>
  <si>
    <t>Efficiency</t>
  </si>
  <si>
    <t>power generated for panel in 1m2</t>
  </si>
  <si>
    <t>Insolation with AM = 1.5</t>
  </si>
  <si>
    <t>Real power generated in 1m2</t>
  </si>
  <si>
    <t>Panel power (real size)</t>
  </si>
  <si>
    <t>These values assume given time</t>
  </si>
  <si>
    <t>Solar Calculations with Time Component</t>
  </si>
  <si>
    <r>
      <t xml:space="preserve">Location's </t>
    </r>
    <r>
      <rPr>
        <b/>
        <sz val="12"/>
        <rFont val="Times New Roman"/>
        <family val="1"/>
      </rPr>
      <t>Latitude</t>
    </r>
    <r>
      <rPr>
        <sz val="12"/>
        <rFont val="Times New Roman"/>
        <family val="1"/>
      </rPr>
      <t xml:space="preserve"> Angle in degrees</t>
    </r>
  </si>
  <si>
    <r>
      <t xml:space="preserve">Location's </t>
    </r>
    <r>
      <rPr>
        <b/>
        <sz val="12"/>
        <rFont val="Times New Roman"/>
        <family val="1"/>
      </rPr>
      <t>Longitude</t>
    </r>
    <r>
      <rPr>
        <sz val="12"/>
        <rFont val="Times New Roman"/>
        <family val="1"/>
      </rPr>
      <t xml:space="preserve"> Angle in degrees</t>
    </r>
  </si>
  <si>
    <r>
      <t xml:space="preserve">Enter the </t>
    </r>
    <r>
      <rPr>
        <b/>
        <i/>
        <u/>
        <sz val="12"/>
        <rFont val="Times New Roman"/>
        <family val="1"/>
      </rPr>
      <t>local</t>
    </r>
    <r>
      <rPr>
        <b/>
        <sz val="12"/>
        <rFont val="Times New Roman"/>
        <family val="1"/>
      </rPr>
      <t xml:space="preserve"> time: (hours and  min)</t>
    </r>
  </si>
  <si>
    <r>
      <t>Longitude Correction (</t>
    </r>
    <r>
      <rPr>
        <b/>
        <sz val="12"/>
        <rFont val="Times New Roman"/>
        <family val="1"/>
      </rPr>
      <t>B</t>
    </r>
    <r>
      <rPr>
        <sz val="12"/>
        <rFont val="Times New Roman"/>
        <family val="1"/>
      </rPr>
      <t>)</t>
    </r>
  </si>
  <si>
    <r>
      <t>Equation of Time (</t>
    </r>
    <r>
      <rPr>
        <b/>
        <sz val="12"/>
        <rFont val="Times New Roman"/>
        <family val="1"/>
      </rPr>
      <t>E</t>
    </r>
    <r>
      <rPr>
        <sz val="12"/>
        <rFont val="Times New Roman"/>
        <family val="1"/>
      </rPr>
      <t>)</t>
    </r>
  </si>
  <si>
    <r>
      <t>Solar Time</t>
    </r>
    <r>
      <rPr>
        <sz val="12"/>
        <rFont val="Times New Roman"/>
        <family val="1"/>
      </rPr>
      <t xml:space="preserve"> is:</t>
    </r>
  </si>
  <si>
    <r>
      <t>On this day, solar</t>
    </r>
    <r>
      <rPr>
        <b/>
        <u/>
        <sz val="12"/>
        <rFont val="Times New Roman"/>
        <family val="1"/>
      </rPr>
      <t xml:space="preserve"> noon</t>
    </r>
    <r>
      <rPr>
        <sz val="12"/>
        <rFont val="Times New Roman"/>
        <family val="1"/>
      </rPr>
      <t xml:space="preserve"> is at this</t>
    </r>
    <r>
      <rPr>
        <b/>
        <i/>
        <sz val="12"/>
        <rFont val="Times New Roman"/>
        <family val="1"/>
      </rPr>
      <t xml:space="preserve"> local time</t>
    </r>
    <r>
      <rPr>
        <sz val="12"/>
        <rFont val="Times New Roman"/>
        <family val="1"/>
      </rPr>
      <t>:</t>
    </r>
  </si>
  <si>
    <r>
      <rPr>
        <sz val="12"/>
        <rFont val="Times New Roman"/>
        <family val="1"/>
      </rPr>
      <t xml:space="preserve">Solar Declination </t>
    </r>
    <r>
      <rPr>
        <b/>
        <sz val="12"/>
        <rFont val="Times New Roman"/>
        <family val="1"/>
      </rPr>
      <t>(δ)</t>
    </r>
  </si>
  <si>
    <r>
      <rPr>
        <sz val="12"/>
        <rFont val="Times New Roman"/>
        <family val="1"/>
      </rPr>
      <t>Collector Tilt Angle</t>
    </r>
    <r>
      <rPr>
        <b/>
        <sz val="12"/>
        <rFont val="Times New Roman"/>
        <family val="1"/>
      </rPr>
      <t xml:space="preserve"> (Σ)</t>
    </r>
  </si>
  <si>
    <r>
      <t>Air Mass Ratio</t>
    </r>
    <r>
      <rPr>
        <b/>
        <sz val="12"/>
        <rFont val="Times New Roman"/>
        <family val="1"/>
      </rPr>
      <t xml:space="preserve"> (m)</t>
    </r>
  </si>
  <si>
    <r>
      <rPr>
        <sz val="12"/>
        <rFont val="Times New Roman"/>
        <family val="1"/>
      </rPr>
      <t xml:space="preserve">Solar Hour Angle </t>
    </r>
    <r>
      <rPr>
        <b/>
        <sz val="12"/>
        <rFont val="Times New Roman"/>
        <family val="1"/>
      </rPr>
      <t>(H)</t>
    </r>
  </si>
  <si>
    <r>
      <rPr>
        <sz val="12"/>
        <rFont val="Times New Roman"/>
        <family val="1"/>
      </rPr>
      <t xml:space="preserve">Solar Altitude </t>
    </r>
    <r>
      <rPr>
        <b/>
        <sz val="12"/>
        <rFont val="Times New Roman"/>
        <family val="1"/>
      </rPr>
      <t>(βs)</t>
    </r>
  </si>
  <si>
    <r>
      <rPr>
        <sz val="12"/>
        <rFont val="Times New Roman"/>
        <family val="1"/>
      </rPr>
      <t>Solar Azimuth Angle</t>
    </r>
    <r>
      <rPr>
        <b/>
        <sz val="12"/>
        <rFont val="Times New Roman"/>
        <family val="1"/>
      </rPr>
      <t xml:space="preserve"> (Φs)</t>
    </r>
  </si>
  <si>
    <r>
      <rPr>
        <sz val="12"/>
        <rFont val="Times New Roman"/>
        <family val="1"/>
      </rPr>
      <t>Air Mass Ratio</t>
    </r>
    <r>
      <rPr>
        <b/>
        <sz val="12"/>
        <rFont val="Times New Roman"/>
        <family val="1"/>
      </rPr>
      <t xml:space="preserve"> (m)</t>
    </r>
  </si>
  <si>
    <r>
      <rPr>
        <sz val="12"/>
        <rFont val="Times New Roman"/>
        <family val="1"/>
      </rPr>
      <t xml:space="preserve">Extraterrestrial Solar Insolation </t>
    </r>
    <r>
      <rPr>
        <b/>
        <sz val="12"/>
        <rFont val="Times New Roman"/>
        <family val="1"/>
      </rPr>
      <t>(I</t>
    </r>
    <r>
      <rPr>
        <b/>
        <vertAlign val="subscript"/>
        <sz val="12"/>
        <rFont val="Times New Roman"/>
        <family val="1"/>
      </rPr>
      <t>o</t>
    </r>
    <r>
      <rPr>
        <b/>
        <sz val="12"/>
        <rFont val="Times New Roman"/>
        <family val="1"/>
      </rPr>
      <t>)</t>
    </r>
  </si>
  <si>
    <r>
      <t>W/m</t>
    </r>
    <r>
      <rPr>
        <vertAlign val="superscript"/>
        <sz val="12"/>
        <rFont val="Times New Roman"/>
        <family val="1"/>
      </rPr>
      <t>2</t>
    </r>
  </si>
  <si>
    <r>
      <t>Apparent Extraterrestrial Solar Insolation</t>
    </r>
    <r>
      <rPr>
        <b/>
        <sz val="12"/>
        <rFont val="Times New Roman"/>
        <family val="1"/>
      </rPr>
      <t xml:space="preserve"> (A)</t>
    </r>
  </si>
  <si>
    <r>
      <t xml:space="preserve">Sky diffuse factor </t>
    </r>
    <r>
      <rPr>
        <b/>
        <sz val="12"/>
        <rFont val="Times New Roman"/>
        <family val="1"/>
      </rPr>
      <t>(C)</t>
    </r>
  </si>
  <si>
    <r>
      <t>Clear Sky Beam Radiation at the Earth (I</t>
    </r>
    <r>
      <rPr>
        <vertAlign val="subscript"/>
        <sz val="12"/>
        <rFont val="Times New Roman"/>
        <family val="1"/>
      </rPr>
      <t>B</t>
    </r>
    <r>
      <rPr>
        <sz val="12"/>
        <rFont val="Times New Roman"/>
        <family val="1"/>
      </rPr>
      <t>)</t>
    </r>
  </si>
  <si>
    <r>
      <rPr>
        <sz val="12"/>
        <rFont val="Times New Roman"/>
        <family val="1"/>
      </rPr>
      <t xml:space="preserve">Angle of Incidence </t>
    </r>
    <r>
      <rPr>
        <b/>
        <sz val="12"/>
        <rFont val="Times New Roman"/>
        <family val="1"/>
      </rPr>
      <t>(cosθ)</t>
    </r>
  </si>
  <si>
    <r>
      <t>Beam Insolation on a Collector Face</t>
    </r>
    <r>
      <rPr>
        <b/>
        <sz val="12"/>
        <rFont val="Times New Roman"/>
        <family val="1"/>
      </rPr>
      <t xml:space="preserve"> (I</t>
    </r>
    <r>
      <rPr>
        <b/>
        <vertAlign val="subscript"/>
        <sz val="12"/>
        <rFont val="Times New Roman"/>
        <family val="1"/>
      </rPr>
      <t>BC</t>
    </r>
    <r>
      <rPr>
        <b/>
        <sz val="12"/>
        <rFont val="Times New Roman"/>
        <family val="1"/>
      </rPr>
      <t>)</t>
    </r>
  </si>
  <si>
    <r>
      <t>Diffuse Radiation</t>
    </r>
    <r>
      <rPr>
        <b/>
        <sz val="12"/>
        <rFont val="Times New Roman"/>
        <family val="1"/>
      </rPr>
      <t xml:space="preserve"> (I</t>
    </r>
    <r>
      <rPr>
        <b/>
        <vertAlign val="subscript"/>
        <sz val="12"/>
        <rFont val="Times New Roman"/>
        <family val="1"/>
      </rPr>
      <t>DC</t>
    </r>
    <r>
      <rPr>
        <b/>
        <sz val="12"/>
        <rFont val="Times New Roman"/>
        <family val="1"/>
      </rPr>
      <t>)</t>
    </r>
  </si>
  <si>
    <r>
      <t xml:space="preserve">Reflected Radiation </t>
    </r>
    <r>
      <rPr>
        <b/>
        <sz val="12"/>
        <rFont val="Times New Roman"/>
        <family val="1"/>
      </rPr>
      <t>(I</t>
    </r>
    <r>
      <rPr>
        <b/>
        <vertAlign val="subscript"/>
        <sz val="12"/>
        <rFont val="Times New Roman"/>
        <family val="1"/>
      </rPr>
      <t>RC</t>
    </r>
    <r>
      <rPr>
        <b/>
        <sz val="12"/>
        <rFont val="Times New Roman"/>
        <family val="1"/>
      </rPr>
      <t>)</t>
    </r>
  </si>
  <si>
    <r>
      <t>Total Insolation on a Collector</t>
    </r>
    <r>
      <rPr>
        <b/>
        <sz val="12"/>
        <rFont val="Times New Roman"/>
        <family val="1"/>
      </rPr>
      <t xml:space="preserve"> (I</t>
    </r>
    <r>
      <rPr>
        <b/>
        <vertAlign val="subscript"/>
        <sz val="12"/>
        <rFont val="Times New Roman"/>
        <family val="1"/>
      </rPr>
      <t>C</t>
    </r>
    <r>
      <rPr>
        <b/>
        <sz val="12"/>
        <rFont val="Times New Roman"/>
        <family val="1"/>
      </rPr>
      <t>)</t>
    </r>
  </si>
  <si>
    <r>
      <t>Current (I</t>
    </r>
    <r>
      <rPr>
        <vertAlign val="subscript"/>
        <sz val="12"/>
        <rFont val="Times New Roman"/>
        <family val="1"/>
      </rPr>
      <t>mp</t>
    </r>
    <r>
      <rPr>
        <sz val="12"/>
        <rFont val="Times New Roman"/>
        <family val="1"/>
      </rPr>
      <t>)</t>
    </r>
  </si>
  <si>
    <r>
      <t>Voltage (V</t>
    </r>
    <r>
      <rPr>
        <vertAlign val="subscript"/>
        <sz val="12"/>
        <rFont val="Times New Roman"/>
        <family val="1"/>
      </rPr>
      <t>mp</t>
    </r>
    <r>
      <rPr>
        <sz val="12"/>
        <rFont val="Times New Roman"/>
        <family val="1"/>
      </rPr>
      <t>)</t>
    </r>
  </si>
  <si>
    <r>
      <t>Power (P</t>
    </r>
    <r>
      <rPr>
        <vertAlign val="subscript"/>
        <sz val="12"/>
        <rFont val="Times New Roman"/>
        <family val="1"/>
      </rPr>
      <t>max</t>
    </r>
    <r>
      <rPr>
        <sz val="12"/>
        <rFont val="Times New Roman"/>
        <family val="1"/>
      </rPr>
      <t>)</t>
    </r>
  </si>
  <si>
    <r>
      <t>Hours</t>
    </r>
    <r>
      <rPr>
        <b/>
        <i/>
        <sz val="12"/>
        <rFont val="Times New Roman"/>
        <family val="1"/>
      </rPr>
      <t xml:space="preserve"> Before</t>
    </r>
    <r>
      <rPr>
        <sz val="12"/>
        <rFont val="Times New Roman"/>
        <family val="1"/>
      </rPr>
      <t xml:space="preserve"> Solar Noon</t>
    </r>
  </si>
  <si>
    <r>
      <t>Adjustment Factor</t>
    </r>
    <r>
      <rPr>
        <b/>
        <sz val="12"/>
        <rFont val="Times New Roman"/>
        <family val="1"/>
      </rPr>
      <t xml:space="preserve"> (Q)</t>
    </r>
  </si>
  <si>
    <r>
      <t xml:space="preserve">Hours </t>
    </r>
    <r>
      <rPr>
        <b/>
        <i/>
        <sz val="12"/>
        <rFont val="Times New Roman"/>
        <family val="1"/>
      </rPr>
      <t>After</t>
    </r>
    <r>
      <rPr>
        <sz val="12"/>
        <rFont val="Times New Roman"/>
        <family val="1"/>
      </rPr>
      <t xml:space="preserve"> Solar Noon</t>
    </r>
  </si>
  <si>
    <r>
      <rPr>
        <sz val="12"/>
        <rFont val="Times New Roman"/>
        <family val="1"/>
      </rPr>
      <t xml:space="preserve">Solar Altitude </t>
    </r>
    <r>
      <rPr>
        <b/>
        <sz val="12"/>
        <rFont val="Times New Roman"/>
        <family val="1"/>
      </rPr>
      <t>(βn)</t>
    </r>
    <r>
      <rPr>
        <sz val="12"/>
        <rFont val="Times New Roman"/>
        <family val="1"/>
      </rPr>
      <t xml:space="preserve"> </t>
    </r>
    <r>
      <rPr>
        <sz val="10"/>
        <rFont val="Times New Roman"/>
        <family val="1"/>
      </rPr>
      <t>sun angle from horizon at noon</t>
    </r>
  </si>
  <si>
    <r>
      <t>Optical Depth -</t>
    </r>
    <r>
      <rPr>
        <sz val="10"/>
        <rFont val="Times New Roman"/>
        <family val="1"/>
      </rPr>
      <t xml:space="preserve"> how hard is it for light to pass</t>
    </r>
    <r>
      <rPr>
        <b/>
        <sz val="12"/>
        <rFont val="Times New Roman"/>
        <family val="1"/>
      </rPr>
      <t xml:space="preserve"> (k)</t>
    </r>
  </si>
  <si>
    <r>
      <t xml:space="preserve">Power generated </t>
    </r>
    <r>
      <rPr>
        <sz val="10"/>
        <rFont val="Times New Roman"/>
        <family val="1"/>
      </rPr>
      <t>compared to the TILTED option</t>
    </r>
  </si>
  <si>
    <t>kW/h-day</t>
  </si>
  <si>
    <t>trapezoidal</t>
  </si>
  <si>
    <t>simpson's</t>
  </si>
  <si>
    <t>Integral</t>
  </si>
  <si>
    <t>Max at Noon</t>
  </si>
  <si>
    <t>Daylight Hrs</t>
  </si>
  <si>
    <t>from cell</t>
  </si>
  <si>
    <t>to cell</t>
  </si>
  <si>
    <t>Direct</t>
  </si>
  <si>
    <t>Reflected</t>
  </si>
  <si>
    <t>Flat</t>
  </si>
  <si>
    <t>Tilted</t>
  </si>
  <si>
    <t>1-Axis</t>
  </si>
  <si>
    <t>2-Axis</t>
  </si>
  <si>
    <t>S. Altitude</t>
  </si>
  <si>
    <t>S. Azimuth</t>
  </si>
  <si>
    <t>2nd</t>
  </si>
  <si>
    <t>1st</t>
  </si>
  <si>
    <t>3rd</t>
  </si>
  <si>
    <t>Incidence Angles</t>
  </si>
  <si>
    <t>Total1</t>
  </si>
  <si>
    <t>Total2</t>
  </si>
  <si>
    <t>Total3</t>
  </si>
  <si>
    <t>Eq</t>
  </si>
  <si>
    <t xml:space="preserve"> Time</t>
  </si>
  <si>
    <t>yearly insolation</t>
  </si>
  <si>
    <t>AT SOLAR NOON:</t>
  </si>
  <si>
    <t>AT GIVEN TIME:</t>
  </si>
  <si>
    <t>Total Daily Insolation</t>
  </si>
  <si>
    <t>Flat Panel</t>
  </si>
  <si>
    <t>Tilted Panel</t>
  </si>
  <si>
    <t>1-Axis Tracker</t>
  </si>
  <si>
    <t>2-Axis Tracker</t>
  </si>
  <si>
    <t>kWh/day</t>
  </si>
  <si>
    <t>Total Yearly Insolation</t>
  </si>
  <si>
    <t>Declination</t>
  </si>
  <si>
    <t>JANUARY</t>
  </si>
  <si>
    <t>H angle</t>
  </si>
  <si>
    <t>Io</t>
  </si>
  <si>
    <t>A</t>
  </si>
  <si>
    <t>C</t>
  </si>
  <si>
    <t>IB</t>
  </si>
  <si>
    <t>k</t>
  </si>
  <si>
    <t>m</t>
  </si>
  <si>
    <t>cosθ flat</t>
  </si>
  <si>
    <t>cosθ tilt</t>
  </si>
  <si>
    <t>Diffuse</t>
  </si>
  <si>
    <t>Total Daily Insolation at the given day</t>
  </si>
  <si>
    <t>FEBRUARY</t>
  </si>
  <si>
    <t>MARCH</t>
  </si>
  <si>
    <t>APRIL</t>
  </si>
  <si>
    <t>MAY</t>
  </si>
  <si>
    <t>JUNE</t>
  </si>
  <si>
    <t>JULY</t>
  </si>
  <si>
    <t>AUGUST</t>
  </si>
  <si>
    <t>SEPTEMBER</t>
  </si>
  <si>
    <t>OCTOBER</t>
  </si>
  <si>
    <t>NOVEMBER</t>
  </si>
  <si>
    <t>DECEMBER</t>
  </si>
  <si>
    <t>TOTAL</t>
  </si>
  <si>
    <t>TOTAL2</t>
  </si>
  <si>
    <t>Ins*#day each month</t>
  </si>
  <si>
    <t>sum,avg*365</t>
  </si>
  <si>
    <r>
      <t>kWh/m</t>
    </r>
    <r>
      <rPr>
        <vertAlign val="superscript"/>
        <sz val="12"/>
        <rFont val="Times New Roman"/>
        <family val="1"/>
      </rPr>
      <t>2</t>
    </r>
    <r>
      <rPr>
        <sz val="12"/>
        <rFont val="Times New Roman"/>
        <family val="1"/>
      </rPr>
      <t>-yr</t>
    </r>
  </si>
  <si>
    <t>Collector tilt angle (∑)</t>
  </si>
  <si>
    <r>
      <rPr>
        <b/>
        <sz val="12"/>
        <rFont val="Times New Roman"/>
        <family val="1"/>
      </rPr>
      <t>Step 7.</t>
    </r>
    <r>
      <rPr>
        <sz val="12"/>
        <rFont val="Times New Roman"/>
        <family val="1"/>
      </rPr>
      <t xml:space="preserve"> The next table calculates the actual amount of power generated by a solar panel. Enter the physical size of the solar panel you plan to use as well as its rated voltage, current, and power values at Standard Test Conditions (1000 W/m</t>
    </r>
    <r>
      <rPr>
        <vertAlign val="superscript"/>
        <sz val="12"/>
        <rFont val="Times New Roman"/>
        <family val="1"/>
      </rPr>
      <t>2</t>
    </r>
    <r>
      <rPr>
        <sz val="12"/>
        <rFont val="Times New Roman"/>
        <family val="1"/>
      </rPr>
      <t xml:space="preserve"> irradiance, 25°C cell temperature, and 1.5 Air Mass Ratio). The width and length values are in inches.</t>
    </r>
  </si>
  <si>
    <t>Julian Day Number for the 1st Day of Each Month</t>
  </si>
  <si>
    <r>
      <rPr>
        <sz val="12"/>
        <rFont val="Times New Roman"/>
        <family val="1"/>
      </rPr>
      <t>Collector Tilt Angle</t>
    </r>
    <r>
      <rPr>
        <b/>
        <sz val="12"/>
        <rFont val="Times New Roman"/>
        <family val="1"/>
      </rPr>
      <t xml:space="preserve"> (Σ)</t>
    </r>
    <r>
      <rPr>
        <sz val="10"/>
        <rFont val="Times New Roman"/>
        <family val="1"/>
      </rPr>
      <t xml:space="preserve"> (optimal)</t>
    </r>
  </si>
  <si>
    <t>Hours before (+) or after (-) solar noon</t>
  </si>
  <si>
    <t>Authors: Prof. Thomas Jenkins, Gabriel Bolivar</t>
  </si>
  <si>
    <r>
      <rPr>
        <b/>
        <sz val="12"/>
        <color indexed="8"/>
        <rFont val="Times New Roman"/>
        <family val="1"/>
      </rPr>
      <t xml:space="preserve">Disclaimer: </t>
    </r>
    <r>
      <rPr>
        <sz val="12"/>
        <color indexed="8"/>
        <rFont val="Times New Roman"/>
        <family val="1"/>
      </rPr>
      <t xml:space="preserve">This document is only intended to provide an education tool and should not be used beyond </t>
    </r>
  </si>
  <si>
    <t xml:space="preserve">this purpose. The authors tried to use good engineering analysis but all situations are different and the user </t>
  </si>
  <si>
    <t>should consult a professional in all cases.</t>
  </si>
  <si>
    <t>24-hour Format</t>
  </si>
  <si>
    <t xml:space="preserve">Acknowledgments: </t>
  </si>
  <si>
    <t>Determining Solar Versus Local Time</t>
  </si>
  <si>
    <r>
      <rPr>
        <b/>
        <sz val="12"/>
        <rFont val="Times New Roman"/>
        <family val="1"/>
      </rPr>
      <t>Step 1:</t>
    </r>
    <r>
      <rPr>
        <sz val="12"/>
        <rFont val="Times New Roman"/>
        <family val="1"/>
      </rPr>
      <t xml:space="preserve"> In the table to the right, enter the local </t>
    </r>
    <r>
      <rPr>
        <b/>
        <sz val="12"/>
        <rFont val="Times New Roman"/>
        <family val="1"/>
      </rPr>
      <t>latitude</t>
    </r>
    <r>
      <rPr>
        <sz val="12"/>
        <rFont val="Times New Roman"/>
        <family val="1"/>
      </rPr>
      <t xml:space="preserve"> and </t>
    </r>
    <r>
      <rPr>
        <b/>
        <sz val="12"/>
        <rFont val="Times New Roman"/>
        <family val="1"/>
      </rPr>
      <t xml:space="preserve"> longitude</t>
    </r>
    <r>
      <rPr>
        <sz val="12"/>
        <rFont val="Times New Roman"/>
        <family val="1"/>
      </rPr>
      <t xml:space="preserve"> angles of the location in degrees. For example, Las Cruces, NM, is at latitude 32.32 degrees north from the Equator and at longitude 106.75 degrees west from the Prime Meridian.</t>
    </r>
  </si>
  <si>
    <r>
      <rPr>
        <b/>
        <sz val="12"/>
        <rFont val="Times New Roman"/>
        <family val="1"/>
      </rPr>
      <t>Step 2:</t>
    </r>
    <r>
      <rPr>
        <sz val="12"/>
        <rFont val="Times New Roman"/>
        <family val="1"/>
      </rPr>
      <t xml:space="preserve"> In the same table to the right, enter the </t>
    </r>
    <r>
      <rPr>
        <b/>
        <sz val="12"/>
        <rFont val="Times New Roman"/>
        <family val="1"/>
      </rPr>
      <t>month</t>
    </r>
    <r>
      <rPr>
        <sz val="12"/>
        <rFont val="Times New Roman"/>
        <family val="1"/>
      </rPr>
      <t xml:space="preserve"> and </t>
    </r>
    <r>
      <rPr>
        <b/>
        <sz val="12"/>
        <rFont val="Times New Roman"/>
        <family val="1"/>
      </rPr>
      <t>day</t>
    </r>
    <r>
      <rPr>
        <sz val="12"/>
        <rFont val="Times New Roman"/>
        <family val="1"/>
      </rPr>
      <t xml:space="preserve"> for which you want to calculate the corresponding </t>
    </r>
    <r>
      <rPr>
        <b/>
        <sz val="12"/>
        <rFont val="Times New Roman"/>
        <family val="1"/>
      </rPr>
      <t>Julian Day (1–365)</t>
    </r>
    <r>
      <rPr>
        <sz val="12"/>
        <rFont val="Times New Roman"/>
        <family val="1"/>
      </rPr>
      <t xml:space="preserve"> of the year, with 1 being Jan 1st and 365 being Dec 31st.</t>
    </r>
  </si>
  <si>
    <r>
      <rPr>
        <b/>
        <sz val="12"/>
        <rFont val="Times New Roman"/>
        <family val="1"/>
      </rPr>
      <t>Step 3:</t>
    </r>
    <r>
      <rPr>
        <sz val="12"/>
        <rFont val="Times New Roman"/>
        <family val="1"/>
      </rPr>
      <t xml:space="preserve"> In the green cells below, enter the local time in the green  "Enter the </t>
    </r>
    <r>
      <rPr>
        <i/>
        <u/>
        <sz val="12"/>
        <rFont val="Times New Roman"/>
        <family val="1"/>
      </rPr>
      <t>local</t>
    </r>
    <r>
      <rPr>
        <sz val="12"/>
        <rFont val="Times New Roman"/>
        <family val="1"/>
      </rPr>
      <t xml:space="preserve"> time" cell. Enter the value for the hour using 24-hour time—for example, 2:30 pm would be 14 hours (Hr) and 30 minutes (Min). Finally, enter whether or not Daylight Saving Time is active, along with the corresponding Time Zone of the location.</t>
    </r>
  </si>
  <si>
    <t>Are you in Daylight Saving Time (Y/N)?</t>
  </si>
  <si>
    <r>
      <t>Step 4:</t>
    </r>
    <r>
      <rPr>
        <sz val="12"/>
        <rFont val="Times New Roman"/>
        <family val="1"/>
      </rPr>
      <t xml:space="preserve"> To convert from solar time to local time, use the input cells below. Enter the solar time in the green cells (hours in 24-hour time format). A decimal hour value and the corresponding local time for the location previously entered will be displayed.</t>
    </r>
  </si>
  <si>
    <r>
      <rPr>
        <b/>
        <sz val="12"/>
        <rFont val="Times New Roman"/>
        <family val="1"/>
      </rPr>
      <t>Step 5</t>
    </r>
    <r>
      <rPr>
        <sz val="12"/>
        <rFont val="Times New Roman"/>
        <family val="1"/>
      </rPr>
      <t xml:space="preserve">: The table to the right shows the values previously entered: latitude and longitude angles, Julian day, local time, and solar time. These values are taken from the previous </t>
    </r>
    <r>
      <rPr>
        <i/>
        <sz val="12"/>
        <rFont val="Times New Roman"/>
        <family val="1"/>
      </rPr>
      <t>Time</t>
    </r>
    <r>
      <rPr>
        <sz val="12"/>
        <rFont val="Times New Roman"/>
        <family val="1"/>
      </rPr>
      <t xml:space="preserve"> sheet entries. In the cells below, the solar angles are calculated for both the </t>
    </r>
    <r>
      <rPr>
        <b/>
        <sz val="12"/>
        <rFont val="Times New Roman"/>
        <family val="1"/>
      </rPr>
      <t>Solar Noon</t>
    </r>
    <r>
      <rPr>
        <sz val="12"/>
        <rFont val="Times New Roman"/>
        <family val="1"/>
      </rPr>
      <t xml:space="preserve"> and the time specified. You do not have to enter any values within this sheet.</t>
    </r>
  </si>
  <si>
    <r>
      <t xml:space="preserve">Step 6: </t>
    </r>
    <r>
      <rPr>
        <sz val="12"/>
        <rFont val="Times New Roman"/>
        <family val="1"/>
      </rPr>
      <t>This sheet calculates the three diferent components of the solar insolation (direct, diffuse, and reflected) and values related to these calculations. It will also display the insolation for different types of collector angles (flat, optimal tilted, and 1- and 2-axis trackers). In the green cells to the right, enter the azimuth angle and the tilt angle of the collector. Azimuth angles are positive (+) in the southeast and negative (-) in the southwest. Finally, enter the coefficient for the reflectance of the surface. Use the table to the right as a guide.</t>
    </r>
  </si>
  <si>
    <t>Ocean ice</t>
  </si>
  <si>
    <t>Desert sand</t>
  </si>
  <si>
    <t>Ordinary ground/grass</t>
  </si>
  <si>
    <r>
      <rPr>
        <b/>
        <sz val="12"/>
        <rFont val="Times New Roman"/>
        <family val="1"/>
      </rPr>
      <t>Step 8:</t>
    </r>
    <r>
      <rPr>
        <sz val="12"/>
        <rFont val="Times New Roman"/>
        <family val="1"/>
      </rPr>
      <t xml:space="preserve"> This sheet calculates the approximate hour for the sunrise and sunset at the date and location previously specified. It also shows the duration of visible sunlight during that day. You do not have to enter any values within this sheet.</t>
    </r>
  </si>
  <si>
    <t>Conventional Sunrise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</si>
</sst>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h:mm;@"/>
    <numFmt numFmtId="166" formatCode="[$-409]h:mm\ AM/PM;@"/>
    <numFmt numFmtId="167" formatCode="0.0"/>
    <numFmt numFmtId="168" formatCode="0.0000"/>
    <numFmt numFmtId="169" formatCode="[$-F400]h:mm:ss\ AM/PM"/>
  </numFmts>
  <fonts count="52" x14ac:knownFonts="1">
    <font>
      <sz val="10"/>
      <name val="Arial"/>
    </font>
    <font>
      <sz val="8"/>
      <name val="Arial"/>
      <family val="2"/>
    </font>
    <font>
      <sz val="10"/>
      <name val="Times New Roman"/>
      <family val="1"/>
    </font>
    <font>
      <b/>
      <sz val="11"/>
      <color indexed="17"/>
      <name val="Times New Roman"/>
      <family val="1"/>
    </font>
    <font>
      <b/>
      <sz val="11"/>
      <name val="Times New Roman"/>
      <family val="1"/>
    </font>
    <font>
      <sz val="11"/>
      <name val="Times New Roman"/>
      <family val="1"/>
    </font>
    <font>
      <sz val="12"/>
      <name val="Times New Roman"/>
      <family val="1"/>
    </font>
    <font>
      <b/>
      <sz val="12"/>
      <name val="Times New Roman"/>
      <family val="1"/>
    </font>
    <font>
      <sz val="26"/>
      <name val="Times New Roman"/>
      <family val="1"/>
    </font>
    <font>
      <b/>
      <sz val="12"/>
      <color indexed="8"/>
      <name val="Times New Roman"/>
      <family val="1"/>
    </font>
    <font>
      <sz val="12"/>
      <color indexed="8"/>
      <name val="Times New Roman"/>
      <family val="1"/>
    </font>
    <font>
      <sz val="28"/>
      <name val="Times New Roman"/>
      <family val="1"/>
    </font>
    <font>
      <b/>
      <sz val="8"/>
      <color indexed="81"/>
      <name val="Tahoma"/>
      <family val="2"/>
    </font>
    <font>
      <sz val="8"/>
      <color indexed="81"/>
      <name val="Tahoma"/>
      <family val="2"/>
    </font>
    <font>
      <sz val="9"/>
      <color indexed="81"/>
      <name val="Tahoma"/>
      <family val="2"/>
    </font>
    <font>
      <b/>
      <sz val="9"/>
      <color indexed="81"/>
      <name val="Tahoma"/>
      <family val="2"/>
    </font>
    <font>
      <u/>
      <sz val="11"/>
      <color theme="10"/>
      <name val="Calibri"/>
      <family val="2"/>
      <scheme val="minor"/>
    </font>
    <font>
      <b/>
      <sz val="12"/>
      <color theme="1"/>
      <name val="Times New Roman"/>
      <family val="1"/>
    </font>
    <font>
      <sz val="12"/>
      <color theme="1"/>
      <name val="Times New Roman"/>
      <family val="1"/>
    </font>
    <font>
      <sz val="11"/>
      <color theme="10"/>
      <name val="Times New Roman"/>
      <family val="1"/>
    </font>
    <font>
      <b/>
      <sz val="11"/>
      <color rgb="FF008000"/>
      <name val="Times New Roman"/>
      <family val="1"/>
    </font>
    <font>
      <b/>
      <sz val="9"/>
      <color indexed="81"/>
      <name val="Calibri"/>
      <family val="2"/>
    </font>
    <font>
      <sz val="11"/>
      <color rgb="FFFF0000"/>
      <name val="Times New Roman"/>
      <family val="1"/>
    </font>
    <font>
      <sz val="10"/>
      <name val="Arial"/>
      <family val="2"/>
    </font>
    <font>
      <sz val="12"/>
      <color theme="0"/>
      <name val="Times New Roman"/>
      <family val="1"/>
    </font>
    <font>
      <sz val="10"/>
      <name val="Arial"/>
      <family val="2"/>
    </font>
    <font>
      <i/>
      <sz val="12"/>
      <name val="Times New Roman"/>
      <family val="1"/>
    </font>
    <font>
      <b/>
      <i/>
      <u/>
      <sz val="12"/>
      <name val="Times New Roman"/>
      <family val="1"/>
    </font>
    <font>
      <b/>
      <u/>
      <sz val="12"/>
      <name val="Times New Roman"/>
      <family val="1"/>
    </font>
    <font>
      <sz val="12"/>
      <color indexed="17"/>
      <name val="Times New Roman"/>
      <family val="1"/>
    </font>
    <font>
      <u/>
      <sz val="12"/>
      <name val="Times New Roman"/>
      <family val="1"/>
    </font>
    <font>
      <b/>
      <i/>
      <sz val="12"/>
      <name val="Times New Roman"/>
      <family val="1"/>
    </font>
    <font>
      <b/>
      <sz val="12"/>
      <color indexed="17"/>
      <name val="Times New Roman"/>
      <family val="1"/>
    </font>
    <font>
      <sz val="12"/>
      <color rgb="FFC00000"/>
      <name val="Times New Roman"/>
      <family val="1"/>
    </font>
    <font>
      <b/>
      <sz val="12"/>
      <color indexed="10"/>
      <name val="Times New Roman"/>
      <family val="1"/>
    </font>
    <font>
      <b/>
      <vertAlign val="subscript"/>
      <sz val="12"/>
      <name val="Times New Roman"/>
      <family val="1"/>
    </font>
    <font>
      <vertAlign val="superscript"/>
      <sz val="12"/>
      <name val="Times New Roman"/>
      <family val="1"/>
    </font>
    <font>
      <vertAlign val="subscript"/>
      <sz val="12"/>
      <name val="Times New Roman"/>
      <family val="1"/>
    </font>
    <font>
      <sz val="12"/>
      <name val="Calibri"/>
      <family val="2"/>
    </font>
    <font>
      <sz val="10"/>
      <color theme="0" tint="-0.499984740745262"/>
      <name val="Times New Roman"/>
      <family val="1"/>
    </font>
    <font>
      <b/>
      <sz val="14"/>
      <name val="Times New Roman"/>
      <family val="1"/>
    </font>
    <font>
      <b/>
      <u/>
      <sz val="14"/>
      <name val="Times New Roman"/>
      <family val="1"/>
    </font>
    <font>
      <sz val="10"/>
      <color rgb="FF333333"/>
      <name val="Arial"/>
      <family val="2"/>
    </font>
    <font>
      <b/>
      <sz val="12"/>
      <color rgb="FF333333"/>
      <name val="Arial"/>
      <family val="2"/>
    </font>
    <font>
      <sz val="10"/>
      <color rgb="FF333333"/>
      <name val="Verdana"/>
      <family val="2"/>
    </font>
    <font>
      <b/>
      <sz val="10"/>
      <name val="Arial"/>
      <family val="2"/>
    </font>
    <font>
      <b/>
      <u/>
      <sz val="16"/>
      <color theme="4" tint="-0.249977111117893"/>
      <name val="Times New Roman"/>
      <family val="1"/>
    </font>
    <font>
      <b/>
      <i/>
      <u/>
      <sz val="10"/>
      <name val="Arial"/>
      <family val="2"/>
    </font>
    <font>
      <b/>
      <i/>
      <sz val="10"/>
      <name val="Arial"/>
      <family val="2"/>
    </font>
    <font>
      <b/>
      <u/>
      <sz val="10"/>
      <name val="Arial"/>
      <family val="2"/>
    </font>
    <font>
      <sz val="11"/>
      <color theme="0"/>
      <name val="Times New Roman"/>
      <family val="1"/>
    </font>
    <font>
      <i/>
      <u/>
      <sz val="12"/>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FF99"/>
        <bgColor indexed="64"/>
      </patternFill>
    </fill>
    <fill>
      <patternFill patternType="solid">
        <fgColor theme="9" tint="0.59999389629810485"/>
        <bgColor indexed="64"/>
      </patternFill>
    </fill>
  </fills>
  <borders count="5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style="medium">
        <color auto="1"/>
      </top>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ck">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3">
    <xf numFmtId="0" fontId="0" fillId="0" borderId="0"/>
    <xf numFmtId="0" fontId="16" fillId="0" borderId="0" applyNumberFormat="0" applyFill="0" applyBorder="0" applyAlignment="0" applyProtection="0"/>
    <xf numFmtId="9" fontId="25" fillId="0" borderId="0" applyFont="0" applyFill="0" applyBorder="0" applyAlignment="0" applyProtection="0"/>
  </cellStyleXfs>
  <cellXfs count="375">
    <xf numFmtId="0" fontId="0" fillId="0" borderId="0" xfId="0"/>
    <xf numFmtId="0" fontId="6" fillId="0" borderId="0" xfId="0" applyFont="1"/>
    <xf numFmtId="0" fontId="0" fillId="0" borderId="0" xfId="0" applyProtection="1">
      <protection hidden="1"/>
    </xf>
    <xf numFmtId="0" fontId="17" fillId="0" borderId="0" xfId="0" applyFont="1" applyProtection="1">
      <protection hidden="1"/>
    </xf>
    <xf numFmtId="0" fontId="18" fillId="0" borderId="0" xfId="0" applyFont="1" applyProtection="1">
      <protection hidden="1"/>
    </xf>
    <xf numFmtId="0" fontId="18" fillId="2" borderId="1" xfId="0" applyFont="1" applyFill="1" applyBorder="1" applyProtection="1">
      <protection hidden="1"/>
    </xf>
    <xf numFmtId="0" fontId="18" fillId="2" borderId="2" xfId="0" applyFont="1" applyFill="1" applyBorder="1" applyProtection="1">
      <protection hidden="1"/>
    </xf>
    <xf numFmtId="0" fontId="18" fillId="2" borderId="3" xfId="0" applyFont="1" applyFill="1" applyBorder="1" applyProtection="1">
      <protection hidden="1"/>
    </xf>
    <xf numFmtId="0" fontId="18" fillId="2" borderId="4" xfId="0" applyFont="1" applyFill="1" applyBorder="1" applyProtection="1">
      <protection hidden="1"/>
    </xf>
    <xf numFmtId="0" fontId="18" fillId="2" borderId="0" xfId="0" applyFont="1" applyFill="1" applyBorder="1" applyProtection="1">
      <protection hidden="1"/>
    </xf>
    <xf numFmtId="0" fontId="18" fillId="2" borderId="5" xfId="0" applyFont="1" applyFill="1" applyBorder="1" applyProtection="1">
      <protection hidden="1"/>
    </xf>
    <xf numFmtId="0" fontId="18" fillId="2" borderId="6" xfId="0" applyFont="1" applyFill="1" applyBorder="1" applyProtection="1">
      <protection hidden="1"/>
    </xf>
    <xf numFmtId="0" fontId="18" fillId="2" borderId="7" xfId="0" applyFont="1" applyFill="1" applyBorder="1" applyProtection="1">
      <protection hidden="1"/>
    </xf>
    <xf numFmtId="0" fontId="18" fillId="2" borderId="8" xfId="0" applyFont="1" applyFill="1" applyBorder="1" applyProtection="1">
      <protection hidden="1"/>
    </xf>
    <xf numFmtId="0" fontId="18" fillId="0" borderId="0" xfId="0" applyFont="1" applyBorder="1" applyProtection="1">
      <protection hidden="1"/>
    </xf>
    <xf numFmtId="0" fontId="18" fillId="0" borderId="0" xfId="0" applyFont="1" applyBorder="1" applyAlignment="1" applyProtection="1">
      <protection hidden="1"/>
    </xf>
    <xf numFmtId="0" fontId="18" fillId="0" borderId="0" xfId="0" applyFont="1" applyBorder="1" applyAlignment="1" applyProtection="1">
      <alignment horizontal="left" indent="1"/>
      <protection hidden="1"/>
    </xf>
    <xf numFmtId="14" fontId="6" fillId="0" borderId="0" xfId="0" applyNumberFormat="1" applyFont="1"/>
    <xf numFmtId="0" fontId="2" fillId="0" borderId="0" xfId="0" applyFont="1" applyProtection="1">
      <protection hidden="1"/>
    </xf>
    <xf numFmtId="0" fontId="2" fillId="0" borderId="0" xfId="0" applyFont="1" applyBorder="1" applyProtection="1">
      <protection hidden="1"/>
    </xf>
    <xf numFmtId="0" fontId="19" fillId="0" borderId="0" xfId="1" applyFont="1" applyBorder="1" applyAlignment="1" applyProtection="1">
      <protection hidden="1"/>
    </xf>
    <xf numFmtId="0" fontId="18" fillId="0" borderId="0" xfId="0" applyFont="1" applyBorder="1" applyAlignment="1" applyProtection="1">
      <alignment horizontal="center"/>
      <protection hidden="1"/>
    </xf>
    <xf numFmtId="0" fontId="5" fillId="0" borderId="0" xfId="0" applyFont="1"/>
    <xf numFmtId="0" fontId="3" fillId="0" borderId="0" xfId="0" applyFont="1"/>
    <xf numFmtId="0" fontId="4" fillId="0" borderId="0" xfId="0" applyFont="1" applyAlignment="1">
      <alignment horizontal="center"/>
    </xf>
    <xf numFmtId="2" fontId="5" fillId="0" borderId="0" xfId="0" applyNumberFormat="1" applyFont="1"/>
    <xf numFmtId="0" fontId="4" fillId="0" borderId="0" xfId="0" applyFont="1"/>
    <xf numFmtId="0" fontId="20" fillId="0" borderId="0" xfId="0" applyFont="1"/>
    <xf numFmtId="164" fontId="5" fillId="0" borderId="0" xfId="0" applyNumberFormat="1" applyFont="1"/>
    <xf numFmtId="2" fontId="3" fillId="0" borderId="0" xfId="0" applyNumberFormat="1" applyFont="1"/>
    <xf numFmtId="0" fontId="5" fillId="0" borderId="0" xfId="0" applyFont="1" applyAlignment="1">
      <alignment horizontal="center"/>
    </xf>
    <xf numFmtId="2" fontId="5" fillId="0" borderId="0" xfId="0" applyNumberFormat="1" applyFont="1" applyFill="1" applyBorder="1"/>
    <xf numFmtId="1" fontId="4" fillId="0" borderId="0" xfId="0" applyNumberFormat="1" applyFont="1" applyFill="1" applyBorder="1" applyAlignment="1">
      <alignment horizontal="right"/>
    </xf>
    <xf numFmtId="0" fontId="5" fillId="0" borderId="0" xfId="0" applyFont="1" applyFill="1" applyBorder="1"/>
    <xf numFmtId="0" fontId="5" fillId="0" borderId="0" xfId="0" applyFont="1" applyAlignment="1">
      <alignment horizontal="center" vertical="top" wrapText="1"/>
    </xf>
    <xf numFmtId="0" fontId="5" fillId="0" borderId="0" xfId="0" applyFont="1" applyFill="1" applyBorder="1" applyAlignment="1">
      <alignment vertical="top"/>
    </xf>
    <xf numFmtId="0" fontId="5" fillId="0" borderId="0" xfId="0" applyFont="1" applyAlignment="1">
      <alignment vertical="top" wrapText="1"/>
    </xf>
    <xf numFmtId="2" fontId="22" fillId="0" borderId="0" xfId="0" applyNumberFormat="1" applyFont="1"/>
    <xf numFmtId="0" fontId="5" fillId="0" borderId="0" xfId="0" applyFont="1" applyFill="1" applyAlignment="1">
      <alignment vertical="center"/>
    </xf>
    <xf numFmtId="0" fontId="11" fillId="0" borderId="0" xfId="0" applyFont="1" applyFill="1" applyBorder="1" applyAlignment="1">
      <alignment vertical="center"/>
    </xf>
    <xf numFmtId="2" fontId="5" fillId="0" borderId="0" xfId="0" applyNumberFormat="1" applyFont="1" applyFill="1" applyBorder="1" applyAlignment="1"/>
    <xf numFmtId="166" fontId="7" fillId="3" borderId="12" xfId="0" applyNumberFormat="1" applyFont="1" applyFill="1" applyBorder="1"/>
    <xf numFmtId="0" fontId="23" fillId="0" borderId="0" xfId="0" applyFont="1"/>
    <xf numFmtId="0" fontId="7" fillId="0" borderId="42" xfId="0" applyFont="1" applyBorder="1"/>
    <xf numFmtId="2" fontId="0" fillId="0" borderId="0" xfId="0" applyNumberFormat="1"/>
    <xf numFmtId="0" fontId="23" fillId="0" borderId="0" xfId="0" applyFont="1"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2" fontId="23" fillId="0" borderId="0" xfId="0" applyNumberFormat="1" applyFont="1" applyAlignment="1">
      <alignment horizontal="center"/>
    </xf>
    <xf numFmtId="2" fontId="0" fillId="0" borderId="9" xfId="0" applyNumberFormat="1" applyBorder="1"/>
    <xf numFmtId="2" fontId="0" fillId="0" borderId="10" xfId="0" applyNumberFormat="1" applyBorder="1"/>
    <xf numFmtId="2" fontId="0" fillId="0" borderId="11" xfId="0" applyNumberFormat="1" applyBorder="1"/>
    <xf numFmtId="0" fontId="24" fillId="0" borderId="0" xfId="0" applyFont="1"/>
    <xf numFmtId="0" fontId="6" fillId="0" borderId="0" xfId="0" applyFont="1" applyAlignment="1">
      <alignment horizontal="center"/>
    </xf>
    <xf numFmtId="0" fontId="0" fillId="0" borderId="0" xfId="0" applyAlignment="1">
      <alignment horizontal="center"/>
    </xf>
    <xf numFmtId="0" fontId="6" fillId="0" borderId="0" xfId="0" applyFont="1" applyProtection="1">
      <protection hidden="1"/>
    </xf>
    <xf numFmtId="0" fontId="6" fillId="0" borderId="1" xfId="0" applyFont="1" applyBorder="1"/>
    <xf numFmtId="0" fontId="6" fillId="0" borderId="2" xfId="0" applyFont="1" applyBorder="1"/>
    <xf numFmtId="0" fontId="6" fillId="0" borderId="3" xfId="0" applyFont="1" applyBorder="1"/>
    <xf numFmtId="0" fontId="6" fillId="0" borderId="5" xfId="0" applyFont="1" applyBorder="1"/>
    <xf numFmtId="0" fontId="7" fillId="4" borderId="12" xfId="0" applyFont="1" applyFill="1" applyBorder="1" applyAlignment="1">
      <alignment horizontal="center" vertical="top" wrapText="1"/>
    </xf>
    <xf numFmtId="0" fontId="6" fillId="0" borderId="4" xfId="0" applyFont="1" applyBorder="1"/>
    <xf numFmtId="0" fontId="6" fillId="0" borderId="0" xfId="0" applyFont="1" applyBorder="1"/>
    <xf numFmtId="0" fontId="26" fillId="0" borderId="4" xfId="0" applyFont="1" applyBorder="1" applyAlignment="1">
      <alignment horizontal="center"/>
    </xf>
    <xf numFmtId="0" fontId="6" fillId="0" borderId="0" xfId="0" applyFont="1" applyBorder="1" applyAlignment="1">
      <alignment horizontal="center"/>
    </xf>
    <xf numFmtId="0" fontId="26" fillId="0" borderId="0" xfId="0" applyFont="1" applyBorder="1" applyAlignment="1">
      <alignment horizontal="center"/>
    </xf>
    <xf numFmtId="0" fontId="7" fillId="0" borderId="0" xfId="0" applyFont="1" applyBorder="1" applyAlignment="1">
      <alignment horizontal="center"/>
    </xf>
    <xf numFmtId="0" fontId="6" fillId="4" borderId="12" xfId="0" applyFont="1" applyFill="1" applyBorder="1" applyAlignment="1">
      <alignment horizontal="center"/>
    </xf>
    <xf numFmtId="0" fontId="6" fillId="7" borderId="12" xfId="0" applyFont="1" applyFill="1" applyBorder="1" applyAlignment="1">
      <alignment horizontal="center" vertical="top" wrapText="1"/>
    </xf>
    <xf numFmtId="0" fontId="6" fillId="0" borderId="7" xfId="0" applyFont="1" applyBorder="1"/>
    <xf numFmtId="0" fontId="6" fillId="0" borderId="8" xfId="0" applyFont="1" applyBorder="1"/>
    <xf numFmtId="0" fontId="6" fillId="0" borderId="28" xfId="0" applyFont="1" applyBorder="1" applyAlignment="1">
      <alignment horizontal="center"/>
    </xf>
    <xf numFmtId="0" fontId="26" fillId="0" borderId="20" xfId="0" applyFont="1" applyBorder="1" applyAlignment="1">
      <alignment horizontal="center"/>
    </xf>
    <xf numFmtId="0" fontId="6" fillId="0" borderId="18" xfId="0" applyFont="1" applyBorder="1" applyAlignment="1">
      <alignment horizontal="center"/>
    </xf>
    <xf numFmtId="0" fontId="6" fillId="0" borderId="19" xfId="0" applyFont="1" applyBorder="1" applyAlignment="1">
      <alignment horizontal="center"/>
    </xf>
    <xf numFmtId="0" fontId="26" fillId="0" borderId="29" xfId="0" applyFont="1" applyBorder="1" applyAlignment="1">
      <alignment horizontal="center"/>
    </xf>
    <xf numFmtId="0" fontId="6" fillId="0" borderId="4" xfId="0" applyFont="1" applyBorder="1" applyAlignment="1">
      <alignment horizontal="center"/>
    </xf>
    <xf numFmtId="0" fontId="26" fillId="0" borderId="22" xfId="0" applyFont="1" applyBorder="1" applyAlignment="1">
      <alignment horizontal="center"/>
    </xf>
    <xf numFmtId="0" fontId="6" fillId="0" borderId="21" xfId="0" applyFont="1" applyBorder="1" applyAlignment="1">
      <alignment horizontal="center"/>
    </xf>
    <xf numFmtId="1" fontId="26" fillId="0" borderId="5" xfId="0" applyNumberFormat="1" applyFont="1" applyBorder="1" applyAlignment="1">
      <alignment horizontal="center"/>
    </xf>
    <xf numFmtId="0" fontId="26" fillId="0" borderId="5" xfId="0" applyFont="1" applyBorder="1" applyAlignment="1">
      <alignment horizontal="center"/>
    </xf>
    <xf numFmtId="0" fontId="6" fillId="0" borderId="6" xfId="0" applyFont="1" applyBorder="1" applyAlignment="1">
      <alignment horizontal="center"/>
    </xf>
    <xf numFmtId="0" fontId="26" fillId="0" borderId="30" xfId="0" applyFont="1" applyBorder="1" applyAlignment="1">
      <alignment horizontal="center"/>
    </xf>
    <xf numFmtId="0" fontId="6" fillId="0" borderId="31" xfId="0" applyFont="1" applyBorder="1" applyAlignment="1">
      <alignment horizontal="center"/>
    </xf>
    <xf numFmtId="0" fontId="6" fillId="0" borderId="7" xfId="0" applyFont="1" applyBorder="1" applyAlignment="1">
      <alignment horizontal="center"/>
    </xf>
    <xf numFmtId="0" fontId="26" fillId="0" borderId="8" xfId="0" applyFont="1" applyBorder="1" applyAlignment="1">
      <alignment horizontal="center"/>
    </xf>
    <xf numFmtId="0" fontId="6" fillId="0" borderId="6" xfId="0" applyFont="1" applyBorder="1"/>
    <xf numFmtId="2" fontId="7" fillId="0" borderId="0" xfId="0" applyNumberFormat="1" applyFont="1" applyBorder="1" applyAlignment="1">
      <alignment horizontal="center"/>
    </xf>
    <xf numFmtId="0" fontId="7" fillId="0" borderId="0" xfId="0" applyFont="1"/>
    <xf numFmtId="0" fontId="7" fillId="0" borderId="0" xfId="0" applyFont="1" applyBorder="1"/>
    <xf numFmtId="0" fontId="6" fillId="4" borderId="16" xfId="0" applyFont="1" applyFill="1" applyBorder="1" applyAlignment="1">
      <alignment horizontal="center"/>
    </xf>
    <xf numFmtId="1" fontId="6" fillId="4" borderId="40" xfId="0" applyNumberFormat="1" applyFont="1" applyFill="1" applyBorder="1" applyAlignment="1">
      <alignment horizontal="center"/>
    </xf>
    <xf numFmtId="2" fontId="7" fillId="7" borderId="16" xfId="0" applyNumberFormat="1" applyFont="1" applyFill="1" applyBorder="1" applyAlignment="1">
      <alignment horizontal="center"/>
    </xf>
    <xf numFmtId="0" fontId="6" fillId="4" borderId="41" xfId="0" applyFont="1" applyFill="1" applyBorder="1" applyAlignment="1">
      <alignment horizontal="center"/>
    </xf>
    <xf numFmtId="2" fontId="6" fillId="7" borderId="16" xfId="0" applyNumberFormat="1" applyFont="1" applyFill="1" applyBorder="1"/>
    <xf numFmtId="0" fontId="6" fillId="0" borderId="0" xfId="0" applyFont="1" applyAlignment="1"/>
    <xf numFmtId="0" fontId="6" fillId="0" borderId="22" xfId="0" applyFont="1" applyBorder="1" applyAlignment="1"/>
    <xf numFmtId="0" fontId="6" fillId="7" borderId="16" xfId="0" applyFont="1" applyFill="1" applyBorder="1"/>
    <xf numFmtId="0" fontId="29" fillId="0" borderId="0" xfId="0" applyFont="1"/>
    <xf numFmtId="49" fontId="6" fillId="0" borderId="0" xfId="0" applyNumberFormat="1" applyFont="1" applyAlignment="1">
      <alignment horizontal="left"/>
    </xf>
    <xf numFmtId="2" fontId="6" fillId="0" borderId="0" xfId="0" applyNumberFormat="1" applyFont="1"/>
    <xf numFmtId="165" fontId="7" fillId="7" borderId="16" xfId="0" applyNumberFormat="1" applyFont="1" applyFill="1" applyBorder="1" applyAlignment="1">
      <alignment horizontal="center"/>
    </xf>
    <xf numFmtId="0" fontId="28" fillId="0" borderId="0" xfId="0" applyFont="1" applyAlignment="1"/>
    <xf numFmtId="0" fontId="30" fillId="0" borderId="0" xfId="0" applyFont="1"/>
    <xf numFmtId="2" fontId="7" fillId="3" borderId="12" xfId="0" applyNumberFormat="1" applyFont="1" applyFill="1" applyBorder="1" applyAlignment="1">
      <alignment horizontal="center"/>
    </xf>
    <xf numFmtId="0" fontId="6" fillId="0" borderId="0" xfId="0" applyFont="1" applyAlignment="1">
      <alignment horizontal="left" vertical="top" wrapText="1"/>
    </xf>
    <xf numFmtId="49" fontId="6" fillId="0" borderId="0" xfId="0" applyNumberFormat="1" applyFont="1" applyAlignment="1">
      <alignment horizontal="center"/>
    </xf>
    <xf numFmtId="0" fontId="32" fillId="0" borderId="0" xfId="0" applyFont="1"/>
    <xf numFmtId="2" fontId="7" fillId="0" borderId="0" xfId="0" applyNumberFormat="1" applyFont="1" applyFill="1" applyAlignment="1">
      <alignment horizontal="center"/>
    </xf>
    <xf numFmtId="0" fontId="6" fillId="0" borderId="0" xfId="0" applyFont="1" applyFill="1" applyAlignment="1">
      <alignment horizontal="center"/>
    </xf>
    <xf numFmtId="0" fontId="7" fillId="0" borderId="0" xfId="0" applyFont="1" applyFill="1" applyBorder="1" applyAlignment="1">
      <alignment horizontal="center"/>
    </xf>
    <xf numFmtId="2" fontId="6" fillId="0" borderId="0" xfId="0" applyNumberFormat="1" applyFont="1" applyFill="1"/>
    <xf numFmtId="166" fontId="7" fillId="0" borderId="0" xfId="0" applyNumberFormat="1" applyFont="1" applyFill="1" applyAlignment="1">
      <alignment horizontal="center"/>
    </xf>
    <xf numFmtId="0" fontId="7" fillId="0" borderId="0" xfId="0" applyFont="1" applyAlignment="1">
      <alignment horizontal="center"/>
    </xf>
    <xf numFmtId="0" fontId="6" fillId="4" borderId="17" xfId="0" applyFont="1" applyFill="1" applyBorder="1" applyAlignment="1">
      <alignment horizontal="center"/>
    </xf>
    <xf numFmtId="1" fontId="6" fillId="4" borderId="17" xfId="0" applyNumberFormat="1" applyFont="1" applyFill="1" applyBorder="1" applyAlignment="1">
      <alignment horizontal="center"/>
    </xf>
    <xf numFmtId="2" fontId="6" fillId="7" borderId="17" xfId="0" applyNumberFormat="1" applyFont="1" applyFill="1" applyBorder="1" applyAlignment="1">
      <alignment horizontal="center"/>
    </xf>
    <xf numFmtId="1" fontId="7" fillId="3" borderId="34" xfId="0" applyNumberFormat="1" applyFont="1" applyFill="1" applyBorder="1" applyAlignment="1">
      <alignment horizontal="center"/>
    </xf>
    <xf numFmtId="1" fontId="7" fillId="3" borderId="35" xfId="0" applyNumberFormat="1" applyFont="1" applyFill="1" applyBorder="1" applyAlignment="1">
      <alignment horizontal="center"/>
    </xf>
    <xf numFmtId="0" fontId="7" fillId="7" borderId="25" xfId="0" applyFont="1" applyFill="1" applyBorder="1" applyAlignment="1">
      <alignment horizontal="center"/>
    </xf>
    <xf numFmtId="0" fontId="7" fillId="7" borderId="27" xfId="0" applyFont="1" applyFill="1" applyBorder="1" applyAlignment="1">
      <alignment horizontal="center"/>
    </xf>
    <xf numFmtId="2" fontId="7" fillId="7" borderId="27" xfId="0" applyNumberFormat="1" applyFont="1" applyFill="1" applyBorder="1" applyAlignment="1">
      <alignment horizontal="center"/>
    </xf>
    <xf numFmtId="2" fontId="7" fillId="7" borderId="37" xfId="0" applyNumberFormat="1" applyFont="1" applyFill="1" applyBorder="1" applyAlignment="1">
      <alignment horizontal="center"/>
    </xf>
    <xf numFmtId="0" fontId="6" fillId="0" borderId="0" xfId="0" applyFont="1" applyFill="1" applyAlignment="1">
      <alignment vertical="top"/>
    </xf>
    <xf numFmtId="0" fontId="6" fillId="0" borderId="0" xfId="0" applyFont="1" applyFill="1" applyAlignment="1">
      <alignment horizontal="left" vertical="top" wrapText="1"/>
    </xf>
    <xf numFmtId="0" fontId="6" fillId="0" borderId="0" xfId="0" applyFont="1" applyAlignment="1">
      <alignment horizontal="left"/>
    </xf>
    <xf numFmtId="164" fontId="7" fillId="0" borderId="0" xfId="0" applyNumberFormat="1" applyFont="1"/>
    <xf numFmtId="0" fontId="33" fillId="0" borderId="0" xfId="0" applyFont="1" applyAlignment="1">
      <alignment horizontal="center"/>
    </xf>
    <xf numFmtId="2" fontId="6" fillId="0" borderId="0" xfId="0" applyNumberFormat="1" applyFont="1" applyAlignment="1">
      <alignment horizontal="left"/>
    </xf>
    <xf numFmtId="0" fontId="34" fillId="0" borderId="0" xfId="0" applyFont="1"/>
    <xf numFmtId="0" fontId="33" fillId="0" borderId="0" xfId="0" applyFont="1" applyAlignment="1"/>
    <xf numFmtId="166" fontId="6" fillId="7" borderId="41" xfId="0" applyNumberFormat="1" applyFont="1" applyFill="1" applyBorder="1" applyAlignment="1">
      <alignment horizontal="center"/>
    </xf>
    <xf numFmtId="166" fontId="6" fillId="7" borderId="16" xfId="0" applyNumberFormat="1" applyFont="1" applyFill="1" applyBorder="1" applyAlignment="1">
      <alignment horizontal="center"/>
    </xf>
    <xf numFmtId="0" fontId="6" fillId="0" borderId="43" xfId="0" applyFont="1" applyBorder="1"/>
    <xf numFmtId="0" fontId="6" fillId="0" borderId="44" xfId="0" applyFont="1" applyBorder="1"/>
    <xf numFmtId="2" fontId="6" fillId="0" borderId="45" xfId="0" applyNumberFormat="1" applyFont="1" applyBorder="1"/>
    <xf numFmtId="0" fontId="6" fillId="7" borderId="49" xfId="0" applyFont="1" applyFill="1" applyBorder="1" applyAlignment="1">
      <alignment horizontal="center"/>
    </xf>
    <xf numFmtId="0" fontId="6" fillId="7" borderId="50" xfId="0" applyFont="1" applyFill="1" applyBorder="1" applyAlignment="1">
      <alignment horizontal="left"/>
    </xf>
    <xf numFmtId="0" fontId="6" fillId="0" borderId="46" xfId="0" applyFont="1" applyBorder="1"/>
    <xf numFmtId="0" fontId="6" fillId="0" borderId="47" xfId="0" applyFont="1" applyBorder="1"/>
    <xf numFmtId="2" fontId="6" fillId="0" borderId="48" xfId="0" applyNumberFormat="1" applyFont="1" applyBorder="1"/>
    <xf numFmtId="0" fontId="7" fillId="0" borderId="1" xfId="0" applyFont="1" applyBorder="1"/>
    <xf numFmtId="0" fontId="7" fillId="4" borderId="24" xfId="0" applyFont="1" applyFill="1" applyBorder="1"/>
    <xf numFmtId="0" fontId="7" fillId="0" borderId="3" xfId="0" applyFont="1" applyBorder="1"/>
    <xf numFmtId="0" fontId="7" fillId="0" borderId="4" xfId="0" applyFont="1" applyBorder="1"/>
    <xf numFmtId="2" fontId="7" fillId="4" borderId="16" xfId="0" applyNumberFormat="1" applyFont="1" applyFill="1" applyBorder="1"/>
    <xf numFmtId="0" fontId="7" fillId="0" borderId="5" xfId="0" applyFont="1" applyBorder="1"/>
    <xf numFmtId="0" fontId="7" fillId="0" borderId="6" xfId="0" applyFont="1" applyBorder="1"/>
    <xf numFmtId="164" fontId="7" fillId="4" borderId="33" xfId="0" applyNumberFormat="1" applyFont="1" applyFill="1" applyBorder="1"/>
    <xf numFmtId="2" fontId="6" fillId="0" borderId="8" xfId="0" applyNumberFormat="1" applyFont="1" applyBorder="1"/>
    <xf numFmtId="2" fontId="6" fillId="7" borderId="13" xfId="0" applyNumberFormat="1" applyFont="1" applyFill="1" applyBorder="1"/>
    <xf numFmtId="0" fontId="6" fillId="0" borderId="0" xfId="0" applyFont="1" applyAlignment="1">
      <alignment vertical="center"/>
    </xf>
    <xf numFmtId="2" fontId="6" fillId="7" borderId="14" xfId="0" applyNumberFormat="1" applyFont="1" applyFill="1" applyBorder="1"/>
    <xf numFmtId="164" fontId="6" fillId="7" borderId="14" xfId="0" applyNumberFormat="1" applyFont="1" applyFill="1" applyBorder="1"/>
    <xf numFmtId="164" fontId="6" fillId="7" borderId="15" xfId="0" applyNumberFormat="1" applyFont="1" applyFill="1" applyBorder="1"/>
    <xf numFmtId="164" fontId="6" fillId="7" borderId="15" xfId="0" applyNumberFormat="1" applyFont="1" applyFill="1" applyBorder="1" applyAlignment="1">
      <alignment horizontal="center" vertical="center"/>
    </xf>
    <xf numFmtId="0" fontId="34" fillId="0" borderId="0" xfId="0" applyFont="1" applyAlignment="1">
      <alignment horizontal="center"/>
    </xf>
    <xf numFmtId="164" fontId="34" fillId="0" borderId="0" xfId="0" applyNumberFormat="1" applyFont="1" applyBorder="1" applyAlignment="1">
      <alignment horizontal="center"/>
    </xf>
    <xf numFmtId="164" fontId="34" fillId="0" borderId="0" xfId="0" applyNumberFormat="1" applyFont="1" applyBorder="1" applyAlignment="1">
      <alignment horizontal="left"/>
    </xf>
    <xf numFmtId="2" fontId="7" fillId="3" borderId="12" xfId="0" applyNumberFormat="1" applyFont="1" applyFill="1" applyBorder="1"/>
    <xf numFmtId="10" fontId="18" fillId="0" borderId="0" xfId="0" applyNumberFormat="1" applyFont="1" applyAlignment="1"/>
    <xf numFmtId="10" fontId="18" fillId="0" borderId="0" xfId="0" applyNumberFormat="1" applyFont="1"/>
    <xf numFmtId="164" fontId="6" fillId="0" borderId="0" xfId="0" applyNumberFormat="1" applyFont="1" applyAlignment="1">
      <alignment horizontal="center"/>
    </xf>
    <xf numFmtId="10" fontId="6" fillId="0" borderId="0" xfId="0" applyNumberFormat="1" applyFont="1" applyAlignment="1">
      <alignment horizontal="center"/>
    </xf>
    <xf numFmtId="164" fontId="6" fillId="0" borderId="0" xfId="0" applyNumberFormat="1" applyFont="1"/>
    <xf numFmtId="0" fontId="6" fillId="0" borderId="0" xfId="0" applyFont="1" applyAlignment="1">
      <alignment horizontal="left" vertical="center"/>
    </xf>
    <xf numFmtId="0" fontId="6" fillId="0" borderId="0" xfId="0" applyFont="1" applyBorder="1" applyAlignment="1">
      <alignment horizontal="left" vertical="center"/>
    </xf>
    <xf numFmtId="164" fontId="7" fillId="0" borderId="0" xfId="0" applyNumberFormat="1" applyFont="1" applyFill="1" applyBorder="1"/>
    <xf numFmtId="0" fontId="38" fillId="0" borderId="0" xfId="0" applyFont="1" applyAlignment="1">
      <alignment vertical="center"/>
    </xf>
    <xf numFmtId="0" fontId="6" fillId="4" borderId="16" xfId="0" applyFont="1" applyFill="1" applyBorder="1"/>
    <xf numFmtId="2" fontId="6" fillId="7" borderId="12" xfId="0" applyNumberFormat="1" applyFont="1" applyFill="1" applyBorder="1"/>
    <xf numFmtId="2" fontId="6" fillId="3" borderId="12" xfId="0" applyNumberFormat="1" applyFont="1" applyFill="1" applyBorder="1"/>
    <xf numFmtId="0" fontId="28" fillId="0" borderId="0" xfId="0" applyFont="1"/>
    <xf numFmtId="0" fontId="6" fillId="0" borderId="0" xfId="0" applyFont="1" applyFill="1" applyBorder="1"/>
    <xf numFmtId="2" fontId="7" fillId="3" borderId="42" xfId="0" applyNumberFormat="1" applyFont="1" applyFill="1" applyBorder="1" applyAlignment="1">
      <alignment horizontal="center"/>
    </xf>
    <xf numFmtId="0" fontId="6" fillId="0" borderId="42" xfId="0" applyFont="1" applyBorder="1"/>
    <xf numFmtId="0" fontId="7" fillId="0" borderId="0" xfId="0" applyFont="1" applyAlignment="1">
      <alignment horizontal="left"/>
    </xf>
    <xf numFmtId="2" fontId="39" fillId="0" borderId="0" xfId="0" applyNumberFormat="1" applyFont="1" applyFill="1" applyBorder="1" applyAlignment="1">
      <alignment horizontal="left"/>
    </xf>
    <xf numFmtId="0" fontId="0" fillId="0" borderId="22" xfId="0" applyBorder="1" applyAlignment="1">
      <alignment horizontal="center"/>
    </xf>
    <xf numFmtId="0" fontId="0" fillId="0" borderId="22" xfId="0" applyBorder="1"/>
    <xf numFmtId="0" fontId="0" fillId="0" borderId="1" xfId="0" applyBorder="1"/>
    <xf numFmtId="0" fontId="0" fillId="0" borderId="3" xfId="0" applyBorder="1"/>
    <xf numFmtId="0" fontId="0" fillId="0" borderId="5" xfId="0" applyBorder="1"/>
    <xf numFmtId="0" fontId="0" fillId="0" borderId="51" xfId="0" applyBorder="1"/>
    <xf numFmtId="0" fontId="23" fillId="0" borderId="32" xfId="0" applyFont="1" applyBorder="1"/>
    <xf numFmtId="2" fontId="0" fillId="0" borderId="52" xfId="0" applyNumberFormat="1" applyBorder="1"/>
    <xf numFmtId="2" fontId="0" fillId="0" borderId="51" xfId="0" applyNumberFormat="1" applyBorder="1"/>
    <xf numFmtId="0" fontId="23" fillId="3" borderId="8" xfId="0" applyFont="1" applyFill="1" applyBorder="1"/>
    <xf numFmtId="2" fontId="43" fillId="3" borderId="6" xfId="0" applyNumberFormat="1" applyFont="1" applyFill="1" applyBorder="1"/>
    <xf numFmtId="0" fontId="0" fillId="0" borderId="2" xfId="0" applyBorder="1"/>
    <xf numFmtId="0" fontId="23" fillId="0" borderId="2" xfId="0" applyFont="1" applyBorder="1"/>
    <xf numFmtId="0" fontId="23" fillId="0" borderId="3" xfId="0" applyFont="1" applyBorder="1"/>
    <xf numFmtId="2" fontId="0" fillId="0" borderId="4" xfId="0" applyNumberFormat="1" applyBorder="1"/>
    <xf numFmtId="0" fontId="0" fillId="0" borderId="0" xfId="0" applyBorder="1"/>
    <xf numFmtId="0" fontId="44" fillId="0" borderId="0" xfId="0" applyFont="1" applyBorder="1"/>
    <xf numFmtId="0" fontId="0" fillId="0" borderId="4" xfId="0" applyBorder="1"/>
    <xf numFmtId="0" fontId="0" fillId="0" borderId="6" xfId="0" applyBorder="1"/>
    <xf numFmtId="0" fontId="0" fillId="0" borderId="7" xfId="0" applyBorder="1"/>
    <xf numFmtId="0" fontId="0" fillId="0" borderId="8" xfId="0" applyBorder="1"/>
    <xf numFmtId="164" fontId="0" fillId="3" borderId="7" xfId="0" applyNumberFormat="1" applyFill="1" applyBorder="1"/>
    <xf numFmtId="0" fontId="23" fillId="0" borderId="0" xfId="0" applyFont="1" applyFill="1" applyBorder="1"/>
    <xf numFmtId="0" fontId="23" fillId="0" borderId="0" xfId="0" applyFont="1" applyBorder="1" applyAlignment="1">
      <alignment horizontal="center"/>
    </xf>
    <xf numFmtId="2" fontId="0" fillId="0" borderId="0" xfId="0" applyNumberFormat="1" applyBorder="1" applyAlignment="1">
      <alignment horizontal="center"/>
    </xf>
    <xf numFmtId="2" fontId="23" fillId="0" borderId="0" xfId="0" applyNumberFormat="1" applyFont="1" applyBorder="1" applyAlignment="1">
      <alignment horizontal="center"/>
    </xf>
    <xf numFmtId="164" fontId="0" fillId="0" borderId="0" xfId="0" applyNumberFormat="1"/>
    <xf numFmtId="164" fontId="23" fillId="0" borderId="0" xfId="0" applyNumberFormat="1" applyFont="1"/>
    <xf numFmtId="167" fontId="0" fillId="0" borderId="0" xfId="0" applyNumberFormat="1"/>
    <xf numFmtId="167" fontId="0" fillId="0" borderId="0" xfId="0" applyNumberFormat="1" applyAlignment="1">
      <alignment horizontal="center"/>
    </xf>
    <xf numFmtId="0" fontId="45" fillId="0" borderId="9" xfId="0" applyFont="1" applyBorder="1" applyAlignment="1">
      <alignment horizontal="center"/>
    </xf>
    <xf numFmtId="0" fontId="45" fillId="0" borderId="10" xfId="0" applyFont="1" applyBorder="1" applyAlignment="1">
      <alignment horizontal="center"/>
    </xf>
    <xf numFmtId="0" fontId="45" fillId="0" borderId="11" xfId="0" applyFont="1" applyBorder="1" applyAlignment="1">
      <alignment horizontal="center"/>
    </xf>
    <xf numFmtId="0" fontId="23" fillId="0" borderId="22" xfId="0" applyFont="1" applyBorder="1" applyAlignment="1">
      <alignment horizontal="center"/>
    </xf>
    <xf numFmtId="0" fontId="0" fillId="0" borderId="0" xfId="0" applyAlignment="1">
      <alignment horizontal="center"/>
    </xf>
    <xf numFmtId="168" fontId="5" fillId="0" borderId="0" xfId="0" applyNumberFormat="1" applyFont="1"/>
    <xf numFmtId="2" fontId="7" fillId="3" borderId="13" xfId="0" applyNumberFormat="1" applyFont="1" applyFill="1" applyBorder="1" applyAlignment="1">
      <alignment horizontal="center"/>
    </xf>
    <xf numFmtId="2" fontId="7" fillId="3" borderId="14" xfId="0" applyNumberFormat="1" applyFont="1" applyFill="1" applyBorder="1" applyAlignment="1">
      <alignment horizontal="center"/>
    </xf>
    <xf numFmtId="164" fontId="7" fillId="3" borderId="15" xfId="0" applyNumberFormat="1" applyFont="1" applyFill="1" applyBorder="1" applyAlignment="1">
      <alignment horizontal="center"/>
    </xf>
    <xf numFmtId="2" fontId="7" fillId="7" borderId="13" xfId="0" applyNumberFormat="1" applyFont="1" applyFill="1" applyBorder="1" applyAlignment="1">
      <alignment horizontal="center"/>
    </xf>
    <xf numFmtId="164" fontId="6" fillId="7" borderId="16" xfId="0" applyNumberFormat="1" applyFont="1" applyFill="1" applyBorder="1"/>
    <xf numFmtId="2" fontId="7" fillId="8" borderId="16" xfId="0" applyNumberFormat="1" applyFont="1" applyFill="1" applyBorder="1"/>
    <xf numFmtId="164" fontId="6" fillId="7" borderId="16" xfId="0" applyNumberFormat="1" applyFont="1" applyFill="1" applyBorder="1" applyAlignment="1">
      <alignment horizontal="right"/>
    </xf>
    <xf numFmtId="2" fontId="7" fillId="8" borderId="17" xfId="0" applyNumberFormat="1" applyFont="1" applyFill="1" applyBorder="1"/>
    <xf numFmtId="10" fontId="18" fillId="8" borderId="41" xfId="0" applyNumberFormat="1" applyFont="1" applyFill="1" applyBorder="1" applyAlignment="1"/>
    <xf numFmtId="10" fontId="18" fillId="8" borderId="41" xfId="0" applyNumberFormat="1" applyFont="1" applyFill="1" applyBorder="1"/>
    <xf numFmtId="166" fontId="6" fillId="8" borderId="17" xfId="0" applyNumberFormat="1" applyFont="1" applyFill="1" applyBorder="1"/>
    <xf numFmtId="2" fontId="45" fillId="9" borderId="12" xfId="0" applyNumberFormat="1" applyFont="1" applyFill="1" applyBorder="1"/>
    <xf numFmtId="2" fontId="7" fillId="3" borderId="10" xfId="0" applyNumberFormat="1" applyFont="1" applyFill="1" applyBorder="1"/>
    <xf numFmtId="2" fontId="7" fillId="3" borderId="7" xfId="0" applyNumberFormat="1" applyFont="1" applyFill="1" applyBorder="1"/>
    <xf numFmtId="0" fontId="45" fillId="0" borderId="0" xfId="0" applyFont="1"/>
    <xf numFmtId="0" fontId="45" fillId="0" borderId="0" xfId="0" applyFont="1" applyAlignment="1">
      <alignment horizontal="center"/>
    </xf>
    <xf numFmtId="0" fontId="0" fillId="0" borderId="44" xfId="0" applyBorder="1"/>
    <xf numFmtId="0" fontId="23" fillId="0" borderId="0" xfId="0" applyFont="1" applyAlignment="1">
      <alignment horizontal="left"/>
    </xf>
    <xf numFmtId="2" fontId="42" fillId="0" borderId="4" xfId="0" applyNumberFormat="1" applyFont="1" applyBorder="1"/>
    <xf numFmtId="0" fontId="23" fillId="4" borderId="0" xfId="0" applyFont="1" applyFill="1" applyAlignment="1">
      <alignment horizontal="center"/>
    </xf>
    <xf numFmtId="0" fontId="1" fillId="0" borderId="0" xfId="0" applyFont="1" applyAlignment="1">
      <alignment horizontal="center"/>
    </xf>
    <xf numFmtId="164" fontId="23" fillId="0" borderId="0" xfId="0" applyNumberFormat="1" applyFont="1" applyAlignment="1">
      <alignment horizontal="center"/>
    </xf>
    <xf numFmtId="0" fontId="47" fillId="0" borderId="0" xfId="0" applyFont="1" applyAlignment="1">
      <alignment horizontal="center"/>
    </xf>
    <xf numFmtId="2" fontId="48" fillId="0" borderId="0" xfId="0" applyNumberFormat="1" applyFont="1" applyAlignment="1">
      <alignment horizontal="center"/>
    </xf>
    <xf numFmtId="2" fontId="49" fillId="0" borderId="0" xfId="0" applyNumberFormat="1" applyFont="1" applyAlignment="1">
      <alignment horizontal="center"/>
    </xf>
    <xf numFmtId="0" fontId="48" fillId="0" borderId="0" xfId="0" applyFont="1" applyAlignment="1">
      <alignment horizontal="center"/>
    </xf>
    <xf numFmtId="0" fontId="49" fillId="0" borderId="0" xfId="0" applyFont="1" applyAlignment="1">
      <alignment horizontal="right"/>
    </xf>
    <xf numFmtId="1" fontId="7" fillId="3" borderId="10" xfId="0" applyNumberFormat="1" applyFont="1" applyFill="1" applyBorder="1"/>
    <xf numFmtId="1" fontId="7" fillId="3" borderId="7" xfId="0" applyNumberFormat="1" applyFont="1" applyFill="1" applyBorder="1"/>
    <xf numFmtId="0" fontId="6" fillId="8" borderId="11" xfId="0" applyFont="1" applyFill="1" applyBorder="1" applyAlignment="1">
      <alignment horizontal="center"/>
    </xf>
    <xf numFmtId="0" fontId="6" fillId="8" borderId="8" xfId="0" applyFont="1" applyFill="1" applyBorder="1" applyAlignment="1">
      <alignment horizontal="center"/>
    </xf>
    <xf numFmtId="0" fontId="6" fillId="8" borderId="8" xfId="0" applyFont="1" applyFill="1" applyBorder="1" applyAlignment="1">
      <alignment vertical="center"/>
    </xf>
    <xf numFmtId="0" fontId="6" fillId="8" borderId="11" xfId="0" applyFont="1" applyFill="1" applyBorder="1" applyAlignment="1">
      <alignment vertical="center"/>
    </xf>
    <xf numFmtId="10" fontId="7" fillId="7" borderId="16" xfId="2" applyNumberFormat="1" applyFont="1" applyFill="1" applyBorder="1"/>
    <xf numFmtId="0" fontId="18" fillId="0" borderId="0" xfId="0" applyFont="1" applyBorder="1" applyAlignment="1" applyProtection="1">
      <alignment horizontal="left"/>
      <protection hidden="1"/>
    </xf>
    <xf numFmtId="0" fontId="50" fillId="0" borderId="0" xfId="0" applyFont="1"/>
    <xf numFmtId="164" fontId="50" fillId="0" borderId="0" xfId="0" applyNumberFormat="1" applyFont="1"/>
    <xf numFmtId="2" fontId="50" fillId="0" borderId="0" xfId="0" applyNumberFormat="1" applyFont="1"/>
    <xf numFmtId="0" fontId="19" fillId="0" borderId="0" xfId="1" applyFont="1" applyBorder="1" applyAlignment="1" applyProtection="1">
      <alignment horizontal="left"/>
      <protection locked="0" hidden="1"/>
    </xf>
    <xf numFmtId="0" fontId="6" fillId="0" borderId="0" xfId="0" applyFont="1" applyAlignment="1">
      <alignment horizontal="center"/>
    </xf>
    <xf numFmtId="0" fontId="0" fillId="0" borderId="0" xfId="0" applyAlignment="1">
      <alignment horizontal="center"/>
    </xf>
    <xf numFmtId="0" fontId="8" fillId="0" borderId="0" xfId="0" applyFont="1" applyAlignment="1">
      <alignment horizontal="center"/>
    </xf>
    <xf numFmtId="0" fontId="10" fillId="0" borderId="1" xfId="0" applyFont="1" applyBorder="1" applyAlignment="1" applyProtection="1">
      <alignment horizontal="left"/>
      <protection hidden="1"/>
    </xf>
    <xf numFmtId="0" fontId="10" fillId="0" borderId="2" xfId="0" applyFont="1" applyBorder="1" applyAlignment="1" applyProtection="1">
      <alignment horizontal="left"/>
      <protection hidden="1"/>
    </xf>
    <xf numFmtId="0" fontId="10" fillId="0" borderId="3" xfId="0" applyFont="1" applyBorder="1" applyAlignment="1" applyProtection="1">
      <alignment horizontal="left"/>
      <protection hidden="1"/>
    </xf>
    <xf numFmtId="0" fontId="18" fillId="0" borderId="4" xfId="0" applyFont="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5" xfId="0" applyFont="1" applyBorder="1" applyAlignment="1" applyProtection="1">
      <alignment horizontal="left"/>
      <protection hidden="1"/>
    </xf>
    <xf numFmtId="0" fontId="18" fillId="0" borderId="6" xfId="0" applyFont="1" applyBorder="1" applyAlignment="1" applyProtection="1">
      <alignment horizontal="left"/>
      <protection hidden="1"/>
    </xf>
    <xf numFmtId="0" fontId="18" fillId="0" borderId="7" xfId="0" applyFont="1" applyBorder="1" applyAlignment="1" applyProtection="1">
      <alignment horizontal="left"/>
      <protection hidden="1"/>
    </xf>
    <xf numFmtId="0" fontId="18" fillId="0" borderId="8" xfId="0" applyFont="1" applyBorder="1" applyAlignment="1" applyProtection="1">
      <alignment horizontal="left"/>
      <protection hidden="1"/>
    </xf>
    <xf numFmtId="0" fontId="11" fillId="6" borderId="1" xfId="0" applyFont="1" applyFill="1" applyBorder="1" applyAlignment="1">
      <alignment horizontal="center"/>
    </xf>
    <xf numFmtId="0" fontId="11" fillId="6" borderId="2" xfId="0" applyFont="1" applyFill="1" applyBorder="1" applyAlignment="1">
      <alignment horizontal="center"/>
    </xf>
    <xf numFmtId="0" fontId="11" fillId="6" borderId="3" xfId="0" applyFont="1" applyFill="1" applyBorder="1" applyAlignment="1">
      <alignment horizontal="center"/>
    </xf>
    <xf numFmtId="0" fontId="11" fillId="6" borderId="6" xfId="0" applyFont="1" applyFill="1" applyBorder="1" applyAlignment="1">
      <alignment horizontal="center"/>
    </xf>
    <xf numFmtId="0" fontId="11" fillId="6" borderId="7" xfId="0" applyFont="1" applyFill="1" applyBorder="1" applyAlignment="1">
      <alignment horizontal="center"/>
    </xf>
    <xf numFmtId="0" fontId="11" fillId="6" borderId="8" xfId="0" applyFont="1" applyFill="1" applyBorder="1" applyAlignment="1">
      <alignment horizontal="center"/>
    </xf>
    <xf numFmtId="0" fontId="7" fillId="3" borderId="34" xfId="0" applyFont="1" applyFill="1" applyBorder="1" applyAlignment="1">
      <alignment horizontal="center"/>
    </xf>
    <xf numFmtId="0" fontId="7" fillId="3" borderId="35" xfId="0" applyFont="1" applyFill="1" applyBorder="1" applyAlignment="1">
      <alignment horizontal="center"/>
    </xf>
    <xf numFmtId="166" fontId="7" fillId="3" borderId="34" xfId="0" applyNumberFormat="1" applyFont="1" applyFill="1" applyBorder="1" applyAlignment="1">
      <alignment horizontal="center"/>
    </xf>
    <xf numFmtId="166" fontId="7" fillId="3" borderId="35" xfId="0" applyNumberFormat="1" applyFont="1" applyFill="1" applyBorder="1" applyAlignment="1">
      <alignment horizontal="center"/>
    </xf>
    <xf numFmtId="0" fontId="28" fillId="0" borderId="0" xfId="0" applyFont="1" applyAlignment="1">
      <alignment horizontal="center"/>
    </xf>
    <xf numFmtId="2" fontId="6" fillId="0" borderId="21" xfId="0"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4" xfId="0" applyFont="1" applyBorder="1" applyAlignment="1">
      <alignment horizontal="right" vertical="top" wrapText="1"/>
    </xf>
    <xf numFmtId="0" fontId="6" fillId="0" borderId="0" xfId="0" applyFont="1" applyBorder="1" applyAlignment="1">
      <alignment horizontal="right" vertical="top"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166" fontId="6" fillId="7" borderId="49" xfId="0" applyNumberFormat="1" applyFont="1" applyFill="1" applyBorder="1" applyAlignment="1">
      <alignment horizontal="center"/>
    </xf>
    <xf numFmtId="166" fontId="6" fillId="7" borderId="50" xfId="0" applyNumberFormat="1" applyFont="1" applyFill="1" applyBorder="1" applyAlignment="1">
      <alignment horizontal="center"/>
    </xf>
    <xf numFmtId="166" fontId="6" fillId="3" borderId="9" xfId="0" applyNumberFormat="1" applyFont="1" applyFill="1" applyBorder="1" applyAlignment="1">
      <alignment horizontal="center"/>
    </xf>
    <xf numFmtId="166" fontId="6" fillId="3" borderId="11" xfId="0" applyNumberFormat="1" applyFont="1" applyFill="1" applyBorder="1" applyAlignment="1">
      <alignment horizontal="center"/>
    </xf>
    <xf numFmtId="0" fontId="7" fillId="5" borderId="1" xfId="0" applyFont="1" applyFill="1" applyBorder="1" applyAlignment="1">
      <alignment horizontal="left" vertical="top" wrapText="1"/>
    </xf>
    <xf numFmtId="0" fontId="7" fillId="5" borderId="2" xfId="0" applyFont="1" applyFill="1" applyBorder="1" applyAlignment="1">
      <alignment horizontal="left" vertical="top" wrapText="1"/>
    </xf>
    <xf numFmtId="0" fontId="7" fillId="5" borderId="3" xfId="0" applyFont="1" applyFill="1" applyBorder="1" applyAlignment="1">
      <alignment horizontal="left" vertical="top" wrapText="1"/>
    </xf>
    <xf numFmtId="0" fontId="7" fillId="5" borderId="4" xfId="0" applyFont="1" applyFill="1" applyBorder="1" applyAlignment="1">
      <alignment horizontal="left" vertical="top" wrapText="1"/>
    </xf>
    <xf numFmtId="0" fontId="7" fillId="5" borderId="0" xfId="0" applyFont="1" applyFill="1" applyBorder="1" applyAlignment="1">
      <alignment horizontal="left" vertical="top" wrapText="1"/>
    </xf>
    <xf numFmtId="0" fontId="7" fillId="5" borderId="5"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left" vertical="top" wrapText="1"/>
    </xf>
    <xf numFmtId="0" fontId="6" fillId="0" borderId="4" xfId="0" applyFont="1" applyBorder="1" applyAlignment="1">
      <alignment horizontal="center"/>
    </xf>
    <xf numFmtId="0" fontId="6" fillId="0" borderId="0"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left" vertical="top" wrapText="1"/>
    </xf>
    <xf numFmtId="0" fontId="7" fillId="7" borderId="16" xfId="0" applyFont="1" applyFill="1" applyBorder="1" applyAlignment="1">
      <alignment horizontal="center"/>
    </xf>
    <xf numFmtId="166" fontId="7" fillId="7" borderId="16" xfId="0" applyNumberFormat="1" applyFont="1" applyFill="1" applyBorder="1" applyAlignment="1">
      <alignment horizontal="center"/>
    </xf>
    <xf numFmtId="0" fontId="6" fillId="5" borderId="26" xfId="0" applyFont="1" applyFill="1" applyBorder="1" applyAlignment="1">
      <alignment horizontal="left" vertical="top" wrapText="1"/>
    </xf>
    <xf numFmtId="0" fontId="6" fillId="5" borderId="16" xfId="0" applyFont="1" applyFill="1" applyBorder="1" applyAlignment="1">
      <alignment horizontal="left" vertical="top" wrapText="1"/>
    </xf>
    <xf numFmtId="0" fontId="6" fillId="5" borderId="38" xfId="0" applyFont="1" applyFill="1" applyBorder="1" applyAlignment="1">
      <alignment horizontal="left" vertical="top" wrapText="1"/>
    </xf>
    <xf numFmtId="0" fontId="6" fillId="5" borderId="36" xfId="0" applyFont="1" applyFill="1" applyBorder="1" applyAlignment="1">
      <alignment horizontal="left" vertical="top" wrapText="1"/>
    </xf>
    <xf numFmtId="0" fontId="6" fillId="5" borderId="33" xfId="0" applyFont="1" applyFill="1" applyBorder="1" applyAlignment="1">
      <alignment horizontal="left" vertical="top" wrapText="1"/>
    </xf>
    <xf numFmtId="0" fontId="6" fillId="5" borderId="39" xfId="0" applyFont="1" applyFill="1" applyBorder="1" applyAlignment="1">
      <alignment horizontal="left" vertical="top" wrapText="1"/>
    </xf>
    <xf numFmtId="0" fontId="6" fillId="5" borderId="23" xfId="0" applyFont="1" applyFill="1" applyBorder="1" applyAlignment="1">
      <alignment horizontal="left" vertical="top" wrapText="1"/>
    </xf>
    <xf numFmtId="0" fontId="6" fillId="5" borderId="24" xfId="0" applyFont="1" applyFill="1" applyBorder="1" applyAlignment="1">
      <alignment horizontal="left" vertical="top" wrapText="1"/>
    </xf>
    <xf numFmtId="0" fontId="6" fillId="5" borderId="18" xfId="0" applyFont="1" applyFill="1" applyBorder="1" applyAlignment="1">
      <alignment horizontal="left" vertical="top" wrapText="1"/>
    </xf>
    <xf numFmtId="0" fontId="6" fillId="0" borderId="21" xfId="0" applyFont="1" applyBorder="1" applyAlignment="1">
      <alignment horizontal="left"/>
    </xf>
    <xf numFmtId="0" fontId="6" fillId="0" borderId="0" xfId="0" applyFont="1" applyAlignment="1">
      <alignment horizontal="left"/>
    </xf>
    <xf numFmtId="0" fontId="6" fillId="0" borderId="5" xfId="0" applyFont="1" applyBorder="1" applyAlignment="1">
      <alignment horizontal="left"/>
    </xf>
    <xf numFmtId="0" fontId="6" fillId="0" borderId="6" xfId="0" applyFont="1" applyBorder="1" applyAlignment="1">
      <alignment horizontal="center"/>
    </xf>
    <xf numFmtId="0" fontId="6" fillId="0" borderId="7" xfId="0" applyFont="1" applyBorder="1" applyAlignment="1">
      <alignment horizontal="center"/>
    </xf>
    <xf numFmtId="0" fontId="7" fillId="0" borderId="0" xfId="0" applyFont="1" applyAlignment="1">
      <alignment horizontal="left"/>
    </xf>
    <xf numFmtId="0" fontId="40" fillId="0" borderId="0" xfId="0" applyFont="1" applyAlignment="1">
      <alignment horizontal="center"/>
    </xf>
    <xf numFmtId="0" fontId="11" fillId="6" borderId="0" xfId="0" applyFont="1" applyFill="1" applyBorder="1" applyAlignment="1">
      <alignment horizontal="center"/>
    </xf>
    <xf numFmtId="0" fontId="11" fillId="6" borderId="5" xfId="0" applyFont="1" applyFill="1" applyBorder="1" applyAlignment="1">
      <alignment horizontal="center"/>
    </xf>
    <xf numFmtId="0" fontId="7" fillId="0" borderId="1" xfId="0" applyFont="1" applyBorder="1" applyAlignment="1">
      <alignment horizontal="right"/>
    </xf>
    <xf numFmtId="0" fontId="7" fillId="0" borderId="2" xfId="0" applyFont="1" applyBorder="1" applyAlignment="1">
      <alignment horizontal="right"/>
    </xf>
    <xf numFmtId="0" fontId="7" fillId="0" borderId="4" xfId="0" applyFont="1" applyBorder="1" applyAlignment="1">
      <alignment horizontal="right"/>
    </xf>
    <xf numFmtId="0" fontId="7" fillId="0" borderId="0" xfId="0" applyFont="1" applyBorder="1" applyAlignment="1">
      <alignment horizontal="right"/>
    </xf>
    <xf numFmtId="0" fontId="7" fillId="0" borderId="6" xfId="0" applyFont="1" applyBorder="1" applyAlignment="1">
      <alignment horizontal="right"/>
    </xf>
    <xf numFmtId="0" fontId="7" fillId="0" borderId="7" xfId="0" applyFont="1" applyBorder="1" applyAlignment="1">
      <alignment horizontal="right"/>
    </xf>
    <xf numFmtId="0" fontId="7" fillId="0" borderId="30" xfId="0" applyFont="1" applyBorder="1" applyAlignment="1">
      <alignment horizontal="right"/>
    </xf>
    <xf numFmtId="0" fontId="6" fillId="5" borderId="1" xfId="0" applyFont="1" applyFill="1" applyBorder="1" applyAlignment="1">
      <alignment horizontal="left" vertical="top" wrapText="1"/>
    </xf>
    <xf numFmtId="0" fontId="6" fillId="5" borderId="2" xfId="0" applyFont="1" applyFill="1" applyBorder="1" applyAlignment="1">
      <alignment horizontal="left" vertical="top" wrapText="1"/>
    </xf>
    <xf numFmtId="0" fontId="6" fillId="5"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5" borderId="0" xfId="0" applyFont="1" applyFill="1" applyBorder="1" applyAlignment="1">
      <alignment horizontal="left" vertical="top" wrapText="1"/>
    </xf>
    <xf numFmtId="0" fontId="6" fillId="5" borderId="5" xfId="0" applyFont="1" applyFill="1" applyBorder="1" applyAlignment="1">
      <alignment horizontal="left" vertical="top" wrapText="1"/>
    </xf>
    <xf numFmtId="0" fontId="6" fillId="5" borderId="6" xfId="0" applyFont="1" applyFill="1" applyBorder="1" applyAlignment="1">
      <alignment horizontal="left" vertical="top" wrapText="1"/>
    </xf>
    <xf numFmtId="0" fontId="6" fillId="5" borderId="7" xfId="0" applyFont="1" applyFill="1" applyBorder="1" applyAlignment="1">
      <alignment horizontal="left" vertical="top" wrapText="1"/>
    </xf>
    <xf numFmtId="0" fontId="6" fillId="5" borderId="8" xfId="0" applyFont="1" applyFill="1" applyBorder="1" applyAlignment="1">
      <alignment horizontal="left" vertical="top" wrapText="1"/>
    </xf>
    <xf numFmtId="0" fontId="6" fillId="0" borderId="0" xfId="0" applyFont="1" applyAlignment="1">
      <alignment horizontal="left" vertical="center"/>
    </xf>
    <xf numFmtId="0" fontId="6" fillId="0" borderId="0" xfId="0" applyFont="1" applyBorder="1" applyAlignment="1">
      <alignment horizontal="left" vertical="center"/>
    </xf>
    <xf numFmtId="0" fontId="6" fillId="0" borderId="5" xfId="0" applyFont="1" applyBorder="1" applyAlignment="1">
      <alignment horizontal="left" vertical="center"/>
    </xf>
    <xf numFmtId="0" fontId="6" fillId="0" borderId="0" xfId="0" applyFont="1" applyAlignment="1">
      <alignment horizontal="right"/>
    </xf>
    <xf numFmtId="0" fontId="6" fillId="0" borderId="22" xfId="0" applyFont="1" applyBorder="1" applyAlignment="1">
      <alignment horizontal="right"/>
    </xf>
    <xf numFmtId="0" fontId="41" fillId="0" borderId="0" xfId="0" applyFont="1" applyAlignment="1">
      <alignment horizontal="right" vertical="top"/>
    </xf>
    <xf numFmtId="0" fontId="11" fillId="6" borderId="1"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6" borderId="8" xfId="0" applyFont="1" applyFill="1" applyBorder="1" applyAlignment="1">
      <alignment horizontal="center" vertical="center"/>
    </xf>
    <xf numFmtId="0" fontId="7" fillId="0" borderId="28" xfId="0" applyFont="1" applyBorder="1" applyAlignment="1">
      <alignment horizontal="center"/>
    </xf>
    <xf numFmtId="0" fontId="7" fillId="0" borderId="19" xfId="0" applyFont="1" applyBorder="1" applyAlignment="1">
      <alignment horizontal="center"/>
    </xf>
    <xf numFmtId="0" fontId="7" fillId="0" borderId="29" xfId="0" applyFont="1" applyBorder="1" applyAlignment="1">
      <alignment horizontal="center"/>
    </xf>
    <xf numFmtId="0" fontId="7" fillId="0" borderId="0" xfId="0" applyFont="1" applyAlignment="1">
      <alignment horizontal="right"/>
    </xf>
    <xf numFmtId="0" fontId="7" fillId="5" borderId="4" xfId="0" applyFont="1" applyFill="1" applyBorder="1" applyAlignment="1">
      <alignment horizontal="left" vertical="center" wrapText="1"/>
    </xf>
    <xf numFmtId="0" fontId="7" fillId="5" borderId="0" xfId="0" applyFont="1" applyFill="1" applyBorder="1" applyAlignment="1">
      <alignment horizontal="left" vertical="center" wrapText="1"/>
    </xf>
    <xf numFmtId="0" fontId="7" fillId="5" borderId="5" xfId="0" applyFont="1" applyFill="1" applyBorder="1" applyAlignment="1">
      <alignment horizontal="left" vertical="center" wrapText="1"/>
    </xf>
    <xf numFmtId="0" fontId="7" fillId="5" borderId="6" xfId="0" applyFont="1" applyFill="1" applyBorder="1" applyAlignment="1">
      <alignment horizontal="left" vertical="center" wrapText="1"/>
    </xf>
    <xf numFmtId="0" fontId="7" fillId="5" borderId="7" xfId="0" applyFont="1" applyFill="1" applyBorder="1" applyAlignment="1">
      <alignment horizontal="left" vertical="center" wrapText="1"/>
    </xf>
    <xf numFmtId="0" fontId="7" fillId="5" borderId="8" xfId="0" applyFont="1" applyFill="1" applyBorder="1" applyAlignment="1">
      <alignment horizontal="left" vertical="center" wrapText="1"/>
    </xf>
    <xf numFmtId="0" fontId="7" fillId="0" borderId="0" xfId="0" applyFont="1" applyAlignment="1">
      <alignment horizontal="left" vertical="center"/>
    </xf>
    <xf numFmtId="0" fontId="7" fillId="0" borderId="0" xfId="0" applyFont="1" applyBorder="1" applyAlignment="1">
      <alignment horizontal="left" vertical="center"/>
    </xf>
    <xf numFmtId="0" fontId="6" fillId="0" borderId="0" xfId="0" applyFont="1" applyBorder="1" applyAlignment="1">
      <alignment horizontal="left"/>
    </xf>
    <xf numFmtId="0" fontId="6" fillId="8" borderId="6" xfId="0" applyFont="1" applyFill="1" applyBorder="1" applyAlignment="1">
      <alignment horizontal="center"/>
    </xf>
    <xf numFmtId="0" fontId="6" fillId="8" borderId="7" xfId="0" applyFont="1" applyFill="1" applyBorder="1" applyAlignment="1">
      <alignment horizontal="center"/>
    </xf>
    <xf numFmtId="0" fontId="6" fillId="0" borderId="0" xfId="0" applyFont="1" applyAlignment="1">
      <alignment horizontal="right" vertical="center"/>
    </xf>
    <xf numFmtId="0" fontId="6" fillId="0" borderId="22" xfId="0" applyFont="1" applyBorder="1" applyAlignment="1">
      <alignment horizontal="right" vertical="center"/>
    </xf>
    <xf numFmtId="169" fontId="46" fillId="0" borderId="0" xfId="0" applyNumberFormat="1" applyFont="1" applyAlignment="1">
      <alignment horizontal="center" vertical="top"/>
    </xf>
    <xf numFmtId="0" fontId="40" fillId="7" borderId="9" xfId="0" applyFont="1" applyFill="1" applyBorder="1" applyAlignment="1">
      <alignment horizontal="center"/>
    </xf>
    <xf numFmtId="0" fontId="40" fillId="7" borderId="10" xfId="0" applyFont="1" applyFill="1" applyBorder="1" applyAlignment="1">
      <alignment horizontal="center"/>
    </xf>
    <xf numFmtId="0" fontId="40" fillId="7" borderId="11" xfId="0" applyFont="1" applyFill="1" applyBorder="1" applyAlignment="1">
      <alignment horizontal="center"/>
    </xf>
    <xf numFmtId="0" fontId="6" fillId="8" borderId="9" xfId="0" applyFont="1" applyFill="1" applyBorder="1" applyAlignment="1">
      <alignment horizontal="center"/>
    </xf>
    <xf numFmtId="0" fontId="6" fillId="8" borderId="10" xfId="0" applyFont="1" applyFill="1" applyBorder="1" applyAlignment="1">
      <alignment horizontal="center"/>
    </xf>
    <xf numFmtId="0" fontId="23" fillId="0" borderId="16" xfId="0" applyFont="1" applyBorder="1" applyAlignment="1">
      <alignment horizontal="center"/>
    </xf>
    <xf numFmtId="0" fontId="0" fillId="0" borderId="16" xfId="0" applyBorder="1" applyAlignment="1">
      <alignment horizontal="center"/>
    </xf>
    <xf numFmtId="0" fontId="45" fillId="0" borderId="0" xfId="0" applyFont="1" applyAlignment="1">
      <alignment horizontal="center"/>
    </xf>
    <xf numFmtId="0" fontId="45" fillId="0" borderId="16" xfId="0" applyFont="1" applyBorder="1" applyAlignment="1">
      <alignment horizontal="center"/>
    </xf>
  </cellXfs>
  <cellStyles count="3">
    <cellStyle name="Hyperlink" xfId="1" builtinId="8"/>
    <cellStyle name="Normal" xfId="0" builtinId="0"/>
    <cellStyle name="Percent" xfId="2" builtinId="5"/>
  </cellStyles>
  <dxfs count="5">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3300"/>
        </patternFill>
      </fill>
    </dxf>
  </dxfs>
  <tableStyles count="0" defaultTableStyle="TableStyleMedium9" defaultPivotStyle="PivotStyleLight16"/>
  <colors>
    <mruColors>
      <color rgb="FFFFFF99"/>
      <color rgb="FF00B050"/>
      <color rgb="FF008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noFill/>
            </a:ln>
          </c:spPr>
          <c:marker>
            <c:symbol val="none"/>
          </c:marker>
          <c:xVal>
            <c:numRef>
              <c:f>Graph!$C$2:$C$32</c:f>
              <c:numCache>
                <c:formatCode>0.00</c:formatCode>
                <c:ptCount val="31"/>
                <c:pt idx="0">
                  <c:v>95.272633345963314</c:v>
                </c:pt>
                <c:pt idx="1">
                  <c:v>90.083113619723164</c:v>
                </c:pt>
                <c:pt idx="2">
                  <c:v>85.073630000199515</c:v>
                </c:pt>
                <c:pt idx="3">
                  <c:v>80.13902393275697</c:v>
                </c:pt>
                <c:pt idx="4">
                  <c:v>75.186774591572046</c:v>
                </c:pt>
                <c:pt idx="5">
                  <c:v>70.131826047998103</c:v>
                </c:pt>
                <c:pt idx="6">
                  <c:v>64.893072781665865</c:v>
                </c:pt>
                <c:pt idx="7">
                  <c:v>59.3914990710106</c:v>
                </c:pt>
                <c:pt idx="8">
                  <c:v>53.55028289523915</c:v>
                </c:pt>
                <c:pt idx="9">
                  <c:v>47.297511279853147</c:v>
                </c:pt>
                <c:pt idx="10">
                  <c:v>40.57238109013921</c:v>
                </c:pt>
                <c:pt idx="11">
                  <c:v>33.335572800022035</c:v>
                </c:pt>
                <c:pt idx="12">
                  <c:v>25.583372877122184</c:v>
                </c:pt>
                <c:pt idx="13">
                  <c:v>17.362642625459838</c:v>
                </c:pt>
                <c:pt idx="14">
                  <c:v>8.7803924675488805</c:v>
                </c:pt>
                <c:pt idx="15">
                  <c:v>0</c:v>
                </c:pt>
                <c:pt idx="16">
                  <c:v>-8.7803924675488805</c:v>
                </c:pt>
                <c:pt idx="17">
                  <c:v>-17.362642625459838</c:v>
                </c:pt>
                <c:pt idx="18">
                  <c:v>-25.583372877122184</c:v>
                </c:pt>
                <c:pt idx="19">
                  <c:v>-33.335572800022028</c:v>
                </c:pt>
                <c:pt idx="20">
                  <c:v>-40.57238109013921</c:v>
                </c:pt>
                <c:pt idx="21">
                  <c:v>-47.297511279853147</c:v>
                </c:pt>
                <c:pt idx="22">
                  <c:v>-53.550282895239135</c:v>
                </c:pt>
                <c:pt idx="23">
                  <c:v>-59.391499071010585</c:v>
                </c:pt>
                <c:pt idx="24">
                  <c:v>-64.893072781665865</c:v>
                </c:pt>
                <c:pt idx="25">
                  <c:v>-70.131826047998075</c:v>
                </c:pt>
                <c:pt idx="26">
                  <c:v>-75.186774591572046</c:v>
                </c:pt>
                <c:pt idx="27">
                  <c:v>-80.13902393275697</c:v>
                </c:pt>
                <c:pt idx="28">
                  <c:v>-85.073630000199444</c:v>
                </c:pt>
                <c:pt idx="29">
                  <c:v>-90.083113619723179</c:v>
                </c:pt>
                <c:pt idx="30">
                  <c:v>-95.2726333459633</c:v>
                </c:pt>
              </c:numCache>
            </c:numRef>
          </c:xVal>
          <c:yVal>
            <c:numRef>
              <c:f>Graph!$D$2:$D$32</c:f>
              <c:numCache>
                <c:formatCode>0.00</c:formatCode>
                <c:ptCount val="31"/>
                <c:pt idx="0">
                  <c:v>0</c:v>
                </c:pt>
                <c:pt idx="1">
                  <c:v>0</c:v>
                </c:pt>
                <c:pt idx="2">
                  <c:v>0</c:v>
                </c:pt>
                <c:pt idx="3">
                  <c:v>0</c:v>
                </c:pt>
                <c:pt idx="4">
                  <c:v>0</c:v>
                </c:pt>
                <c:pt idx="5">
                  <c:v>8.9916938996882756</c:v>
                </c:pt>
                <c:pt idx="6">
                  <c:v>354.1004950008591</c:v>
                </c:pt>
                <c:pt idx="7">
                  <c:v>590.38937455586233</c:v>
                </c:pt>
                <c:pt idx="8">
                  <c:v>721.27446990940007</c:v>
                </c:pt>
                <c:pt idx="9">
                  <c:v>800.73133617716041</c:v>
                </c:pt>
                <c:pt idx="10">
                  <c:v>852.1882622976857</c:v>
                </c:pt>
                <c:pt idx="11">
                  <c:v>886.63318383334718</c:v>
                </c:pt>
                <c:pt idx="12">
                  <c:v>909.73090582521161</c:v>
                </c:pt>
                <c:pt idx="13">
                  <c:v>924.58529959457962</c:v>
                </c:pt>
                <c:pt idx="14">
                  <c:v>932.91814854940628</c:v>
                </c:pt>
                <c:pt idx="15">
                  <c:v>935.60595535953576</c:v>
                </c:pt>
                <c:pt idx="16">
                  <c:v>932.91814854940628</c:v>
                </c:pt>
                <c:pt idx="17">
                  <c:v>924.58529959457962</c:v>
                </c:pt>
                <c:pt idx="18">
                  <c:v>909.73090582521161</c:v>
                </c:pt>
                <c:pt idx="19">
                  <c:v>886.63318383334718</c:v>
                </c:pt>
                <c:pt idx="20">
                  <c:v>852.1882622976857</c:v>
                </c:pt>
                <c:pt idx="21">
                  <c:v>800.73133617716041</c:v>
                </c:pt>
                <c:pt idx="22">
                  <c:v>721.27446990940007</c:v>
                </c:pt>
                <c:pt idx="23">
                  <c:v>590.38937455586233</c:v>
                </c:pt>
                <c:pt idx="24">
                  <c:v>354.1004950008591</c:v>
                </c:pt>
                <c:pt idx="25">
                  <c:v>8.9916938996882756</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1527608"/>
        <c:axId val="481529176"/>
      </c:scatterChart>
      <c:scatterChart>
        <c:scatterStyle val="smoothMarker"/>
        <c:varyColors val="0"/>
        <c:ser>
          <c:idx val="1"/>
          <c:order val="1"/>
          <c:tx>
            <c:strRef>
              <c:f>Graph!$B$1</c:f>
              <c:strCache>
                <c:ptCount val="1"/>
                <c:pt idx="0">
                  <c:v>Solar Altitude</c:v>
                </c:pt>
              </c:strCache>
            </c:strRef>
          </c:tx>
          <c:spPr>
            <a:ln>
              <a:solidFill>
                <a:schemeClr val="accent2"/>
              </a:solidFill>
            </a:ln>
            <a:effectLst/>
          </c:spPr>
          <c:marker>
            <c:symbol val="circle"/>
            <c:size val="4"/>
          </c:marker>
          <c:xVal>
            <c:numRef>
              <c:f>Graph!$C$2:$C$32</c:f>
              <c:numCache>
                <c:formatCode>0.00</c:formatCode>
                <c:ptCount val="31"/>
                <c:pt idx="0">
                  <c:v>95.272633345963314</c:v>
                </c:pt>
                <c:pt idx="1">
                  <c:v>90.083113619723164</c:v>
                </c:pt>
                <c:pt idx="2">
                  <c:v>85.073630000199515</c:v>
                </c:pt>
                <c:pt idx="3">
                  <c:v>80.13902393275697</c:v>
                </c:pt>
                <c:pt idx="4">
                  <c:v>75.186774591572046</c:v>
                </c:pt>
                <c:pt idx="5">
                  <c:v>70.131826047998103</c:v>
                </c:pt>
                <c:pt idx="6">
                  <c:v>64.893072781665865</c:v>
                </c:pt>
                <c:pt idx="7">
                  <c:v>59.3914990710106</c:v>
                </c:pt>
                <c:pt idx="8">
                  <c:v>53.55028289523915</c:v>
                </c:pt>
                <c:pt idx="9">
                  <c:v>47.297511279853147</c:v>
                </c:pt>
                <c:pt idx="10">
                  <c:v>40.57238109013921</c:v>
                </c:pt>
                <c:pt idx="11">
                  <c:v>33.335572800022035</c:v>
                </c:pt>
                <c:pt idx="12">
                  <c:v>25.583372877122184</c:v>
                </c:pt>
                <c:pt idx="13">
                  <c:v>17.362642625459838</c:v>
                </c:pt>
                <c:pt idx="14">
                  <c:v>8.7803924675488805</c:v>
                </c:pt>
                <c:pt idx="15">
                  <c:v>0</c:v>
                </c:pt>
                <c:pt idx="16">
                  <c:v>-8.7803924675488805</c:v>
                </c:pt>
                <c:pt idx="17">
                  <c:v>-17.362642625459838</c:v>
                </c:pt>
                <c:pt idx="18">
                  <c:v>-25.583372877122184</c:v>
                </c:pt>
                <c:pt idx="19">
                  <c:v>-33.335572800022028</c:v>
                </c:pt>
                <c:pt idx="20">
                  <c:v>-40.57238109013921</c:v>
                </c:pt>
                <c:pt idx="21">
                  <c:v>-47.297511279853147</c:v>
                </c:pt>
                <c:pt idx="22">
                  <c:v>-53.550282895239135</c:v>
                </c:pt>
                <c:pt idx="23">
                  <c:v>-59.391499071010585</c:v>
                </c:pt>
                <c:pt idx="24">
                  <c:v>-64.893072781665865</c:v>
                </c:pt>
                <c:pt idx="25">
                  <c:v>-70.131826047998075</c:v>
                </c:pt>
                <c:pt idx="26">
                  <c:v>-75.186774591572046</c:v>
                </c:pt>
                <c:pt idx="27">
                  <c:v>-80.13902393275697</c:v>
                </c:pt>
                <c:pt idx="28">
                  <c:v>-85.073630000199444</c:v>
                </c:pt>
                <c:pt idx="29">
                  <c:v>-90.083113619723179</c:v>
                </c:pt>
                <c:pt idx="30">
                  <c:v>-95.2726333459633</c:v>
                </c:pt>
              </c:numCache>
            </c:numRef>
          </c:xVal>
          <c:yVal>
            <c:numRef>
              <c:f>Graph!$B$2:$B$32</c:f>
              <c:numCache>
                <c:formatCode>0.00</c:formatCode>
                <c:ptCount val="31"/>
                <c:pt idx="0">
                  <c:v>-25.449958228289965</c:v>
                </c:pt>
                <c:pt idx="1">
                  <c:v>-19.938090261320426</c:v>
                </c:pt>
                <c:pt idx="2">
                  <c:v>-14.425127499009745</c:v>
                </c:pt>
                <c:pt idx="3">
                  <c:v>-8.9530502893945059</c:v>
                </c:pt>
                <c:pt idx="4">
                  <c:v>-3.5623970281702753</c:v>
                </c:pt>
                <c:pt idx="5">
                  <c:v>1.7050549564961923</c:v>
                </c:pt>
                <c:pt idx="6">
                  <c:v>6.8039528093331176</c:v>
                </c:pt>
                <c:pt idx="7">
                  <c:v>11.68322721837877</c:v>
                </c:pt>
                <c:pt idx="8">
                  <c:v>16.284148351568202</c:v>
                </c:pt>
                <c:pt idx="9">
                  <c:v>20.538772345784377</c:v>
                </c:pt>
                <c:pt idx="10">
                  <c:v>24.369234550087153</c:v>
                </c:pt>
                <c:pt idx="11">
                  <c:v>27.688662553652001</c:v>
                </c:pt>
                <c:pt idx="12">
                  <c:v>30.404728225611251</c:v>
                </c:pt>
                <c:pt idx="13">
                  <c:v>32.426731270010215</c:v>
                </c:pt>
                <c:pt idx="14">
                  <c:v>33.676193524236474</c:v>
                </c:pt>
                <c:pt idx="15">
                  <c:v>34.099123814973296</c:v>
                </c:pt>
                <c:pt idx="16">
                  <c:v>33.676193524236474</c:v>
                </c:pt>
                <c:pt idx="17">
                  <c:v>32.426731270010215</c:v>
                </c:pt>
                <c:pt idx="18">
                  <c:v>30.404728225611251</c:v>
                </c:pt>
                <c:pt idx="19">
                  <c:v>27.688662553652001</c:v>
                </c:pt>
                <c:pt idx="20">
                  <c:v>24.369234550087153</c:v>
                </c:pt>
                <c:pt idx="21">
                  <c:v>20.538772345784377</c:v>
                </c:pt>
                <c:pt idx="22">
                  <c:v>16.284148351568202</c:v>
                </c:pt>
                <c:pt idx="23">
                  <c:v>11.68322721837877</c:v>
                </c:pt>
                <c:pt idx="24">
                  <c:v>6.8039528093331176</c:v>
                </c:pt>
                <c:pt idx="25">
                  <c:v>1.7050549564961923</c:v>
                </c:pt>
                <c:pt idx="26">
                  <c:v>-3.5623970281702753</c:v>
                </c:pt>
                <c:pt idx="27">
                  <c:v>-8.9530502893945059</c:v>
                </c:pt>
                <c:pt idx="28">
                  <c:v>-14.425127499009745</c:v>
                </c:pt>
                <c:pt idx="29">
                  <c:v>-19.938090261320426</c:v>
                </c:pt>
                <c:pt idx="30">
                  <c:v>-25.449958228289965</c:v>
                </c:pt>
              </c:numCache>
            </c:numRef>
          </c:yVal>
          <c:smooth val="1"/>
        </c:ser>
        <c:dLbls>
          <c:showLegendKey val="0"/>
          <c:showVal val="0"/>
          <c:showCatName val="0"/>
          <c:showSerName val="0"/>
          <c:showPercent val="0"/>
          <c:showBubbleSize val="0"/>
        </c:dLbls>
        <c:axId val="481531528"/>
        <c:axId val="481526432"/>
      </c:scatterChart>
      <c:valAx>
        <c:axId val="481527608"/>
        <c:scaling>
          <c:orientation val="maxMin"/>
          <c:max val="130"/>
          <c:min val="-130"/>
        </c:scaling>
        <c:delete val="0"/>
        <c:axPos val="b"/>
        <c:title>
          <c:tx>
            <c:rich>
              <a:bodyPr/>
              <a:lstStyle/>
              <a:p>
                <a:pPr>
                  <a:defRPr/>
                </a:pPr>
                <a:r>
                  <a:rPr lang="en-US" sz="1400"/>
                  <a:t>Solar Azimuth Angle (degrees)</a:t>
                </a:r>
              </a:p>
            </c:rich>
          </c:tx>
          <c:overlay val="0"/>
        </c:title>
        <c:numFmt formatCode="General" sourceLinked="0"/>
        <c:majorTickMark val="out"/>
        <c:minorTickMark val="none"/>
        <c:tickLblPos val="low"/>
        <c:crossAx val="481529176"/>
        <c:crosses val="autoZero"/>
        <c:crossBetween val="midCat"/>
        <c:majorUnit val="10"/>
      </c:valAx>
      <c:valAx>
        <c:axId val="481529176"/>
        <c:scaling>
          <c:orientation val="minMax"/>
          <c:min val="0"/>
        </c:scaling>
        <c:delete val="0"/>
        <c:axPos val="r"/>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high"/>
        <c:crossAx val="481527608"/>
        <c:crosses val="autoZero"/>
        <c:crossBetween val="midCat"/>
        <c:majorUnit val="50"/>
      </c:valAx>
      <c:valAx>
        <c:axId val="481526432"/>
        <c:scaling>
          <c:orientation val="minMax"/>
        </c:scaling>
        <c:delete val="0"/>
        <c:axPos val="r"/>
        <c:title>
          <c:tx>
            <c:rich>
              <a:bodyPr rot="-5400000" vert="horz"/>
              <a:lstStyle/>
              <a:p>
                <a:pPr>
                  <a:defRPr/>
                </a:pPr>
                <a:r>
                  <a:rPr lang="en-US" sz="1400"/>
                  <a:t>Solar</a:t>
                </a:r>
                <a:r>
                  <a:rPr lang="en-US" sz="1400" baseline="0"/>
                  <a:t> Altitude (degrees)</a:t>
                </a:r>
                <a:endParaRPr lang="en-US" sz="1400"/>
              </a:p>
            </c:rich>
          </c:tx>
          <c:overlay val="0"/>
        </c:title>
        <c:numFmt formatCode="0.00" sourceLinked="1"/>
        <c:majorTickMark val="cross"/>
        <c:minorTickMark val="none"/>
        <c:tickLblPos val="nextTo"/>
        <c:crossAx val="481531528"/>
        <c:crosses val="max"/>
        <c:crossBetween val="midCat"/>
        <c:majorUnit val="5"/>
      </c:valAx>
      <c:valAx>
        <c:axId val="481531528"/>
        <c:scaling>
          <c:orientation val="minMax"/>
        </c:scaling>
        <c:delete val="1"/>
        <c:axPos val="t"/>
        <c:numFmt formatCode="0.00" sourceLinked="1"/>
        <c:majorTickMark val="out"/>
        <c:minorTickMark val="none"/>
        <c:tickLblPos val="nextTo"/>
        <c:crossAx val="481526432"/>
        <c:crosses val="max"/>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0"/>
      <c:rotY val="40"/>
      <c:rAngAx val="0"/>
    </c:view3D>
    <c:floor>
      <c:thickness val="0"/>
    </c:floor>
    <c:sideWall>
      <c:thickness val="0"/>
    </c:sideWall>
    <c:backWall>
      <c:thickness val="0"/>
    </c:backWall>
    <c:plotArea>
      <c:layout>
        <c:manualLayout>
          <c:layoutTarget val="inner"/>
          <c:xMode val="edge"/>
          <c:yMode val="edge"/>
          <c:x val="0.123026492784143"/>
          <c:y val="2.91812113994308E-2"/>
          <c:w val="0.86809040449318597"/>
          <c:h val="0.82898088659163005"/>
        </c:manualLayout>
      </c:layout>
      <c:line3DChart>
        <c:grouping val="standard"/>
        <c:varyColors val="0"/>
        <c:ser>
          <c:idx val="0"/>
          <c:order val="0"/>
          <c:tx>
            <c:v>Position of the Sun</c:v>
          </c:tx>
          <c:cat>
            <c:numRef>
              <c:f>Graph!$C$2:$C$32</c:f>
              <c:numCache>
                <c:formatCode>0.00</c:formatCode>
                <c:ptCount val="31"/>
                <c:pt idx="0">
                  <c:v>95.272633345963314</c:v>
                </c:pt>
                <c:pt idx="1">
                  <c:v>90.083113619723164</c:v>
                </c:pt>
                <c:pt idx="2">
                  <c:v>85.073630000199515</c:v>
                </c:pt>
                <c:pt idx="3">
                  <c:v>80.13902393275697</c:v>
                </c:pt>
                <c:pt idx="4">
                  <c:v>75.186774591572046</c:v>
                </c:pt>
                <c:pt idx="5">
                  <c:v>70.131826047998103</c:v>
                </c:pt>
                <c:pt idx="6">
                  <c:v>64.893072781665865</c:v>
                </c:pt>
                <c:pt idx="7">
                  <c:v>59.3914990710106</c:v>
                </c:pt>
                <c:pt idx="8">
                  <c:v>53.55028289523915</c:v>
                </c:pt>
                <c:pt idx="9">
                  <c:v>47.297511279853147</c:v>
                </c:pt>
                <c:pt idx="10">
                  <c:v>40.57238109013921</c:v>
                </c:pt>
                <c:pt idx="11">
                  <c:v>33.335572800022035</c:v>
                </c:pt>
                <c:pt idx="12">
                  <c:v>25.583372877122184</c:v>
                </c:pt>
                <c:pt idx="13">
                  <c:v>17.362642625459838</c:v>
                </c:pt>
                <c:pt idx="14">
                  <c:v>8.7803924675488805</c:v>
                </c:pt>
                <c:pt idx="15">
                  <c:v>0</c:v>
                </c:pt>
                <c:pt idx="16">
                  <c:v>-8.7803924675488805</c:v>
                </c:pt>
                <c:pt idx="17">
                  <c:v>-17.362642625459838</c:v>
                </c:pt>
                <c:pt idx="18">
                  <c:v>-25.583372877122184</c:v>
                </c:pt>
                <c:pt idx="19">
                  <c:v>-33.335572800022028</c:v>
                </c:pt>
                <c:pt idx="20">
                  <c:v>-40.57238109013921</c:v>
                </c:pt>
                <c:pt idx="21">
                  <c:v>-47.297511279853147</c:v>
                </c:pt>
                <c:pt idx="22">
                  <c:v>-53.550282895239135</c:v>
                </c:pt>
                <c:pt idx="23">
                  <c:v>-59.391499071010585</c:v>
                </c:pt>
                <c:pt idx="24">
                  <c:v>-64.893072781665865</c:v>
                </c:pt>
                <c:pt idx="25">
                  <c:v>-70.131826047998075</c:v>
                </c:pt>
                <c:pt idx="26">
                  <c:v>-75.186774591572046</c:v>
                </c:pt>
                <c:pt idx="27">
                  <c:v>-80.13902393275697</c:v>
                </c:pt>
                <c:pt idx="28">
                  <c:v>-85.073630000199444</c:v>
                </c:pt>
                <c:pt idx="29">
                  <c:v>-90.083113619723179</c:v>
                </c:pt>
                <c:pt idx="30">
                  <c:v>-95.2726333459633</c:v>
                </c:pt>
              </c:numCache>
            </c:numRef>
          </c:cat>
          <c:val>
            <c:numRef>
              <c:f>Graph!$B$2:$B$32</c:f>
              <c:numCache>
                <c:formatCode>0.00</c:formatCode>
                <c:ptCount val="31"/>
                <c:pt idx="0">
                  <c:v>-25.449958228289965</c:v>
                </c:pt>
                <c:pt idx="1">
                  <c:v>-19.938090261320426</c:v>
                </c:pt>
                <c:pt idx="2">
                  <c:v>-14.425127499009745</c:v>
                </c:pt>
                <c:pt idx="3">
                  <c:v>-8.9530502893945059</c:v>
                </c:pt>
                <c:pt idx="4">
                  <c:v>-3.5623970281702753</c:v>
                </c:pt>
                <c:pt idx="5">
                  <c:v>1.7050549564961923</c:v>
                </c:pt>
                <c:pt idx="6">
                  <c:v>6.8039528093331176</c:v>
                </c:pt>
                <c:pt idx="7">
                  <c:v>11.68322721837877</c:v>
                </c:pt>
                <c:pt idx="8">
                  <c:v>16.284148351568202</c:v>
                </c:pt>
                <c:pt idx="9">
                  <c:v>20.538772345784377</c:v>
                </c:pt>
                <c:pt idx="10">
                  <c:v>24.369234550087153</c:v>
                </c:pt>
                <c:pt idx="11">
                  <c:v>27.688662553652001</c:v>
                </c:pt>
                <c:pt idx="12">
                  <c:v>30.404728225611251</c:v>
                </c:pt>
                <c:pt idx="13">
                  <c:v>32.426731270010215</c:v>
                </c:pt>
                <c:pt idx="14">
                  <c:v>33.676193524236474</c:v>
                </c:pt>
                <c:pt idx="15">
                  <c:v>34.099123814973296</c:v>
                </c:pt>
                <c:pt idx="16">
                  <c:v>33.676193524236474</c:v>
                </c:pt>
                <c:pt idx="17">
                  <c:v>32.426731270010215</c:v>
                </c:pt>
                <c:pt idx="18">
                  <c:v>30.404728225611251</c:v>
                </c:pt>
                <c:pt idx="19">
                  <c:v>27.688662553652001</c:v>
                </c:pt>
                <c:pt idx="20">
                  <c:v>24.369234550087153</c:v>
                </c:pt>
                <c:pt idx="21">
                  <c:v>20.538772345784377</c:v>
                </c:pt>
                <c:pt idx="22">
                  <c:v>16.284148351568202</c:v>
                </c:pt>
                <c:pt idx="23">
                  <c:v>11.68322721837877</c:v>
                </c:pt>
                <c:pt idx="24">
                  <c:v>6.8039528093331176</c:v>
                </c:pt>
                <c:pt idx="25">
                  <c:v>1.7050549564961923</c:v>
                </c:pt>
                <c:pt idx="26">
                  <c:v>-3.5623970281702753</c:v>
                </c:pt>
                <c:pt idx="27">
                  <c:v>-8.9530502893945059</c:v>
                </c:pt>
                <c:pt idx="28">
                  <c:v>-14.425127499009745</c:v>
                </c:pt>
                <c:pt idx="29">
                  <c:v>-19.938090261320426</c:v>
                </c:pt>
                <c:pt idx="30">
                  <c:v>-25.449958228289965</c:v>
                </c:pt>
              </c:numCache>
            </c:numRef>
          </c:val>
          <c:smooth val="0"/>
        </c:ser>
        <c:dLbls>
          <c:showLegendKey val="0"/>
          <c:showVal val="0"/>
          <c:showCatName val="0"/>
          <c:showSerName val="0"/>
          <c:showPercent val="0"/>
          <c:showBubbleSize val="0"/>
        </c:dLbls>
        <c:axId val="481527216"/>
        <c:axId val="481529960"/>
        <c:axId val="119476360"/>
      </c:line3DChart>
      <c:catAx>
        <c:axId val="481527216"/>
        <c:scaling>
          <c:orientation val="minMax"/>
        </c:scaling>
        <c:delete val="0"/>
        <c:axPos val="b"/>
        <c:majorGridlines/>
        <c:title>
          <c:tx>
            <c:rich>
              <a:bodyPr/>
              <a:lstStyle/>
              <a:p>
                <a:pPr>
                  <a:defRPr/>
                </a:pPr>
                <a:r>
                  <a:rPr lang="en-US" sz="1200"/>
                  <a:t>Azimuth Angle</a:t>
                </a:r>
              </a:p>
            </c:rich>
          </c:tx>
          <c:overlay val="0"/>
        </c:title>
        <c:numFmt formatCode="0.0" sourceLinked="0"/>
        <c:majorTickMark val="none"/>
        <c:minorTickMark val="none"/>
        <c:tickLblPos val="low"/>
        <c:spPr>
          <a:effectLst>
            <a:glow rad="63500">
              <a:schemeClr val="accent1">
                <a:satMod val="175000"/>
                <a:alpha val="40000"/>
              </a:schemeClr>
            </a:glow>
          </a:effectLst>
        </c:spPr>
        <c:txPr>
          <a:bodyPr rot="-5400000" vert="horz" anchor="ctr" anchorCtr="0"/>
          <a:lstStyle/>
          <a:p>
            <a:pPr>
              <a:defRPr b="0"/>
            </a:pPr>
            <a:endParaRPr lang="en-US"/>
          </a:p>
        </c:txPr>
        <c:crossAx val="481529960"/>
        <c:crosses val="autoZero"/>
        <c:auto val="1"/>
        <c:lblAlgn val="ctr"/>
        <c:lblOffset val="100"/>
        <c:noMultiLvlLbl val="0"/>
      </c:catAx>
      <c:valAx>
        <c:axId val="481529960"/>
        <c:scaling>
          <c:orientation val="minMax"/>
        </c:scaling>
        <c:delete val="0"/>
        <c:axPos val="l"/>
        <c:majorGridlines/>
        <c:title>
          <c:tx>
            <c:rich>
              <a:bodyPr/>
              <a:lstStyle/>
              <a:p>
                <a:pPr>
                  <a:defRPr/>
                </a:pPr>
                <a:r>
                  <a:rPr lang="en-US" sz="1200"/>
                  <a:t>Altitude</a:t>
                </a:r>
                <a:r>
                  <a:rPr lang="en-US" sz="1200" baseline="0"/>
                  <a:t> Angle</a:t>
                </a:r>
                <a:endParaRPr lang="en-US" sz="1200"/>
              </a:p>
            </c:rich>
          </c:tx>
          <c:overlay val="0"/>
        </c:title>
        <c:numFmt formatCode="0.00" sourceLinked="1"/>
        <c:majorTickMark val="out"/>
        <c:minorTickMark val="none"/>
        <c:tickLblPos val="nextTo"/>
        <c:crossAx val="481527216"/>
        <c:crosses val="autoZero"/>
        <c:crossBetween val="between"/>
      </c:valAx>
      <c:serAx>
        <c:axId val="119476360"/>
        <c:scaling>
          <c:orientation val="minMax"/>
        </c:scaling>
        <c:delete val="1"/>
        <c:axPos val="b"/>
        <c:majorTickMark val="out"/>
        <c:minorTickMark val="none"/>
        <c:tickLblPos val="nextTo"/>
        <c:crossAx val="481529960"/>
        <c:crosses val="autoZero"/>
      </c:ser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01"/>
          <c:y val="0"/>
        </c:manualLayout>
      </c:layout>
      <c:overlay val="1"/>
    </c:title>
    <c:autoTitleDeleted val="0"/>
    <c:plotArea>
      <c:layout>
        <c:manualLayout>
          <c:layoutTarget val="inner"/>
          <c:xMode val="edge"/>
          <c:yMode val="edge"/>
          <c:x val="8.8198586033615606E-2"/>
          <c:y val="8.0472760377569397E-2"/>
          <c:w val="0.82428462860282203"/>
          <c:h val="0.801217677404929"/>
        </c:manualLayout>
      </c:layout>
      <c:scatterChart>
        <c:scatterStyle val="smoothMarker"/>
        <c:varyColors val="0"/>
        <c:ser>
          <c:idx val="0"/>
          <c:order val="0"/>
          <c:tx>
            <c:strRef>
              <c:f>Graph!$D$1</c:f>
              <c:strCache>
                <c:ptCount val="1"/>
                <c:pt idx="0">
                  <c:v>Insolation</c:v>
                </c:pt>
              </c:strCache>
            </c:strRef>
          </c:tx>
          <c:spPr>
            <a:ln>
              <a:solidFill>
                <a:schemeClr val="accent2"/>
              </a:solidFill>
            </a:ln>
            <a:effectLst/>
          </c:spPr>
          <c:marker>
            <c:symbol val="circle"/>
            <c:size val="4"/>
            <c:spPr>
              <a:solidFill>
                <a:schemeClr val="accent2"/>
              </a:solidFill>
              <a:ln>
                <a:solidFill>
                  <a:schemeClr val="accent2"/>
                </a:solidFill>
              </a:ln>
              <a:effectLst/>
            </c:spPr>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8.9916938996882756</c:v>
                </c:pt>
                <c:pt idx="6">
                  <c:v>354.1004950008591</c:v>
                </c:pt>
                <c:pt idx="7">
                  <c:v>590.38937455586233</c:v>
                </c:pt>
                <c:pt idx="8">
                  <c:v>721.27446990940007</c:v>
                </c:pt>
                <c:pt idx="9">
                  <c:v>800.73133617716041</c:v>
                </c:pt>
                <c:pt idx="10">
                  <c:v>852.1882622976857</c:v>
                </c:pt>
                <c:pt idx="11">
                  <c:v>886.63318383334718</c:v>
                </c:pt>
                <c:pt idx="12">
                  <c:v>909.73090582521161</c:v>
                </c:pt>
                <c:pt idx="13">
                  <c:v>924.58529959457962</c:v>
                </c:pt>
                <c:pt idx="14">
                  <c:v>932.91814854940628</c:v>
                </c:pt>
                <c:pt idx="15">
                  <c:v>935.60595535953576</c:v>
                </c:pt>
                <c:pt idx="16">
                  <c:v>932.91814854940628</c:v>
                </c:pt>
                <c:pt idx="17">
                  <c:v>924.58529959457962</c:v>
                </c:pt>
                <c:pt idx="18">
                  <c:v>909.73090582521161</c:v>
                </c:pt>
                <c:pt idx="19">
                  <c:v>886.63318383334718</c:v>
                </c:pt>
                <c:pt idx="20">
                  <c:v>852.1882622976857</c:v>
                </c:pt>
                <c:pt idx="21">
                  <c:v>800.73133617716041</c:v>
                </c:pt>
                <c:pt idx="22">
                  <c:v>721.27446990940007</c:v>
                </c:pt>
                <c:pt idx="23">
                  <c:v>590.38937455586233</c:v>
                </c:pt>
                <c:pt idx="24">
                  <c:v>354.1004950008591</c:v>
                </c:pt>
                <c:pt idx="25">
                  <c:v>8.9916938996882756</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1531920"/>
        <c:axId val="481532312"/>
      </c:scatterChart>
      <c:scatterChart>
        <c:scatterStyle val="smoothMarker"/>
        <c:varyColors val="0"/>
        <c:ser>
          <c:idx val="1"/>
          <c:order val="1"/>
          <c:tx>
            <c:strRef>
              <c:f>Graph!$B$1</c:f>
              <c:strCache>
                <c:ptCount val="1"/>
                <c:pt idx="0">
                  <c:v>Solar Altitude</c:v>
                </c:pt>
              </c:strCache>
            </c:strRef>
          </c:tx>
          <c:spPr>
            <a:ln>
              <a:noFill/>
            </a:ln>
            <a:effectLst>
              <a:glow rad="63500">
                <a:schemeClr val="accent2">
                  <a:satMod val="175000"/>
                  <a:alpha val="40000"/>
                </a:schemeClr>
              </a:glow>
            </a:effectLst>
          </c:spPr>
          <c:marker>
            <c:symbol val="none"/>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Graph!$B$2:$B$32</c:f>
              <c:numCache>
                <c:formatCode>0.00</c:formatCode>
                <c:ptCount val="31"/>
                <c:pt idx="0">
                  <c:v>-25.449958228289965</c:v>
                </c:pt>
                <c:pt idx="1">
                  <c:v>-19.938090261320426</c:v>
                </c:pt>
                <c:pt idx="2">
                  <c:v>-14.425127499009745</c:v>
                </c:pt>
                <c:pt idx="3">
                  <c:v>-8.9530502893945059</c:v>
                </c:pt>
                <c:pt idx="4">
                  <c:v>-3.5623970281702753</c:v>
                </c:pt>
                <c:pt idx="5">
                  <c:v>1.7050549564961923</c:v>
                </c:pt>
                <c:pt idx="6">
                  <c:v>6.8039528093331176</c:v>
                </c:pt>
                <c:pt idx="7">
                  <c:v>11.68322721837877</c:v>
                </c:pt>
                <c:pt idx="8">
                  <c:v>16.284148351568202</c:v>
                </c:pt>
                <c:pt idx="9">
                  <c:v>20.538772345784377</c:v>
                </c:pt>
                <c:pt idx="10">
                  <c:v>24.369234550087153</c:v>
                </c:pt>
                <c:pt idx="11">
                  <c:v>27.688662553652001</c:v>
                </c:pt>
                <c:pt idx="12">
                  <c:v>30.404728225611251</c:v>
                </c:pt>
                <c:pt idx="13">
                  <c:v>32.426731270010215</c:v>
                </c:pt>
                <c:pt idx="14">
                  <c:v>33.676193524236474</c:v>
                </c:pt>
                <c:pt idx="15">
                  <c:v>34.099123814973296</c:v>
                </c:pt>
                <c:pt idx="16">
                  <c:v>33.676193524236474</c:v>
                </c:pt>
                <c:pt idx="17">
                  <c:v>32.426731270010215</c:v>
                </c:pt>
                <c:pt idx="18">
                  <c:v>30.404728225611251</c:v>
                </c:pt>
                <c:pt idx="19">
                  <c:v>27.688662553652001</c:v>
                </c:pt>
                <c:pt idx="20">
                  <c:v>24.369234550087153</c:v>
                </c:pt>
                <c:pt idx="21">
                  <c:v>20.538772345784377</c:v>
                </c:pt>
                <c:pt idx="22">
                  <c:v>16.284148351568202</c:v>
                </c:pt>
                <c:pt idx="23">
                  <c:v>11.68322721837877</c:v>
                </c:pt>
                <c:pt idx="24">
                  <c:v>6.8039528093331176</c:v>
                </c:pt>
                <c:pt idx="25">
                  <c:v>1.7050549564961923</c:v>
                </c:pt>
                <c:pt idx="26">
                  <c:v>-3.5623970281702753</c:v>
                </c:pt>
                <c:pt idx="27">
                  <c:v>-8.9530502893945059</c:v>
                </c:pt>
                <c:pt idx="28">
                  <c:v>-14.425127499009745</c:v>
                </c:pt>
                <c:pt idx="29">
                  <c:v>-19.938090261320426</c:v>
                </c:pt>
                <c:pt idx="30">
                  <c:v>-25.449958228289965</c:v>
                </c:pt>
              </c:numCache>
            </c:numRef>
          </c:yVal>
          <c:smooth val="1"/>
        </c:ser>
        <c:dLbls>
          <c:showLegendKey val="0"/>
          <c:showVal val="0"/>
          <c:showCatName val="0"/>
          <c:showSerName val="0"/>
          <c:showPercent val="0"/>
          <c:showBubbleSize val="0"/>
        </c:dLbls>
        <c:axId val="403232232"/>
        <c:axId val="402107312"/>
      </c:scatterChart>
      <c:valAx>
        <c:axId val="481531920"/>
        <c:scaling>
          <c:orientation val="minMax"/>
          <c:max val="20"/>
          <c:min val="4"/>
        </c:scaling>
        <c:delete val="0"/>
        <c:axPos val="b"/>
        <c:title>
          <c:tx>
            <c:rich>
              <a:bodyPr/>
              <a:lstStyle/>
              <a:p>
                <a:pPr>
                  <a:defRPr/>
                </a:pPr>
                <a:r>
                  <a:rPr lang="en-US" sz="1400"/>
                  <a:t>Hours (Solar Time)</a:t>
                </a:r>
              </a:p>
            </c:rich>
          </c:tx>
          <c:overlay val="0"/>
        </c:title>
        <c:numFmt formatCode="General" sourceLinked="0"/>
        <c:majorTickMark val="out"/>
        <c:minorTickMark val="none"/>
        <c:tickLblPos val="low"/>
        <c:crossAx val="481532312"/>
        <c:crosses val="autoZero"/>
        <c:crossBetween val="midCat"/>
        <c:majorUnit val="1"/>
      </c:valAx>
      <c:valAx>
        <c:axId val="481532312"/>
        <c:scaling>
          <c:orientation val="minMax"/>
          <c:min val="0"/>
        </c:scaling>
        <c:delete val="0"/>
        <c:axPos val="l"/>
        <c:majorGridlines/>
        <c:title>
          <c:tx>
            <c:rich>
              <a:bodyPr rot="-5400000" vert="horz"/>
              <a:lstStyle/>
              <a:p>
                <a:pPr>
                  <a:defRPr/>
                </a:pPr>
                <a:r>
                  <a:rPr lang="en-US" sz="1400"/>
                  <a:t>Insolation (kW/h)</a:t>
                </a:r>
              </a:p>
            </c:rich>
          </c:tx>
          <c:layout>
            <c:manualLayout>
              <c:xMode val="edge"/>
              <c:yMode val="edge"/>
              <c:x val="5.1359078620856098E-3"/>
              <c:y val="0.38321355426917297"/>
            </c:manualLayout>
          </c:layout>
          <c:overlay val="0"/>
        </c:title>
        <c:numFmt formatCode="0.00" sourceLinked="1"/>
        <c:majorTickMark val="cross"/>
        <c:minorTickMark val="none"/>
        <c:tickLblPos val="low"/>
        <c:crossAx val="481531920"/>
        <c:crosses val="autoZero"/>
        <c:crossBetween val="midCat"/>
        <c:majorUnit val="50"/>
      </c:valAx>
      <c:valAx>
        <c:axId val="402107312"/>
        <c:scaling>
          <c:orientation val="minMax"/>
        </c:scaling>
        <c:delete val="0"/>
        <c:axPos val="r"/>
        <c:title>
          <c:tx>
            <c:rich>
              <a:bodyPr rot="-5400000" vert="horz"/>
              <a:lstStyle/>
              <a:p>
                <a:pPr>
                  <a:defRPr/>
                </a:pPr>
                <a:r>
                  <a:rPr lang="en-US" sz="1400"/>
                  <a:t>Solar Altitude (degrees)</a:t>
                </a:r>
              </a:p>
            </c:rich>
          </c:tx>
          <c:overlay val="0"/>
        </c:title>
        <c:numFmt formatCode="0.00" sourceLinked="1"/>
        <c:majorTickMark val="out"/>
        <c:minorTickMark val="none"/>
        <c:tickLblPos val="nextTo"/>
        <c:crossAx val="403232232"/>
        <c:crosses val="max"/>
        <c:crossBetween val="midCat"/>
        <c:majorUnit val="5"/>
      </c:valAx>
      <c:valAx>
        <c:axId val="403232232"/>
        <c:scaling>
          <c:orientation val="minMax"/>
        </c:scaling>
        <c:delete val="1"/>
        <c:axPos val="b"/>
        <c:numFmt formatCode="General" sourceLinked="1"/>
        <c:majorTickMark val="out"/>
        <c:minorTickMark val="none"/>
        <c:tickLblPos val="nextTo"/>
        <c:crossAx val="402107312"/>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 angles</a:t>
            </a:r>
            <a:r>
              <a:rPr lang="en-US" baseline="0"/>
              <a:t> and Insolation</a:t>
            </a:r>
            <a:endParaRPr lang="en-US"/>
          </a:p>
        </c:rich>
      </c:tx>
      <c:overlay val="1"/>
    </c:title>
    <c:autoTitleDeleted val="0"/>
    <c:plotArea>
      <c:layout>
        <c:manualLayout>
          <c:layoutTarget val="inner"/>
          <c:xMode val="edge"/>
          <c:yMode val="edge"/>
          <c:x val="0.10807853172890899"/>
          <c:y val="0.17289221634181001"/>
          <c:w val="0.80660434767449596"/>
          <c:h val="0.73682388881717698"/>
        </c:manualLayout>
      </c:layout>
      <c:scatterChart>
        <c:scatterStyle val="smoothMarker"/>
        <c:varyColors val="0"/>
        <c:ser>
          <c:idx val="0"/>
          <c:order val="0"/>
          <c:tx>
            <c:strRef>
              <c:f>Graph!$C$1</c:f>
              <c:strCache>
                <c:ptCount val="1"/>
                <c:pt idx="0">
                  <c:v>Azimuth</c:v>
                </c:pt>
              </c:strCache>
            </c:strRef>
          </c:tx>
          <c:spPr>
            <a:ln>
              <a:noFill/>
            </a:ln>
          </c:spPr>
          <c:marker>
            <c:symbol val="none"/>
          </c:marker>
          <c:trendline>
            <c:trendlineType val="log"/>
            <c:dispRSqr val="0"/>
            <c:dispEq val="0"/>
          </c:trendline>
          <c:xVal>
            <c:numRef>
              <c:f>Graph!$C$2:$C$32</c:f>
              <c:numCache>
                <c:formatCode>0.00</c:formatCode>
                <c:ptCount val="31"/>
                <c:pt idx="0">
                  <c:v>95.272633345963314</c:v>
                </c:pt>
                <c:pt idx="1">
                  <c:v>90.083113619723164</c:v>
                </c:pt>
                <c:pt idx="2">
                  <c:v>85.073630000199515</c:v>
                </c:pt>
                <c:pt idx="3">
                  <c:v>80.13902393275697</c:v>
                </c:pt>
                <c:pt idx="4">
                  <c:v>75.186774591572046</c:v>
                </c:pt>
                <c:pt idx="5">
                  <c:v>70.131826047998103</c:v>
                </c:pt>
                <c:pt idx="6">
                  <c:v>64.893072781665865</c:v>
                </c:pt>
                <c:pt idx="7">
                  <c:v>59.3914990710106</c:v>
                </c:pt>
                <c:pt idx="8">
                  <c:v>53.55028289523915</c:v>
                </c:pt>
                <c:pt idx="9">
                  <c:v>47.297511279853147</c:v>
                </c:pt>
                <c:pt idx="10">
                  <c:v>40.57238109013921</c:v>
                </c:pt>
                <c:pt idx="11">
                  <c:v>33.335572800022035</c:v>
                </c:pt>
                <c:pt idx="12">
                  <c:v>25.583372877122184</c:v>
                </c:pt>
                <c:pt idx="13">
                  <c:v>17.362642625459838</c:v>
                </c:pt>
                <c:pt idx="14">
                  <c:v>8.7803924675488805</c:v>
                </c:pt>
                <c:pt idx="15">
                  <c:v>0</c:v>
                </c:pt>
                <c:pt idx="16">
                  <c:v>-8.7803924675488805</c:v>
                </c:pt>
                <c:pt idx="17">
                  <c:v>-17.362642625459838</c:v>
                </c:pt>
                <c:pt idx="18">
                  <c:v>-25.583372877122184</c:v>
                </c:pt>
                <c:pt idx="19">
                  <c:v>-33.335572800022028</c:v>
                </c:pt>
                <c:pt idx="20">
                  <c:v>-40.57238109013921</c:v>
                </c:pt>
                <c:pt idx="21">
                  <c:v>-47.297511279853147</c:v>
                </c:pt>
                <c:pt idx="22">
                  <c:v>-53.550282895239135</c:v>
                </c:pt>
                <c:pt idx="23">
                  <c:v>-59.391499071010585</c:v>
                </c:pt>
                <c:pt idx="24">
                  <c:v>-64.893072781665865</c:v>
                </c:pt>
                <c:pt idx="25">
                  <c:v>-70.131826047998075</c:v>
                </c:pt>
                <c:pt idx="26">
                  <c:v>-75.186774591572046</c:v>
                </c:pt>
                <c:pt idx="27">
                  <c:v>-80.13902393275697</c:v>
                </c:pt>
                <c:pt idx="28">
                  <c:v>-85.073630000199444</c:v>
                </c:pt>
                <c:pt idx="29">
                  <c:v>-90.083113619723179</c:v>
                </c:pt>
                <c:pt idx="30">
                  <c:v>-95.2726333459633</c:v>
                </c:pt>
              </c:numCache>
            </c:numRef>
          </c:xVal>
          <c:yVal>
            <c:numRef>
              <c:f>Graph!$B$2:$B$32</c:f>
              <c:numCache>
                <c:formatCode>0.00</c:formatCode>
                <c:ptCount val="31"/>
                <c:pt idx="0">
                  <c:v>-25.449958228289965</c:v>
                </c:pt>
                <c:pt idx="1">
                  <c:v>-19.938090261320426</c:v>
                </c:pt>
                <c:pt idx="2">
                  <c:v>-14.425127499009745</c:v>
                </c:pt>
                <c:pt idx="3">
                  <c:v>-8.9530502893945059</c:v>
                </c:pt>
                <c:pt idx="4">
                  <c:v>-3.5623970281702753</c:v>
                </c:pt>
                <c:pt idx="5">
                  <c:v>1.7050549564961923</c:v>
                </c:pt>
                <c:pt idx="6">
                  <c:v>6.8039528093331176</c:v>
                </c:pt>
                <c:pt idx="7">
                  <c:v>11.68322721837877</c:v>
                </c:pt>
                <c:pt idx="8">
                  <c:v>16.284148351568202</c:v>
                </c:pt>
                <c:pt idx="9">
                  <c:v>20.538772345784377</c:v>
                </c:pt>
                <c:pt idx="10">
                  <c:v>24.369234550087153</c:v>
                </c:pt>
                <c:pt idx="11">
                  <c:v>27.688662553652001</c:v>
                </c:pt>
                <c:pt idx="12">
                  <c:v>30.404728225611251</c:v>
                </c:pt>
                <c:pt idx="13">
                  <c:v>32.426731270010215</c:v>
                </c:pt>
                <c:pt idx="14">
                  <c:v>33.676193524236474</c:v>
                </c:pt>
                <c:pt idx="15">
                  <c:v>34.099123814973296</c:v>
                </c:pt>
                <c:pt idx="16">
                  <c:v>33.676193524236474</c:v>
                </c:pt>
                <c:pt idx="17">
                  <c:v>32.426731270010215</c:v>
                </c:pt>
                <c:pt idx="18">
                  <c:v>30.404728225611251</c:v>
                </c:pt>
                <c:pt idx="19">
                  <c:v>27.688662553652001</c:v>
                </c:pt>
                <c:pt idx="20">
                  <c:v>24.369234550087153</c:v>
                </c:pt>
                <c:pt idx="21">
                  <c:v>20.538772345784377</c:v>
                </c:pt>
                <c:pt idx="22">
                  <c:v>16.284148351568202</c:v>
                </c:pt>
                <c:pt idx="23">
                  <c:v>11.68322721837877</c:v>
                </c:pt>
                <c:pt idx="24">
                  <c:v>6.8039528093331176</c:v>
                </c:pt>
                <c:pt idx="25">
                  <c:v>1.7050549564961923</c:v>
                </c:pt>
                <c:pt idx="26">
                  <c:v>-3.5623970281702753</c:v>
                </c:pt>
                <c:pt idx="27">
                  <c:v>-8.9530502893945059</c:v>
                </c:pt>
                <c:pt idx="28">
                  <c:v>-14.425127499009745</c:v>
                </c:pt>
                <c:pt idx="29">
                  <c:v>-19.938090261320426</c:v>
                </c:pt>
                <c:pt idx="30">
                  <c:v>-25.449958228289965</c:v>
                </c:pt>
              </c:numCache>
            </c:numRef>
          </c:yVal>
          <c:smooth val="1"/>
        </c:ser>
        <c:dLbls>
          <c:showLegendKey val="0"/>
          <c:showVal val="0"/>
          <c:showCatName val="0"/>
          <c:showSerName val="0"/>
          <c:showPercent val="0"/>
          <c:showBubbleSize val="0"/>
        </c:dLbls>
        <c:axId val="403233800"/>
        <c:axId val="403234192"/>
      </c:scatterChart>
      <c:scatterChart>
        <c:scatterStyle val="smoothMarker"/>
        <c:varyColors val="0"/>
        <c:ser>
          <c:idx val="1"/>
          <c:order val="1"/>
          <c:tx>
            <c:strRef>
              <c:f>Graph!$A$1</c:f>
              <c:strCache>
                <c:ptCount val="1"/>
                <c:pt idx="0">
                  <c:v> Time</c:v>
                </c:pt>
              </c:strCache>
            </c:strRef>
          </c:tx>
          <c:marker>
            <c:symbol val="diamond"/>
            <c:size val="6"/>
          </c:marker>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8.9916938996882756</c:v>
                </c:pt>
                <c:pt idx="6">
                  <c:v>354.1004950008591</c:v>
                </c:pt>
                <c:pt idx="7">
                  <c:v>590.38937455586233</c:v>
                </c:pt>
                <c:pt idx="8">
                  <c:v>721.27446990940007</c:v>
                </c:pt>
                <c:pt idx="9">
                  <c:v>800.73133617716041</c:v>
                </c:pt>
                <c:pt idx="10">
                  <c:v>852.1882622976857</c:v>
                </c:pt>
                <c:pt idx="11">
                  <c:v>886.63318383334718</c:v>
                </c:pt>
                <c:pt idx="12">
                  <c:v>909.73090582521161</c:v>
                </c:pt>
                <c:pt idx="13">
                  <c:v>924.58529959457962</c:v>
                </c:pt>
                <c:pt idx="14">
                  <c:v>932.91814854940628</c:v>
                </c:pt>
                <c:pt idx="15">
                  <c:v>935.60595535953576</c:v>
                </c:pt>
                <c:pt idx="16">
                  <c:v>932.91814854940628</c:v>
                </c:pt>
                <c:pt idx="17">
                  <c:v>924.58529959457962</c:v>
                </c:pt>
                <c:pt idx="18">
                  <c:v>909.73090582521161</c:v>
                </c:pt>
                <c:pt idx="19">
                  <c:v>886.63318383334718</c:v>
                </c:pt>
                <c:pt idx="20">
                  <c:v>852.1882622976857</c:v>
                </c:pt>
                <c:pt idx="21">
                  <c:v>800.73133617716041</c:v>
                </c:pt>
                <c:pt idx="22">
                  <c:v>721.27446990940007</c:v>
                </c:pt>
                <c:pt idx="23">
                  <c:v>590.38937455586233</c:v>
                </c:pt>
                <c:pt idx="24">
                  <c:v>354.1004950008591</c:v>
                </c:pt>
                <c:pt idx="25">
                  <c:v>8.9916938996882756</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03234584"/>
        <c:axId val="403234976"/>
      </c:scatterChart>
      <c:valAx>
        <c:axId val="403233800"/>
        <c:scaling>
          <c:orientation val="maxMin"/>
          <c:max val="130"/>
          <c:min val="-130"/>
        </c:scaling>
        <c:delete val="0"/>
        <c:axPos val="t"/>
        <c:majorGridlines/>
        <c:title>
          <c:tx>
            <c:rich>
              <a:bodyPr/>
              <a:lstStyle/>
              <a:p>
                <a:pPr>
                  <a:defRPr/>
                </a:pPr>
                <a:r>
                  <a:rPr lang="en-US" sz="1400"/>
                  <a:t>Solar Time</a:t>
                </a:r>
              </a:p>
            </c:rich>
          </c:tx>
          <c:layout>
            <c:manualLayout>
              <c:xMode val="edge"/>
              <c:yMode val="edge"/>
              <c:x val="0.44948751505297802"/>
              <c:y val="0.94826367195903805"/>
            </c:manualLayout>
          </c:layout>
          <c:overlay val="0"/>
        </c:title>
        <c:numFmt formatCode="0" sourceLinked="0"/>
        <c:majorTickMark val="out"/>
        <c:minorTickMark val="none"/>
        <c:tickLblPos val="nextTo"/>
        <c:crossAx val="403234192"/>
        <c:crosses val="max"/>
        <c:crossBetween val="midCat"/>
        <c:majorUnit val="10"/>
      </c:valAx>
      <c:valAx>
        <c:axId val="403234192"/>
        <c:scaling>
          <c:orientation val="minMax"/>
        </c:scaling>
        <c:delete val="0"/>
        <c:axPos val="r"/>
        <c:majorGridlines/>
        <c:title>
          <c:tx>
            <c:rich>
              <a:bodyPr rot="-5400000" vert="horz"/>
              <a:lstStyle/>
              <a:p>
                <a:pPr>
                  <a:defRPr/>
                </a:pPr>
                <a:r>
                  <a:rPr lang="en-US" sz="1400"/>
                  <a:t>Solar</a:t>
                </a:r>
                <a:r>
                  <a:rPr lang="en-US" sz="1400" baseline="0"/>
                  <a:t> Altitude</a:t>
                </a:r>
                <a:endParaRPr lang="en-US" sz="1400"/>
              </a:p>
            </c:rich>
          </c:tx>
          <c:layout>
            <c:manualLayout>
              <c:xMode val="edge"/>
              <c:yMode val="edge"/>
              <c:x val="0.96474839250207201"/>
              <c:y val="0.401222666838776"/>
            </c:manualLayout>
          </c:layout>
          <c:overlay val="0"/>
        </c:title>
        <c:numFmt formatCode="0.00" sourceLinked="1"/>
        <c:majorTickMark val="none"/>
        <c:minorTickMark val="none"/>
        <c:tickLblPos val="low"/>
        <c:crossAx val="403233800"/>
        <c:crosses val="autoZero"/>
        <c:crossBetween val="midCat"/>
        <c:majorUnit val="5"/>
      </c:valAx>
      <c:valAx>
        <c:axId val="403234976"/>
        <c:scaling>
          <c:orientation val="minMax"/>
          <c:min val="0"/>
        </c:scaling>
        <c:delete val="0"/>
        <c:axPos val="l"/>
        <c:title>
          <c:tx>
            <c:rich>
              <a:bodyPr rot="-5400000" vert="horz"/>
              <a:lstStyle/>
              <a:p>
                <a:pPr>
                  <a:defRPr/>
                </a:pPr>
                <a:r>
                  <a:rPr lang="en-US" sz="1400"/>
                  <a:t>Insolation</a:t>
                </a:r>
              </a:p>
            </c:rich>
          </c:tx>
          <c:layout>
            <c:manualLayout>
              <c:xMode val="edge"/>
              <c:yMode val="edge"/>
              <c:x val="1.13857604891921E-2"/>
              <c:y val="0.45397082741706501"/>
            </c:manualLayout>
          </c:layout>
          <c:overlay val="0"/>
        </c:title>
        <c:numFmt formatCode="0.00" sourceLinked="1"/>
        <c:majorTickMark val="out"/>
        <c:minorTickMark val="none"/>
        <c:tickLblPos val="nextTo"/>
        <c:crossAx val="403234584"/>
        <c:crosses val="autoZero"/>
        <c:crossBetween val="midCat"/>
        <c:majorUnit val="50"/>
      </c:valAx>
      <c:valAx>
        <c:axId val="403234584"/>
        <c:scaling>
          <c:orientation val="minMax"/>
          <c:max val="20"/>
          <c:min val="4"/>
        </c:scaling>
        <c:delete val="0"/>
        <c:axPos val="t"/>
        <c:title>
          <c:tx>
            <c:rich>
              <a:bodyPr/>
              <a:lstStyle/>
              <a:p>
                <a:pPr>
                  <a:defRPr/>
                </a:pPr>
                <a:r>
                  <a:rPr lang="en-US" sz="1400"/>
                  <a:t>Azimuth</a:t>
                </a:r>
                <a:r>
                  <a:rPr lang="en-US" sz="1400" baseline="0"/>
                  <a:t> Angle</a:t>
                </a:r>
                <a:endParaRPr lang="en-US" sz="1400"/>
              </a:p>
            </c:rich>
          </c:tx>
          <c:overlay val="0"/>
        </c:title>
        <c:numFmt formatCode="General" sourceLinked="1"/>
        <c:majorTickMark val="out"/>
        <c:minorTickMark val="none"/>
        <c:tickLblPos val="low"/>
        <c:crossAx val="403234976"/>
        <c:crosses val="max"/>
        <c:crossBetween val="midCat"/>
        <c:majorUnit val="1"/>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Graph!$A$1</c:f>
              <c:strCache>
                <c:ptCount val="1"/>
                <c:pt idx="0">
                  <c:v> Time</c:v>
                </c:pt>
              </c:strCache>
            </c:strRef>
          </c:tx>
          <c:trendline>
            <c:trendlineType val="poly"/>
            <c:order val="3"/>
            <c:dispRSqr val="0"/>
            <c:dispEq val="1"/>
            <c:trendlineLbl>
              <c:numFmt formatCode="General" sourceLinked="0"/>
            </c:trendlineLbl>
          </c:trendline>
          <c:xVal>
            <c:numRef>
              <c:f>Graph!$A$2:$A$32</c:f>
              <c:numCache>
                <c:formatCode>General</c:formatCode>
                <c:ptCount val="31"/>
                <c:pt idx="0">
                  <c:v>4.5</c:v>
                </c:pt>
                <c:pt idx="1">
                  <c:v>5</c:v>
                </c:pt>
                <c:pt idx="2">
                  <c:v>5.5</c:v>
                </c:pt>
                <c:pt idx="3">
                  <c:v>6</c:v>
                </c:pt>
                <c:pt idx="4">
                  <c:v>6.5</c:v>
                </c:pt>
                <c:pt idx="5">
                  <c:v>7</c:v>
                </c:pt>
                <c:pt idx="6">
                  <c:v>7.5</c:v>
                </c:pt>
                <c:pt idx="7">
                  <c:v>8</c:v>
                </c:pt>
                <c:pt idx="8">
                  <c:v>8.5</c:v>
                </c:pt>
                <c:pt idx="9">
                  <c:v>9</c:v>
                </c:pt>
                <c:pt idx="10">
                  <c:v>9.5</c:v>
                </c:pt>
                <c:pt idx="11">
                  <c:v>10</c:v>
                </c:pt>
                <c:pt idx="12">
                  <c:v>10.5</c:v>
                </c:pt>
                <c:pt idx="13">
                  <c:v>11</c:v>
                </c:pt>
                <c:pt idx="14">
                  <c:v>11.5</c:v>
                </c:pt>
                <c:pt idx="15">
                  <c:v>12</c:v>
                </c:pt>
                <c:pt idx="16">
                  <c:v>12.5</c:v>
                </c:pt>
                <c:pt idx="17">
                  <c:v>13</c:v>
                </c:pt>
                <c:pt idx="18">
                  <c:v>13.5</c:v>
                </c:pt>
                <c:pt idx="19">
                  <c:v>14</c:v>
                </c:pt>
                <c:pt idx="20">
                  <c:v>14.5</c:v>
                </c:pt>
                <c:pt idx="21">
                  <c:v>15</c:v>
                </c:pt>
                <c:pt idx="22">
                  <c:v>15.5</c:v>
                </c:pt>
                <c:pt idx="23">
                  <c:v>16</c:v>
                </c:pt>
                <c:pt idx="24">
                  <c:v>16.5</c:v>
                </c:pt>
                <c:pt idx="25">
                  <c:v>17</c:v>
                </c:pt>
                <c:pt idx="26">
                  <c:v>17.5</c:v>
                </c:pt>
                <c:pt idx="27">
                  <c:v>18</c:v>
                </c:pt>
                <c:pt idx="28">
                  <c:v>18.5</c:v>
                </c:pt>
                <c:pt idx="29">
                  <c:v>19</c:v>
                </c:pt>
                <c:pt idx="30">
                  <c:v>19.5</c:v>
                </c:pt>
              </c:numCache>
            </c:numRef>
          </c:xVal>
          <c:yVal>
            <c:numRef>
              <c:f>Graph!$D$2:$D$32</c:f>
              <c:numCache>
                <c:formatCode>0.00</c:formatCode>
                <c:ptCount val="31"/>
                <c:pt idx="0">
                  <c:v>0</c:v>
                </c:pt>
                <c:pt idx="1">
                  <c:v>0</c:v>
                </c:pt>
                <c:pt idx="2">
                  <c:v>0</c:v>
                </c:pt>
                <c:pt idx="3">
                  <c:v>0</c:v>
                </c:pt>
                <c:pt idx="4">
                  <c:v>0</c:v>
                </c:pt>
                <c:pt idx="5">
                  <c:v>8.9916938996882756</c:v>
                </c:pt>
                <c:pt idx="6">
                  <c:v>354.1004950008591</c:v>
                </c:pt>
                <c:pt idx="7">
                  <c:v>590.38937455586233</c:v>
                </c:pt>
                <c:pt idx="8">
                  <c:v>721.27446990940007</c:v>
                </c:pt>
                <c:pt idx="9">
                  <c:v>800.73133617716041</c:v>
                </c:pt>
                <c:pt idx="10">
                  <c:v>852.1882622976857</c:v>
                </c:pt>
                <c:pt idx="11">
                  <c:v>886.63318383334718</c:v>
                </c:pt>
                <c:pt idx="12">
                  <c:v>909.73090582521161</c:v>
                </c:pt>
                <c:pt idx="13">
                  <c:v>924.58529959457962</c:v>
                </c:pt>
                <c:pt idx="14">
                  <c:v>932.91814854940628</c:v>
                </c:pt>
                <c:pt idx="15">
                  <c:v>935.60595535953576</c:v>
                </c:pt>
                <c:pt idx="16">
                  <c:v>932.91814854940628</c:v>
                </c:pt>
                <c:pt idx="17">
                  <c:v>924.58529959457962</c:v>
                </c:pt>
                <c:pt idx="18">
                  <c:v>909.73090582521161</c:v>
                </c:pt>
                <c:pt idx="19">
                  <c:v>886.63318383334718</c:v>
                </c:pt>
                <c:pt idx="20">
                  <c:v>852.1882622976857</c:v>
                </c:pt>
                <c:pt idx="21">
                  <c:v>800.73133617716041</c:v>
                </c:pt>
                <c:pt idx="22">
                  <c:v>721.27446990940007</c:v>
                </c:pt>
                <c:pt idx="23">
                  <c:v>590.38937455586233</c:v>
                </c:pt>
                <c:pt idx="24">
                  <c:v>354.1004950008591</c:v>
                </c:pt>
                <c:pt idx="25">
                  <c:v>8.9916938996882756</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03233016"/>
        <c:axId val="403225176"/>
      </c:scatterChart>
      <c:valAx>
        <c:axId val="403233016"/>
        <c:scaling>
          <c:orientation val="minMax"/>
        </c:scaling>
        <c:delete val="0"/>
        <c:axPos val="b"/>
        <c:numFmt formatCode="General" sourceLinked="1"/>
        <c:majorTickMark val="out"/>
        <c:minorTickMark val="none"/>
        <c:tickLblPos val="nextTo"/>
        <c:crossAx val="403225176"/>
        <c:crosses val="autoZero"/>
        <c:crossBetween val="midCat"/>
      </c:valAx>
      <c:valAx>
        <c:axId val="403225176"/>
        <c:scaling>
          <c:orientation val="minMax"/>
        </c:scaling>
        <c:delete val="0"/>
        <c:axPos val="l"/>
        <c:majorGridlines/>
        <c:numFmt formatCode="0.00" sourceLinked="1"/>
        <c:majorTickMark val="out"/>
        <c:minorTickMark val="none"/>
        <c:tickLblPos val="nextTo"/>
        <c:crossAx val="403233016"/>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0</xdr:row>
      <xdr:rowOff>85725</xdr:rowOff>
    </xdr:from>
    <xdr:to>
      <xdr:col>11</xdr:col>
      <xdr:colOff>549275</xdr:colOff>
      <xdr:row>13</xdr:row>
      <xdr:rowOff>104775</xdr:rowOff>
    </xdr:to>
    <xdr:pic>
      <xdr:nvPicPr>
        <xdr:cNvPr id="20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3879"/>
        <a:stretch>
          <a:fillRect/>
        </a:stretch>
      </xdr:blipFill>
      <xdr:spPr bwMode="auto">
        <a:xfrm>
          <a:off x="428625" y="85725"/>
          <a:ext cx="6962775" cy="21240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228600</xdr:colOff>
      <xdr:row>24</xdr:row>
      <xdr:rowOff>12377</xdr:rowOff>
    </xdr:from>
    <xdr:to>
      <xdr:col>16</xdr:col>
      <xdr:colOff>475192</xdr:colOff>
      <xdr:row>34</xdr:row>
      <xdr:rowOff>190499</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908227"/>
          <a:ext cx="3581400" cy="220694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9524</xdr:colOff>
      <xdr:row>9</xdr:row>
      <xdr:rowOff>41581</xdr:rowOff>
    </xdr:from>
    <xdr:to>
      <xdr:col>13</xdr:col>
      <xdr:colOff>590549</xdr:colOff>
      <xdr:row>20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1574" y="1898956"/>
          <a:ext cx="3590925" cy="220631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14</xdr:col>
      <xdr:colOff>304800</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335228</xdr:colOff>
      <xdr:row>0</xdr:row>
      <xdr:rowOff>86518</xdr:rowOff>
    </xdr:from>
    <xdr:to>
      <xdr:col>22</xdr:col>
      <xdr:colOff>163777</xdr:colOff>
      <xdr:row>17</xdr:row>
      <xdr:rowOff>43655</xdr:rowOff>
    </xdr:to>
    <xdr:graphicFrame macro="">
      <xdr:nvGraphicFramePr>
        <xdr:cNvPr id="3"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97367</xdr:rowOff>
    </xdr:from>
    <xdr:to>
      <xdr:col>14</xdr:col>
      <xdr:colOff>306916</xdr:colOff>
      <xdr:row>56</xdr:row>
      <xdr:rowOff>68792</xdr:rowOff>
    </xdr:to>
    <xdr:graphicFrame macro="">
      <xdr:nvGraphicFramePr>
        <xdr:cNvPr id="4"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328082</xdr:colOff>
      <xdr:row>18</xdr:row>
      <xdr:rowOff>21168</xdr:rowOff>
    </xdr:from>
    <xdr:to>
      <xdr:col>27</xdr:col>
      <xdr:colOff>63500</xdr:colOff>
      <xdr:row>54</xdr:row>
      <xdr:rowOff>116418</xdr:rowOff>
    </xdr:to>
    <xdr:graphicFrame macro="">
      <xdr:nvGraphicFramePr>
        <xdr:cNvPr id="5"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31</xdr:col>
      <xdr:colOff>219074</xdr:colOff>
      <xdr:row>14</xdr:row>
      <xdr:rowOff>57150</xdr:rowOff>
    </xdr:from>
    <xdr:to>
      <xdr:col>37</xdr:col>
      <xdr:colOff>333375</xdr:colOff>
      <xdr:row>32</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youtube.com/playlist?list=PL89870B418A514D27"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59999389629810485"/>
  </sheetPr>
  <dimension ref="A1:Q54"/>
  <sheetViews>
    <sheetView topLeftCell="A16" workbookViewId="0">
      <selection activeCell="G18" sqref="G18"/>
    </sheetView>
  </sheetViews>
  <sheetFormatPr defaultColWidth="8.77734375" defaultRowHeight="13.2" x14ac:dyDescent="0.25"/>
  <cols>
    <col min="7" max="7" width="11.33203125" bestFit="1" customWidth="1"/>
  </cols>
  <sheetData>
    <row r="1" spans="1:13" x14ac:dyDescent="0.25">
      <c r="A1" s="254"/>
      <c r="B1" s="254"/>
      <c r="C1" s="254"/>
      <c r="D1" s="254"/>
      <c r="E1" s="254"/>
      <c r="F1" s="254"/>
      <c r="G1" s="254"/>
      <c r="H1" s="254"/>
      <c r="I1" s="254"/>
      <c r="J1" s="254"/>
      <c r="K1" s="254"/>
      <c r="L1" s="254"/>
      <c r="M1" s="254"/>
    </row>
    <row r="2" spans="1:13" x14ac:dyDescent="0.25">
      <c r="A2" s="254"/>
      <c r="B2" s="254"/>
      <c r="C2" s="254"/>
      <c r="D2" s="254"/>
      <c r="E2" s="254"/>
      <c r="F2" s="254"/>
      <c r="G2" s="254"/>
      <c r="H2" s="254"/>
      <c r="I2" s="254"/>
      <c r="J2" s="254"/>
      <c r="K2" s="254"/>
      <c r="L2" s="254"/>
      <c r="M2" s="254"/>
    </row>
    <row r="3" spans="1:13" x14ac:dyDescent="0.25">
      <c r="A3" s="254"/>
      <c r="B3" s="254"/>
      <c r="C3" s="254"/>
      <c r="D3" s="254"/>
      <c r="E3" s="254"/>
      <c r="F3" s="254"/>
      <c r="G3" s="254"/>
      <c r="H3" s="254"/>
      <c r="I3" s="254"/>
      <c r="J3" s="254"/>
      <c r="K3" s="254"/>
      <c r="L3" s="254"/>
      <c r="M3" s="254"/>
    </row>
    <row r="4" spans="1:13" x14ac:dyDescent="0.25">
      <c r="A4" s="254"/>
      <c r="B4" s="254"/>
      <c r="C4" s="254"/>
      <c r="D4" s="254"/>
      <c r="E4" s="254"/>
      <c r="F4" s="254"/>
      <c r="G4" s="254"/>
      <c r="H4" s="254"/>
      <c r="I4" s="254"/>
      <c r="J4" s="254"/>
      <c r="K4" s="254"/>
      <c r="L4" s="254"/>
      <c r="M4" s="254"/>
    </row>
    <row r="5" spans="1:13" x14ac:dyDescent="0.25">
      <c r="A5" s="254"/>
      <c r="B5" s="254"/>
      <c r="C5" s="254"/>
      <c r="D5" s="254"/>
      <c r="E5" s="254"/>
      <c r="F5" s="254"/>
      <c r="G5" s="254"/>
      <c r="H5" s="254"/>
      <c r="I5" s="254"/>
      <c r="J5" s="254"/>
      <c r="K5" s="254"/>
      <c r="L5" s="254"/>
      <c r="M5" s="254"/>
    </row>
    <row r="6" spans="1:13" x14ac:dyDescent="0.25">
      <c r="A6" s="254"/>
      <c r="B6" s="254"/>
      <c r="C6" s="254"/>
      <c r="D6" s="254"/>
      <c r="E6" s="254"/>
      <c r="F6" s="254"/>
      <c r="G6" s="254"/>
      <c r="H6" s="254"/>
      <c r="I6" s="254"/>
      <c r="J6" s="254"/>
      <c r="K6" s="254"/>
      <c r="L6" s="254"/>
      <c r="M6" s="254"/>
    </row>
    <row r="7" spans="1:13" x14ac:dyDescent="0.25">
      <c r="A7" s="254"/>
      <c r="B7" s="254"/>
      <c r="C7" s="254"/>
      <c r="D7" s="254"/>
      <c r="E7" s="254"/>
      <c r="F7" s="254"/>
      <c r="G7" s="254"/>
      <c r="H7" s="254"/>
      <c r="I7" s="254"/>
      <c r="J7" s="254"/>
      <c r="K7" s="254"/>
      <c r="L7" s="254"/>
      <c r="M7" s="254"/>
    </row>
    <row r="8" spans="1:13" x14ac:dyDescent="0.25">
      <c r="A8" s="254"/>
      <c r="B8" s="254"/>
      <c r="C8" s="254"/>
      <c r="D8" s="254"/>
      <c r="E8" s="254"/>
      <c r="F8" s="254"/>
      <c r="G8" s="254"/>
      <c r="H8" s="254"/>
      <c r="I8" s="254"/>
      <c r="J8" s="254"/>
      <c r="K8" s="254"/>
      <c r="L8" s="254"/>
      <c r="M8" s="254"/>
    </row>
    <row r="9" spans="1:13" x14ac:dyDescent="0.25">
      <c r="A9" s="254"/>
      <c r="B9" s="254"/>
      <c r="C9" s="254"/>
      <c r="D9" s="254"/>
      <c r="E9" s="254"/>
      <c r="F9" s="254"/>
      <c r="G9" s="254"/>
      <c r="H9" s="254"/>
      <c r="I9" s="254"/>
      <c r="J9" s="254"/>
      <c r="K9" s="254"/>
      <c r="L9" s="254"/>
      <c r="M9" s="254"/>
    </row>
    <row r="10" spans="1:13" x14ac:dyDescent="0.25">
      <c r="A10" s="254"/>
      <c r="B10" s="254"/>
      <c r="C10" s="254"/>
      <c r="D10" s="254"/>
      <c r="E10" s="254"/>
      <c r="F10" s="254"/>
      <c r="G10" s="254"/>
      <c r="H10" s="254"/>
      <c r="I10" s="254"/>
      <c r="J10" s="254"/>
      <c r="K10" s="254"/>
      <c r="L10" s="254"/>
      <c r="M10" s="254"/>
    </row>
    <row r="11" spans="1:13" x14ac:dyDescent="0.25">
      <c r="A11" s="254"/>
      <c r="B11" s="254"/>
      <c r="C11" s="254"/>
      <c r="D11" s="254"/>
      <c r="E11" s="254"/>
      <c r="F11" s="254"/>
      <c r="G11" s="254"/>
      <c r="H11" s="254"/>
      <c r="I11" s="254"/>
      <c r="J11" s="254"/>
      <c r="K11" s="254"/>
      <c r="L11" s="254"/>
      <c r="M11" s="254"/>
    </row>
    <row r="12" spans="1:13" x14ac:dyDescent="0.25">
      <c r="A12" s="254"/>
      <c r="B12" s="254"/>
      <c r="C12" s="254"/>
      <c r="D12" s="254"/>
      <c r="E12" s="254"/>
      <c r="F12" s="254"/>
      <c r="G12" s="254"/>
      <c r="H12" s="254"/>
      <c r="I12" s="254"/>
      <c r="J12" s="254"/>
      <c r="K12" s="254"/>
      <c r="L12" s="254"/>
      <c r="M12" s="254"/>
    </row>
    <row r="13" spans="1:13" x14ac:dyDescent="0.25">
      <c r="A13" s="254"/>
      <c r="B13" s="254"/>
      <c r="C13" s="254"/>
      <c r="D13" s="254"/>
      <c r="E13" s="254"/>
      <c r="F13" s="254"/>
      <c r="G13" s="254"/>
      <c r="H13" s="254"/>
      <c r="I13" s="254"/>
      <c r="J13" s="254"/>
      <c r="K13" s="254"/>
      <c r="L13" s="254"/>
      <c r="M13" s="254"/>
    </row>
    <row r="14" spans="1:13" x14ac:dyDescent="0.25">
      <c r="A14" s="254"/>
      <c r="B14" s="254"/>
      <c r="C14" s="254"/>
      <c r="D14" s="254"/>
      <c r="E14" s="254"/>
      <c r="F14" s="254"/>
      <c r="G14" s="254"/>
      <c r="H14" s="254"/>
      <c r="I14" s="254"/>
      <c r="J14" s="254"/>
      <c r="K14" s="254"/>
      <c r="L14" s="254"/>
      <c r="M14" s="254"/>
    </row>
    <row r="15" spans="1:13" ht="32.4" x14ac:dyDescent="0.55000000000000004">
      <c r="A15" s="255" t="s">
        <v>1</v>
      </c>
      <c r="B15" s="255"/>
      <c r="C15" s="255"/>
      <c r="D15" s="255"/>
      <c r="E15" s="255"/>
      <c r="F15" s="255"/>
      <c r="G15" s="255"/>
      <c r="H15" s="255"/>
      <c r="I15" s="255"/>
      <c r="J15" s="255"/>
      <c r="K15" s="255"/>
      <c r="L15" s="255"/>
      <c r="M15" s="255"/>
    </row>
    <row r="16" spans="1:13" s="1" customFormat="1" ht="15.6" x14ac:dyDescent="0.3">
      <c r="B16" s="253" t="s">
        <v>211</v>
      </c>
      <c r="C16" s="253"/>
      <c r="D16" s="253"/>
      <c r="E16" s="253"/>
      <c r="F16" s="253"/>
      <c r="G16" s="253"/>
      <c r="H16" s="253"/>
      <c r="I16" s="253"/>
      <c r="J16" s="253"/>
      <c r="K16" s="253"/>
      <c r="L16" s="253"/>
    </row>
    <row r="17" spans="2:17" s="1" customFormat="1" ht="15.6" x14ac:dyDescent="0.3">
      <c r="B17" s="253" t="s">
        <v>2</v>
      </c>
      <c r="C17" s="253"/>
      <c r="D17" s="253"/>
      <c r="E17" s="253"/>
      <c r="F17" s="253"/>
      <c r="G17" s="253"/>
      <c r="H17" s="253"/>
      <c r="I17" s="253"/>
      <c r="J17" s="253"/>
      <c r="K17" s="253"/>
      <c r="L17" s="253"/>
    </row>
    <row r="18" spans="2:17" s="1" customFormat="1" ht="15.6" x14ac:dyDescent="0.3">
      <c r="G18" s="17">
        <f ca="1">TODAY()</f>
        <v>44242</v>
      </c>
    </row>
    <row r="19" spans="2:17" s="2" customFormat="1" ht="15.6" x14ac:dyDescent="0.3">
      <c r="B19" s="55"/>
      <c r="C19" s="3" t="s">
        <v>216</v>
      </c>
      <c r="D19" s="4"/>
      <c r="E19" s="4"/>
      <c r="F19" s="4"/>
      <c r="G19" s="4"/>
      <c r="H19" s="4"/>
      <c r="I19" s="4"/>
      <c r="J19" s="4"/>
      <c r="K19" s="4"/>
      <c r="L19" s="4"/>
      <c r="M19" s="4"/>
      <c r="N19" s="4"/>
      <c r="O19" s="4"/>
      <c r="P19" s="18"/>
      <c r="Q19" s="18"/>
    </row>
    <row r="20" spans="2:17" s="2" customFormat="1" ht="16.2" thickBot="1" x14ac:dyDescent="0.35">
      <c r="B20" s="55"/>
      <c r="C20" s="4" t="s">
        <v>3</v>
      </c>
      <c r="D20" s="4"/>
      <c r="E20" s="4"/>
      <c r="F20" s="4"/>
      <c r="G20" s="4"/>
      <c r="H20" s="4"/>
      <c r="I20" s="4"/>
      <c r="J20" s="4"/>
      <c r="K20" s="4"/>
      <c r="L20" s="4"/>
      <c r="M20" s="4"/>
      <c r="N20" s="4"/>
      <c r="O20" s="4"/>
      <c r="P20" s="18"/>
      <c r="Q20" s="18"/>
    </row>
    <row r="21" spans="2:17" s="2" customFormat="1" ht="15.6" x14ac:dyDescent="0.3">
      <c r="B21" s="55"/>
      <c r="C21" s="5" t="s">
        <v>4</v>
      </c>
      <c r="D21" s="6"/>
      <c r="E21" s="6"/>
      <c r="F21" s="6"/>
      <c r="G21" s="6"/>
      <c r="H21" s="6"/>
      <c r="I21" s="6"/>
      <c r="J21" s="6"/>
      <c r="K21" s="6"/>
      <c r="L21" s="7"/>
      <c r="M21" s="4"/>
      <c r="N21" s="4"/>
      <c r="O21" s="4"/>
      <c r="P21" s="18"/>
      <c r="Q21" s="18"/>
    </row>
    <row r="22" spans="2:17" s="2" customFormat="1" ht="15.6" x14ac:dyDescent="0.3">
      <c r="B22" s="55"/>
      <c r="C22" s="8" t="s">
        <v>5</v>
      </c>
      <c r="D22" s="9"/>
      <c r="E22" s="9"/>
      <c r="F22" s="9"/>
      <c r="G22" s="9"/>
      <c r="H22" s="9"/>
      <c r="I22" s="9"/>
      <c r="J22" s="9"/>
      <c r="K22" s="9"/>
      <c r="L22" s="10"/>
      <c r="M22" s="4"/>
      <c r="N22" s="4"/>
      <c r="O22" s="4"/>
      <c r="P22" s="18"/>
      <c r="Q22" s="18"/>
    </row>
    <row r="23" spans="2:17" s="2" customFormat="1" ht="15.6" x14ac:dyDescent="0.3">
      <c r="B23" s="55"/>
      <c r="C23" s="8" t="s">
        <v>6</v>
      </c>
      <c r="D23" s="9"/>
      <c r="E23" s="9"/>
      <c r="F23" s="9"/>
      <c r="G23" s="9"/>
      <c r="H23" s="9"/>
      <c r="I23" s="9"/>
      <c r="J23" s="9"/>
      <c r="K23" s="9"/>
      <c r="L23" s="10"/>
      <c r="M23" s="4"/>
      <c r="N23" s="4"/>
      <c r="O23" s="4"/>
      <c r="P23" s="18"/>
      <c r="Q23" s="18"/>
    </row>
    <row r="24" spans="2:17" s="2" customFormat="1" ht="16.2" thickBot="1" x14ac:dyDescent="0.35">
      <c r="B24" s="55"/>
      <c r="C24" s="11" t="s">
        <v>7</v>
      </c>
      <c r="D24" s="12"/>
      <c r="E24" s="12"/>
      <c r="F24" s="12"/>
      <c r="G24" s="12"/>
      <c r="H24" s="12"/>
      <c r="I24" s="12"/>
      <c r="J24" s="12"/>
      <c r="K24" s="12"/>
      <c r="L24" s="13"/>
      <c r="M24" s="4"/>
      <c r="N24" s="4"/>
      <c r="O24" s="4"/>
      <c r="P24" s="18"/>
      <c r="Q24" s="18"/>
    </row>
    <row r="25" spans="2:17" s="2" customFormat="1" ht="16.2" thickBot="1" x14ac:dyDescent="0.35">
      <c r="B25" s="55"/>
      <c r="C25" s="4"/>
      <c r="D25" s="4"/>
      <c r="E25" s="4"/>
      <c r="F25" s="4"/>
      <c r="G25" s="4"/>
      <c r="H25" s="4"/>
      <c r="I25" s="4"/>
      <c r="J25" s="4"/>
      <c r="K25" s="4"/>
      <c r="L25" s="4"/>
      <c r="M25" s="4"/>
      <c r="N25" s="4"/>
      <c r="O25" s="4"/>
      <c r="P25" s="18"/>
      <c r="Q25" s="18"/>
    </row>
    <row r="26" spans="2:17" s="2" customFormat="1" ht="15.75" customHeight="1" x14ac:dyDescent="0.3">
      <c r="B26" s="55"/>
      <c r="C26" s="256" t="s">
        <v>212</v>
      </c>
      <c r="D26" s="257"/>
      <c r="E26" s="257"/>
      <c r="F26" s="257"/>
      <c r="G26" s="257"/>
      <c r="H26" s="257"/>
      <c r="I26" s="257"/>
      <c r="J26" s="257"/>
      <c r="K26" s="257"/>
      <c r="L26" s="258"/>
      <c r="M26" s="15"/>
      <c r="N26" s="15"/>
      <c r="O26" s="14"/>
      <c r="P26" s="19"/>
      <c r="Q26" s="18"/>
    </row>
    <row r="27" spans="2:17" s="2" customFormat="1" ht="15.6" x14ac:dyDescent="0.3">
      <c r="B27" s="55"/>
      <c r="C27" s="259" t="s">
        <v>213</v>
      </c>
      <c r="D27" s="260"/>
      <c r="E27" s="260"/>
      <c r="F27" s="260"/>
      <c r="G27" s="260"/>
      <c r="H27" s="260"/>
      <c r="I27" s="260"/>
      <c r="J27" s="260"/>
      <c r="K27" s="260"/>
      <c r="L27" s="261"/>
      <c r="M27" s="15"/>
      <c r="N27" s="15"/>
      <c r="O27" s="15"/>
      <c r="P27" s="19"/>
      <c r="Q27" s="18"/>
    </row>
    <row r="28" spans="2:17" s="2" customFormat="1" ht="16.2" thickBot="1" x14ac:dyDescent="0.35">
      <c r="B28" s="55"/>
      <c r="C28" s="262" t="s">
        <v>214</v>
      </c>
      <c r="D28" s="263"/>
      <c r="E28" s="263"/>
      <c r="F28" s="263"/>
      <c r="G28" s="263"/>
      <c r="H28" s="263"/>
      <c r="I28" s="263"/>
      <c r="J28" s="263"/>
      <c r="K28" s="263"/>
      <c r="L28" s="264"/>
      <c r="M28" s="248"/>
      <c r="N28" s="248"/>
      <c r="O28" s="248"/>
      <c r="P28" s="19"/>
      <c r="Q28" s="18"/>
    </row>
    <row r="29" spans="2:17" s="2" customFormat="1" ht="12.75" customHeight="1" x14ac:dyDescent="0.3">
      <c r="B29" s="18"/>
      <c r="C29" s="21"/>
      <c r="D29" s="21"/>
      <c r="E29" s="21"/>
      <c r="F29" s="21"/>
      <c r="G29" s="21"/>
      <c r="H29" s="21"/>
      <c r="I29" s="21"/>
      <c r="J29" s="21"/>
      <c r="K29" s="21"/>
      <c r="L29" s="21"/>
      <c r="M29" s="21"/>
      <c r="N29" s="21"/>
      <c r="O29" s="21"/>
      <c r="P29" s="19"/>
      <c r="Q29" s="18"/>
    </row>
    <row r="30" spans="2:17" s="2" customFormat="1" ht="15.6" x14ac:dyDescent="0.3">
      <c r="B30" s="18"/>
      <c r="C30" s="15" t="s">
        <v>8</v>
      </c>
      <c r="D30" s="16"/>
      <c r="E30" s="16"/>
      <c r="F30" s="252" t="s">
        <v>9</v>
      </c>
      <c r="G30" s="252"/>
      <c r="H30" s="252"/>
      <c r="I30" s="252"/>
      <c r="J30" s="252"/>
      <c r="K30" s="252"/>
      <c r="L30" s="20"/>
      <c r="M30" s="16"/>
      <c r="N30" s="14"/>
      <c r="O30" s="14"/>
      <c r="P30" s="18"/>
      <c r="Q30" s="18"/>
    </row>
    <row r="31" spans="2:17" s="1" customFormat="1" ht="15.6" x14ac:dyDescent="0.3"/>
    <row r="32" spans="2:17" s="1" customFormat="1" ht="15.6" x14ac:dyDescent="0.3"/>
    <row r="33" s="1" customFormat="1" ht="15.6" x14ac:dyDescent="0.3"/>
    <row r="34" s="1" customFormat="1" ht="15.6" x14ac:dyDescent="0.3"/>
    <row r="35" s="1" customFormat="1" ht="15.6" x14ac:dyDescent="0.3"/>
    <row r="36" s="1" customFormat="1" ht="15.6" x14ac:dyDescent="0.3"/>
    <row r="37" s="1" customFormat="1" ht="15.6" x14ac:dyDescent="0.3"/>
    <row r="38" s="1" customFormat="1" ht="15.6" x14ac:dyDescent="0.3"/>
    <row r="39" s="1" customFormat="1" ht="15.6" x14ac:dyDescent="0.3"/>
    <row r="40" s="1" customFormat="1" ht="15.6" x14ac:dyDescent="0.3"/>
    <row r="41" s="1" customFormat="1" ht="15.6" x14ac:dyDescent="0.3"/>
    <row r="42" s="1" customFormat="1" ht="15.6" x14ac:dyDescent="0.3"/>
    <row r="43" s="1" customFormat="1" ht="15.6" x14ac:dyDescent="0.3"/>
    <row r="44" s="1" customFormat="1" ht="15.6" x14ac:dyDescent="0.3"/>
    <row r="45" s="1" customFormat="1" ht="15.6" x14ac:dyDescent="0.3"/>
    <row r="46" s="1" customFormat="1" ht="15.6" x14ac:dyDescent="0.3"/>
    <row r="47" s="1" customFormat="1" ht="15.6" x14ac:dyDescent="0.3"/>
    <row r="48" s="1" customFormat="1" ht="15.6" x14ac:dyDescent="0.3"/>
    <row r="49" spans="1:1" s="1" customFormat="1" ht="15.6" x14ac:dyDescent="0.3"/>
    <row r="50" spans="1:1" s="1" customFormat="1" ht="15.6" x14ac:dyDescent="0.3"/>
    <row r="51" spans="1:1" s="1" customFormat="1" ht="15.6" x14ac:dyDescent="0.3"/>
    <row r="52" spans="1:1" s="1" customFormat="1" ht="15.6" x14ac:dyDescent="0.3"/>
    <row r="53" spans="1:1" s="1" customFormat="1" ht="15.6" x14ac:dyDescent="0.3"/>
    <row r="54" spans="1:1" s="1" customFormat="1" ht="15.6" x14ac:dyDescent="0.3">
      <c r="A54" s="52" t="s">
        <v>9</v>
      </c>
    </row>
  </sheetData>
  <mergeCells count="8">
    <mergeCell ref="F30:K30"/>
    <mergeCell ref="B16:L16"/>
    <mergeCell ref="B17:L17"/>
    <mergeCell ref="A1:M14"/>
    <mergeCell ref="A15:M15"/>
    <mergeCell ref="C26:L26"/>
    <mergeCell ref="C27:L27"/>
    <mergeCell ref="C28:L28"/>
  </mergeCells>
  <dataValidations disablePrompts="1" count="2">
    <dataValidation type="custom" allowBlank="1" showInputMessage="1" showErrorMessage="1" errorTitle="Invalid Action" error="Do not change the content of this cell" sqref="L30">
      <formula1>#REF!</formula1>
    </dataValidation>
    <dataValidation type="custom" allowBlank="1" showInputMessage="1" showErrorMessage="1" errorTitle="Invalid Action" error="Do not change the content of this cell." sqref="F30">
      <formula1>A54</formula1>
    </dataValidation>
  </dataValidations>
  <hyperlinks>
    <hyperlink ref="F30" r:id="rId1"/>
  </hyperlinks>
  <pageMargins left="0.7" right="0.7" top="0.75" bottom="0.75" header="0.3" footer="0.3"/>
  <pageSetup orientation="portrait" horizontalDpi="1200" verticalDpi="1200"/>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59999389629810485"/>
  </sheetPr>
  <dimension ref="A1:AC37"/>
  <sheetViews>
    <sheetView topLeftCell="A10" workbookViewId="0">
      <selection activeCell="E14" sqref="E14"/>
    </sheetView>
  </sheetViews>
  <sheetFormatPr defaultColWidth="9.109375" defaultRowHeight="13.8" x14ac:dyDescent="0.25"/>
  <cols>
    <col min="1" max="1" width="12.44140625" style="22" customWidth="1"/>
    <col min="2" max="2" width="10.109375" style="22" customWidth="1"/>
    <col min="3" max="3" width="10.33203125" style="22" customWidth="1"/>
    <col min="4" max="4" width="8.109375" style="22" customWidth="1"/>
    <col min="5" max="5" width="9.44140625" style="22" customWidth="1"/>
    <col min="6" max="6" width="8.33203125" style="22" customWidth="1"/>
    <col min="7" max="7" width="5.44140625" style="22" customWidth="1"/>
    <col min="8" max="8" width="9" style="22" customWidth="1"/>
    <col min="9" max="9" width="6.109375" style="22" customWidth="1"/>
    <col min="10" max="10" width="5" style="22" customWidth="1"/>
    <col min="11" max="11" width="9.109375" style="22"/>
    <col min="12" max="12" width="10.44140625" style="22" bestFit="1" customWidth="1"/>
    <col min="13" max="13" width="8.44140625" style="22" customWidth="1"/>
    <col min="14" max="14" width="9.44140625" style="22" bestFit="1" customWidth="1"/>
    <col min="15" max="15" width="8.44140625" style="22" customWidth="1"/>
    <col min="16" max="16" width="13.109375" style="22" bestFit="1" customWidth="1"/>
    <col min="17" max="17" width="10.44140625" style="22" bestFit="1" customWidth="1"/>
    <col min="18" max="25" width="9.109375" style="22"/>
    <col min="26" max="26" width="10.44140625" style="22" hidden="1" customWidth="1"/>
    <col min="27" max="29" width="0" style="22" hidden="1" customWidth="1"/>
    <col min="30" max="16384" width="9.109375" style="22"/>
  </cols>
  <sheetData>
    <row r="1" spans="1:29" ht="15.75" customHeight="1" x14ac:dyDescent="0.25">
      <c r="A1" s="265" t="s">
        <v>217</v>
      </c>
      <c r="B1" s="266"/>
      <c r="C1" s="266"/>
      <c r="D1" s="266"/>
      <c r="E1" s="266"/>
      <c r="F1" s="266"/>
      <c r="G1" s="266"/>
      <c r="H1" s="266"/>
      <c r="I1" s="266"/>
      <c r="J1" s="266"/>
      <c r="K1" s="266"/>
      <c r="L1" s="266"/>
      <c r="M1" s="266"/>
      <c r="N1" s="266"/>
      <c r="O1" s="266"/>
      <c r="P1" s="266"/>
      <c r="Q1" s="267"/>
      <c r="Z1" s="22" t="s">
        <v>27</v>
      </c>
      <c r="AA1" s="22">
        <v>1</v>
      </c>
      <c r="AB1" s="22">
        <f>IF(L9="January",1,IF(L9="February",1,IF(L9="March",1,IF(L9="April",1,IF(L9="May",1,IF(L9="June",1,IF(L9="July",1,IF(L9="August",1,IF(L9="September",1,IF(L9="October",1,IF(L9="November",1,IF(L9="December",1,0))))))))))))</f>
        <v>1</v>
      </c>
      <c r="AC1" s="22" t="s">
        <v>21</v>
      </c>
    </row>
    <row r="2" spans="1:29" ht="15.75" customHeight="1" thickBot="1" x14ac:dyDescent="0.3">
      <c r="A2" s="268"/>
      <c r="B2" s="269"/>
      <c r="C2" s="269"/>
      <c r="D2" s="269"/>
      <c r="E2" s="269"/>
      <c r="F2" s="269"/>
      <c r="G2" s="269"/>
      <c r="H2" s="269"/>
      <c r="I2" s="269"/>
      <c r="J2" s="269"/>
      <c r="K2" s="269"/>
      <c r="L2" s="269"/>
      <c r="M2" s="269"/>
      <c r="N2" s="269"/>
      <c r="O2" s="269"/>
      <c r="P2" s="269"/>
      <c r="Q2" s="270"/>
      <c r="Z2" s="22" t="s">
        <v>28</v>
      </c>
      <c r="AA2" s="22">
        <v>2</v>
      </c>
      <c r="AB2" s="22">
        <f>IF(L9="January",1,IF(L9="February",1,IF(L9="March",1,IF(L9="April",1,IF(L9="May",1,IF(L9="June",1,IF(L9="July",1,IF(L9="August",1,IF(L9="September",1,IF(L9="October",1,IF(L9="November",1,IF(L9="December",1,0))))))))))))</f>
        <v>1</v>
      </c>
      <c r="AC2" s="22" t="s">
        <v>20</v>
      </c>
    </row>
    <row r="3" spans="1:29" ht="16.5" customHeight="1" thickBot="1" x14ac:dyDescent="0.35">
      <c r="A3" s="308" t="s">
        <v>218</v>
      </c>
      <c r="B3" s="309"/>
      <c r="C3" s="309"/>
      <c r="D3" s="309"/>
      <c r="E3" s="309"/>
      <c r="F3" s="309"/>
      <c r="G3" s="309"/>
      <c r="H3" s="309"/>
      <c r="I3" s="309"/>
      <c r="J3" s="309"/>
      <c r="K3" s="310"/>
      <c r="L3" s="56"/>
      <c r="M3" s="57"/>
      <c r="N3" s="57"/>
      <c r="O3" s="57"/>
      <c r="P3" s="57"/>
      <c r="Q3" s="58"/>
      <c r="R3" s="34"/>
      <c r="S3" s="34"/>
      <c r="Z3" s="22" t="s">
        <v>29</v>
      </c>
      <c r="AA3" s="22">
        <v>3</v>
      </c>
      <c r="AB3" s="22">
        <f>IF(L9="January",1,IF(L9="February",1,IF(L9="March",1,IF(L9="April",1,IF(L9="May",1,IF(L9="June",1,IF(L9="July",1,IF(L9="August",1,IF(L9="September",1,IF(L9="October",1,IF(L9="November",1,IF(L9="December",1,0))))))))))))</f>
        <v>1</v>
      </c>
    </row>
    <row r="4" spans="1:29" ht="16.5" customHeight="1" thickBot="1" x14ac:dyDescent="0.35">
      <c r="A4" s="302"/>
      <c r="B4" s="303"/>
      <c r="C4" s="303"/>
      <c r="D4" s="303"/>
      <c r="E4" s="303"/>
      <c r="F4" s="303"/>
      <c r="G4" s="303"/>
      <c r="H4" s="303"/>
      <c r="I4" s="303"/>
      <c r="J4" s="303"/>
      <c r="K4" s="304"/>
      <c r="L4" s="278" t="s">
        <v>109</v>
      </c>
      <c r="M4" s="279"/>
      <c r="N4" s="279"/>
      <c r="O4" s="279"/>
      <c r="P4" s="60">
        <v>42.611719999999998</v>
      </c>
      <c r="Q4" s="59" t="s">
        <v>0</v>
      </c>
      <c r="Z4" s="22" t="s">
        <v>30</v>
      </c>
      <c r="AA4" s="22">
        <v>4</v>
      </c>
      <c r="AB4" s="22">
        <f>IF(L9="January",1,IF(L9="February",1,IF(L9="March",1,IF(L9="April",1,IF(L9="May",1,IF(L9="June",1,IF(L9="July",1,IF(L9="August",1,IF(L9="September",1,IF(L9="October",1,IF(L9="November",1,IF(L9="December",1,0))))))))))))</f>
        <v>1</v>
      </c>
    </row>
    <row r="5" spans="1:29" ht="16.2" thickBot="1" x14ac:dyDescent="0.35">
      <c r="A5" s="302"/>
      <c r="B5" s="303"/>
      <c r="C5" s="303"/>
      <c r="D5" s="303"/>
      <c r="E5" s="303"/>
      <c r="F5" s="303"/>
      <c r="G5" s="303"/>
      <c r="H5" s="303"/>
      <c r="I5" s="303"/>
      <c r="J5" s="303"/>
      <c r="K5" s="304"/>
      <c r="L5" s="278" t="s">
        <v>110</v>
      </c>
      <c r="M5" s="279"/>
      <c r="N5" s="279"/>
      <c r="O5" s="279"/>
      <c r="P5" s="60">
        <v>70.883610000000004</v>
      </c>
      <c r="Q5" s="59" t="s">
        <v>0</v>
      </c>
      <c r="Z5" s="22" t="s">
        <v>31</v>
      </c>
      <c r="AA5" s="22">
        <v>5</v>
      </c>
      <c r="AB5" s="22">
        <f>IF(L9="January",1,IF(L9="February",1,IF(L9="March",1,IF(L9="April",1,IF(L9="May",1,IF(L9="June",1,IF(L9="July",1,IF(L9="August",1,IF(L9="September",1,IF(L9="October",1,IF(L9="November",1,IF(L9="December",1,0))))))))))))</f>
        <v>1</v>
      </c>
    </row>
    <row r="6" spans="1:29" ht="17.25" customHeight="1" x14ac:dyDescent="0.3">
      <c r="A6" s="302" t="s">
        <v>219</v>
      </c>
      <c r="B6" s="303"/>
      <c r="C6" s="303"/>
      <c r="D6" s="303"/>
      <c r="E6" s="303"/>
      <c r="F6" s="303"/>
      <c r="G6" s="303"/>
      <c r="H6" s="303"/>
      <c r="I6" s="303"/>
      <c r="J6" s="303"/>
      <c r="K6" s="304"/>
      <c r="L6" s="61"/>
      <c r="M6" s="62"/>
      <c r="N6" s="62"/>
      <c r="O6" s="62"/>
      <c r="P6" s="62"/>
      <c r="Q6" s="59"/>
      <c r="Z6" s="22" t="s">
        <v>43</v>
      </c>
      <c r="AA6" s="22">
        <v>6</v>
      </c>
      <c r="AB6" s="22">
        <f>IF(L9="January",1,IF(L9="February",1,IF(L9="March",1,IF(L9="April",1,IF(L9="May",1,IF(L9="June",1,IF(L9="July",1,IF(L9="August",1,IF(L9="September",1,IF(L9="October",1,IF(L9="November",1,IF(L9="December",1,0))))))))))))</f>
        <v>1</v>
      </c>
    </row>
    <row r="7" spans="1:29" ht="15.6" x14ac:dyDescent="0.3">
      <c r="A7" s="302"/>
      <c r="B7" s="303"/>
      <c r="C7" s="303"/>
      <c r="D7" s="303"/>
      <c r="E7" s="303"/>
      <c r="F7" s="303"/>
      <c r="G7" s="303"/>
      <c r="H7" s="303"/>
      <c r="I7" s="303"/>
      <c r="J7" s="303"/>
      <c r="K7" s="304"/>
      <c r="L7" s="296" t="s">
        <v>45</v>
      </c>
      <c r="M7" s="297"/>
      <c r="N7" s="297"/>
      <c r="O7" s="297"/>
      <c r="P7" s="297"/>
      <c r="Q7" s="298"/>
      <c r="Z7" s="22" t="s">
        <v>32</v>
      </c>
      <c r="AA7" s="22">
        <v>7</v>
      </c>
      <c r="AB7" s="22">
        <f>IF(L9="January",1,IF(L9="February",1,IF(L9="March",1,IF(L9="April",1,IF(L9="May",1,IF(L9="June",1,IF(L9="July",1,IF(L9="August",1,IF(L9="September",1,IF(L9="October",1,IF(L9="November",1,IF(L9="December",1,0))))))))))))</f>
        <v>1</v>
      </c>
    </row>
    <row r="8" spans="1:29" ht="15.75" customHeight="1" thickBot="1" x14ac:dyDescent="0.35">
      <c r="A8" s="302" t="s">
        <v>220</v>
      </c>
      <c r="B8" s="303"/>
      <c r="C8" s="303"/>
      <c r="D8" s="303"/>
      <c r="E8" s="303"/>
      <c r="F8" s="303"/>
      <c r="G8" s="303"/>
      <c r="H8" s="303"/>
      <c r="I8" s="303"/>
      <c r="J8" s="303"/>
      <c r="K8" s="304"/>
      <c r="L8" s="63" t="s">
        <v>38</v>
      </c>
      <c r="M8" s="64"/>
      <c r="N8" s="65" t="s">
        <v>41</v>
      </c>
      <c r="O8" s="64"/>
      <c r="P8" s="66" t="s">
        <v>42</v>
      </c>
      <c r="Q8" s="59"/>
      <c r="Z8" s="22" t="s">
        <v>33</v>
      </c>
      <c r="AA8" s="22">
        <v>8</v>
      </c>
      <c r="AB8" s="22">
        <f>IF(L9="January",1,IF(L9="February",1,IF(L9="March",1,IF(L9="April",1,IF(L9="May",1,IF(L9="June",1,IF(L9="July",1,IF(L9="August",1,IF(L9="September",1,IF(L9="October",1,IF(L9="November",1,IF(L9="December",1,0))))))))))))</f>
        <v>1</v>
      </c>
    </row>
    <row r="9" spans="1:29" ht="16.2" thickBot="1" x14ac:dyDescent="0.35">
      <c r="A9" s="302"/>
      <c r="B9" s="303"/>
      <c r="C9" s="303"/>
      <c r="D9" s="303"/>
      <c r="E9" s="303"/>
      <c r="F9" s="303"/>
      <c r="G9" s="303"/>
      <c r="H9" s="303"/>
      <c r="I9" s="303"/>
      <c r="J9" s="303"/>
      <c r="K9" s="304"/>
      <c r="L9" s="67" t="s">
        <v>28</v>
      </c>
      <c r="M9" s="64"/>
      <c r="N9" s="67">
        <v>15</v>
      </c>
      <c r="O9" s="64"/>
      <c r="P9" s="68">
        <f>IF(L9="January",N9,IF(L9="February",N9+31,IF(L9="March",N9+59,IF(L9="April",N9+90,IF(L9="May",N9+120,IF(L9="June",N9+151,IF(L9="July",N9+181,IF(L9="August",N9+212,IF(L9="September",N9+243,IF(L9="October",N9+273,IF(L9="November",N9+304,IF(L9="December",N9+334,0))))))))))))</f>
        <v>46</v>
      </c>
      <c r="Q9" s="59"/>
      <c r="S9" s="40"/>
      <c r="Z9" s="22" t="s">
        <v>34</v>
      </c>
      <c r="AA9" s="22">
        <v>9</v>
      </c>
      <c r="AB9" s="22">
        <f>IF(L9="January",1,IF(L9="February",1,IF(L9="March",1,IF(L9="April",1,IF(L9="May",1,IF(L9="June",1,IF(L9="July",1,IF(L9="August",1,IF(L9="September",1,IF(L9="October",1,IF(L9="November",1,IF(L9="December",1,0))))))))))))</f>
        <v>1</v>
      </c>
    </row>
    <row r="10" spans="1:29" ht="16.2" thickBot="1" x14ac:dyDescent="0.35">
      <c r="A10" s="305"/>
      <c r="B10" s="306"/>
      <c r="C10" s="306"/>
      <c r="D10" s="306"/>
      <c r="E10" s="306"/>
      <c r="F10" s="306"/>
      <c r="G10" s="306"/>
      <c r="H10" s="306"/>
      <c r="I10" s="306"/>
      <c r="J10" s="306"/>
      <c r="K10" s="307"/>
      <c r="L10" s="314" t="str">
        <f>IFERROR(IF(INDEX(AB1:AB31,MATCH(N9,AA1:AA31,0))=0,"The date value entered is INCORRECT",""),"The date value entered is INCORRECT")</f>
        <v/>
      </c>
      <c r="M10" s="315"/>
      <c r="N10" s="315"/>
      <c r="O10" s="315"/>
      <c r="P10" s="69"/>
      <c r="Q10" s="70"/>
      <c r="Z10" s="22" t="s">
        <v>35</v>
      </c>
      <c r="AA10" s="22">
        <v>10</v>
      </c>
      <c r="AB10" s="22">
        <f>IF(L9="January",1,IF(L9="February",1,IF(L9="March",1,IF(L9="April",1,IF(L9="May",1,IF(L9="June",1,IF(L9="July",1,IF(L9="August",1,IF(L9="September",1,IF(L9="October",1,IF(L9="November",1,IF(L9="December",1,0))))))))))))</f>
        <v>1</v>
      </c>
    </row>
    <row r="11" spans="1:29" ht="15" customHeight="1" thickBot="1" x14ac:dyDescent="0.3">
      <c r="A11" s="36"/>
      <c r="B11" s="36"/>
      <c r="C11" s="36"/>
      <c r="D11" s="36"/>
      <c r="E11" s="36"/>
      <c r="F11" s="36"/>
      <c r="G11" s="36"/>
      <c r="H11" s="36"/>
      <c r="I11" s="36"/>
      <c r="J11" s="36"/>
      <c r="K11" s="36"/>
      <c r="Z11" s="22" t="s">
        <v>36</v>
      </c>
      <c r="AA11" s="22">
        <v>11</v>
      </c>
      <c r="AB11" s="22">
        <f>IF(L9="January",1,IF(L9="February",1,IF(L9="March",1,IF(L9="April",1,IF(L9="May",1,IF(L9="June",1,IF(L9="July",1,IF(L9="August",1,IF(L9="September",1,IF(L9="October",1,IF(L9="November",1,IF(L9="December",1,0))))))))))))</f>
        <v>1</v>
      </c>
    </row>
    <row r="12" spans="1:29" ht="15.75" customHeight="1" thickBot="1" x14ac:dyDescent="0.35">
      <c r="A12" s="62"/>
      <c r="B12" s="1"/>
      <c r="C12" s="1"/>
      <c r="D12" s="1"/>
      <c r="E12" s="87" t="s">
        <v>11</v>
      </c>
      <c r="F12" s="66" t="s">
        <v>19</v>
      </c>
      <c r="G12" s="1"/>
      <c r="H12" s="88" t="s">
        <v>46</v>
      </c>
      <c r="I12" s="1"/>
      <c r="J12" s="1"/>
      <c r="K12" s="1"/>
      <c r="L12" s="280" t="s">
        <v>208</v>
      </c>
      <c r="M12" s="281"/>
      <c r="N12" s="281"/>
      <c r="O12" s="281"/>
      <c r="P12" s="281"/>
      <c r="Q12" s="282"/>
      <c r="Z12" s="22" t="s">
        <v>37</v>
      </c>
      <c r="AA12" s="22">
        <v>12</v>
      </c>
      <c r="AB12" s="22">
        <f>IF(L9="January",1,IF(L9="February",1,IF(L9="March",1,IF(L9="April",1,IF(L9="May",1,IF(L9="June",1,IF(L9="July",1,IF(L9="August",1,IF(L9="September",1,IF(L9="October",1,IF(L9="November",1,IF(L9="December",1,0))))))))))))</f>
        <v>1</v>
      </c>
    </row>
    <row r="13" spans="1:29" ht="16.2" x14ac:dyDescent="0.35">
      <c r="A13" s="89" t="s">
        <v>111</v>
      </c>
      <c r="B13" s="1"/>
      <c r="C13" s="1"/>
      <c r="D13" s="1"/>
      <c r="E13" s="90">
        <v>9</v>
      </c>
      <c r="F13" s="91">
        <v>22</v>
      </c>
      <c r="G13" s="1"/>
      <c r="H13" s="92">
        <f>E13+(F13/60)</f>
        <v>9.3666666666666671</v>
      </c>
      <c r="I13" s="1"/>
      <c r="J13" s="1"/>
      <c r="K13" s="1"/>
      <c r="L13" s="71" t="s">
        <v>38</v>
      </c>
      <c r="M13" s="72" t="s">
        <v>39</v>
      </c>
      <c r="N13" s="73" t="s">
        <v>38</v>
      </c>
      <c r="O13" s="72" t="s">
        <v>40</v>
      </c>
      <c r="P13" s="74" t="s">
        <v>38</v>
      </c>
      <c r="Q13" s="75" t="s">
        <v>40</v>
      </c>
      <c r="AA13" s="22">
        <v>13</v>
      </c>
      <c r="AB13" s="22">
        <f>IF(L9="January",1,IF(L9="February",1,IF(L9="March",1,IF(L9="April",1,IF(L9="May",1,IF(L9="June",1,IF(L9="July",1,IF(L9="August",1,IF(L9="September",1,IF(L9="October",1,IF(L9="November",1,IF(L9="December",1,0))))))))))))</f>
        <v>1</v>
      </c>
    </row>
    <row r="14" spans="1:29" ht="15.6" x14ac:dyDescent="0.3">
      <c r="A14" s="89" t="s">
        <v>221</v>
      </c>
      <c r="B14" s="1"/>
      <c r="C14" s="1"/>
      <c r="D14" s="1"/>
      <c r="E14" s="93" t="s">
        <v>21</v>
      </c>
      <c r="F14" s="311" t="str">
        <f>IF(AND(E14="Y",(OR(L9="April",L9="May",L9="June",L9="July",L9="August",L9="September",L9="October",AND(L9="November",N9&lt;=7),AND(L9="March",N9&gt;=8)))),"",IF(AND(E14="N",(OR(L9="December",L9="January",L9="February",AND(L9="November",N9&gt;=1),AND(L9="March",N9&lt;=14)))),"","Warning: Check the Daylight Savings Time"))</f>
        <v/>
      </c>
      <c r="G14" s="312"/>
      <c r="H14" s="312"/>
      <c r="I14" s="312"/>
      <c r="J14" s="312"/>
      <c r="K14" s="313"/>
      <c r="L14" s="76" t="s">
        <v>27</v>
      </c>
      <c r="M14" s="77">
        <v>1</v>
      </c>
      <c r="N14" s="78" t="s">
        <v>31</v>
      </c>
      <c r="O14" s="77">
        <v>121</v>
      </c>
      <c r="P14" s="64" t="s">
        <v>34</v>
      </c>
      <c r="Q14" s="79">
        <v>244</v>
      </c>
      <c r="AA14" s="22">
        <v>14</v>
      </c>
      <c r="AB14" s="22">
        <f>IF(L9="January",1,IF(L9="February",1,IF(L9="March",1,IF(L9="April",1,IF(L9="May",1,IF(L9="June",1,IF(L9="July",1,IF(L9="August",1,IF(L9="September",1,IF(L9="October",1,IF(L9="November",1,IF(L9="December",1,0))))))))))))</f>
        <v>1</v>
      </c>
    </row>
    <row r="15" spans="1:29" ht="15.6" x14ac:dyDescent="0.3">
      <c r="A15" s="89" t="s">
        <v>14</v>
      </c>
      <c r="B15" s="1"/>
      <c r="C15" s="1"/>
      <c r="D15" s="1"/>
      <c r="E15" s="90" t="s">
        <v>15</v>
      </c>
      <c r="F15" s="276" t="str">
        <f>IF(AND(E15="Eastern",AND(P5&gt;=70,P5&lt;=85)),"",IF(AND(E15="Central",AND(P5&gt;=85,P5&lt;=100)),"",IF(AND(E15="Mountain",AND(P5&gt;=100,P5&lt;=115)),"",IF(AND(E15="Pacific",AND(P5&gt;=115,P5&lt;=125)),"","Warning: Check the Time Zone"))))</f>
        <v/>
      </c>
      <c r="G15" s="277"/>
      <c r="H15" s="277"/>
      <c r="I15" s="277"/>
      <c r="J15" s="1"/>
      <c r="K15" s="1"/>
      <c r="L15" s="76" t="s">
        <v>28</v>
      </c>
      <c r="M15" s="77">
        <v>32</v>
      </c>
      <c r="N15" s="78" t="s">
        <v>43</v>
      </c>
      <c r="O15" s="77">
        <v>152</v>
      </c>
      <c r="P15" s="64" t="s">
        <v>35</v>
      </c>
      <c r="Q15" s="79">
        <v>274</v>
      </c>
      <c r="R15" s="213"/>
      <c r="AA15" s="22">
        <v>15</v>
      </c>
      <c r="AB15" s="22">
        <f>IF(L9="January",1,IF(L9="February",1,IF(L9="March",1,IF(L9="April",1,IF(L9="May",1,IF(L9="June",1,IF(L9="July",1,IF(L9="August",1,IF(L9="September",1,IF(L9="October",1,IF(L9="November",1,IF(L9="December",1,0))))))))))))</f>
        <v>1</v>
      </c>
    </row>
    <row r="16" spans="1:29" ht="15.6" x14ac:dyDescent="0.3">
      <c r="A16" s="1"/>
      <c r="B16" s="1"/>
      <c r="C16" s="1"/>
      <c r="D16" s="1"/>
      <c r="E16" s="1"/>
      <c r="F16" s="1"/>
      <c r="G16" s="1"/>
      <c r="H16" s="1"/>
      <c r="I16" s="1"/>
      <c r="J16" s="1"/>
      <c r="K16" s="1"/>
      <c r="L16" s="76" t="s">
        <v>29</v>
      </c>
      <c r="M16" s="77">
        <v>60</v>
      </c>
      <c r="N16" s="78" t="s">
        <v>32</v>
      </c>
      <c r="O16" s="77">
        <v>182</v>
      </c>
      <c r="P16" s="64" t="s">
        <v>36</v>
      </c>
      <c r="Q16" s="80">
        <v>305</v>
      </c>
      <c r="R16" s="213"/>
      <c r="AA16" s="22">
        <v>16</v>
      </c>
      <c r="AB16" s="22">
        <f>IF(L9="January",1,IF(L9="February",1,IF(L9="March",1,IF(L9="April",1,IF(L9="May",1,IF(L9="June",1,IF(L9="July",1,IF(L9="August",1,IF(L9="September",1,IF(L9="October",1,IF(L9="November",1,IF(L9="December",1,0))))))))))))</f>
        <v>1</v>
      </c>
    </row>
    <row r="17" spans="1:28" ht="16.2" thickBot="1" x14ac:dyDescent="0.35">
      <c r="A17" s="1"/>
      <c r="B17" s="1"/>
      <c r="C17" s="1"/>
      <c r="D17" s="275" t="s">
        <v>48</v>
      </c>
      <c r="E17" s="275"/>
      <c r="F17" s="275"/>
      <c r="G17" s="1"/>
      <c r="H17" s="1"/>
      <c r="I17" s="1"/>
      <c r="J17" s="1"/>
      <c r="K17" s="1"/>
      <c r="L17" s="81" t="s">
        <v>30</v>
      </c>
      <c r="M17" s="82">
        <v>91</v>
      </c>
      <c r="N17" s="83" t="s">
        <v>33</v>
      </c>
      <c r="O17" s="82">
        <v>213</v>
      </c>
      <c r="P17" s="84" t="s">
        <v>37</v>
      </c>
      <c r="Q17" s="85">
        <v>335</v>
      </c>
      <c r="R17" s="213"/>
      <c r="AA17" s="22">
        <v>17</v>
      </c>
      <c r="AB17" s="22">
        <f>IF(L9="January",1,IF(L9="February",1,IF(L9="March",1,IF(L9="April",1,IF(L9="May",1,IF(L9="June",1,IF(L9="July",1,IF(L9="August",1,IF(L9="September",1,IF(L9="October",1,IF(L9="November",1,IF(L9="December",1,0))))))))))))</f>
        <v>1</v>
      </c>
    </row>
    <row r="18" spans="1:28" ht="16.2" thickBot="1" x14ac:dyDescent="0.35">
      <c r="A18" s="1" t="s">
        <v>112</v>
      </c>
      <c r="B18" s="1"/>
      <c r="C18" s="1"/>
      <c r="D18" s="1"/>
      <c r="E18" s="94">
        <f>(360/364*(P9-81))</f>
        <v>-34.615384615384613</v>
      </c>
      <c r="F18" s="1" t="s">
        <v>0</v>
      </c>
      <c r="G18" s="1"/>
      <c r="H18" s="1"/>
      <c r="I18" s="1"/>
      <c r="J18" s="1"/>
      <c r="K18" s="1"/>
      <c r="L18" s="1"/>
      <c r="M18" s="1"/>
      <c r="N18" s="1"/>
      <c r="O18" s="1"/>
      <c r="P18" s="1"/>
      <c r="Q18" s="1"/>
      <c r="AA18" s="22">
        <v>18</v>
      </c>
      <c r="AB18" s="22">
        <f>IF(L9="January",1,IF(L9="February",1,IF(L9="March",1,IF(L9="April",1,IF(L9="May",1,IF(L9="June",1,IF(L9="July",1,IF(L9="August",1,IF(L9="September",1,IF(L9="October",1,IF(L9="November",1,IF(L9="December",1,0))))))))))))</f>
        <v>1</v>
      </c>
    </row>
    <row r="19" spans="1:28" ht="16.2" thickBot="1" x14ac:dyDescent="0.35">
      <c r="A19" s="1" t="s">
        <v>113</v>
      </c>
      <c r="B19" s="1"/>
      <c r="C19" s="1"/>
      <c r="D19" s="1"/>
      <c r="E19" s="94">
        <f>(9.87*SIN(RADIANS(2*E18)))-(7.53*COS(RADIANS(E18)))-(1.5*SIN(RADIANS(E18)))</f>
        <v>-14.573581705387543</v>
      </c>
      <c r="F19" s="1" t="s">
        <v>12</v>
      </c>
      <c r="G19" s="1"/>
      <c r="H19" s="1"/>
      <c r="I19" s="1"/>
      <c r="J19" s="1"/>
      <c r="K19" s="1"/>
      <c r="L19" s="1"/>
      <c r="M19" s="1"/>
      <c r="N19" s="280" t="s">
        <v>52</v>
      </c>
      <c r="O19" s="281"/>
      <c r="P19" s="281"/>
      <c r="Q19" s="282"/>
      <c r="AA19" s="22">
        <v>19</v>
      </c>
      <c r="AB19" s="22">
        <f>IF(L9="January",1,IF(L9="February",1,IF(L9="March",1,IF(L9="April",1,IF(L9="May",1,IF(L9="June",1,IF(L9="July",1,IF(L9="August",1,IF(L9="September",1,IF(L9="October",1,IF(L9="November",1,IF(L9="December",1,0))))))))))))</f>
        <v>1</v>
      </c>
    </row>
    <row r="20" spans="1:28" ht="15" customHeight="1" x14ac:dyDescent="0.3">
      <c r="A20" s="95" t="s">
        <v>47</v>
      </c>
      <c r="B20" s="95"/>
      <c r="C20" s="95"/>
      <c r="D20" s="96"/>
      <c r="E20" s="97">
        <f>IF(E15="Eastern",75,IF(E15="Central",90,IF(E15="Mountain",105,IF(E15="Pacific",120,"error"))))</f>
        <v>75</v>
      </c>
      <c r="F20" s="1" t="s">
        <v>0</v>
      </c>
      <c r="G20" s="98"/>
      <c r="H20" s="1"/>
      <c r="I20" s="1"/>
      <c r="J20" s="1"/>
      <c r="K20" s="1"/>
      <c r="L20" s="1"/>
      <c r="M20" s="1"/>
      <c r="N20" s="61" t="s">
        <v>15</v>
      </c>
      <c r="O20" s="64">
        <v>75</v>
      </c>
      <c r="P20" s="62" t="s">
        <v>53</v>
      </c>
      <c r="Q20" s="59"/>
      <c r="AA20" s="22">
        <v>20</v>
      </c>
      <c r="AB20" s="22">
        <f>IF(L9="January",1,IF(L9="February",1,IF(L9="March",1,IF(L9="April",1,IF(L9="May",1,IF(L9="June",1,IF(L9="July",1,IF(L9="August",1,IF(L9="September",1,IF(L9="October",1,IF(L9="November",1,IF(L9="December",1,0))))))))))))</f>
        <v>1</v>
      </c>
    </row>
    <row r="21" spans="1:28" ht="15.6" x14ac:dyDescent="0.3">
      <c r="A21" s="99" t="s">
        <v>210</v>
      </c>
      <c r="B21" s="1"/>
      <c r="C21" s="100"/>
      <c r="D21" s="1"/>
      <c r="E21" s="94">
        <f>C27-H13</f>
        <v>2.6018003617564602</v>
      </c>
      <c r="F21" s="1" t="s">
        <v>49</v>
      </c>
      <c r="G21" s="53" t="s">
        <v>22</v>
      </c>
      <c r="H21" s="101">
        <f>ABS(E21)/24</f>
        <v>0.10840834840651918</v>
      </c>
      <c r="I21" s="102" t="str">
        <f>IF(E21&lt;0,"AFTER solar noon","BEFORE solar noon")</f>
        <v>BEFORE solar noon</v>
      </c>
      <c r="J21" s="102"/>
      <c r="K21" s="103"/>
      <c r="L21" s="1"/>
      <c r="M21" s="1"/>
      <c r="N21" s="61" t="s">
        <v>16</v>
      </c>
      <c r="O21" s="64">
        <v>90</v>
      </c>
      <c r="P21" s="62" t="s">
        <v>53</v>
      </c>
      <c r="Q21" s="59"/>
      <c r="AA21" s="22">
        <v>21</v>
      </c>
      <c r="AB21" s="22">
        <f>IF(L9="January",1,IF(L9="February",1,IF(L9="March",1,IF(L9="April",1,IF(L9="May",1,IF(L9="June",1,IF(L9="July",1,IF(L9="August",1,IF(L9="September",1,IF(L9="October",1,IF(L9="November",1,IF(L9="December",1,0))))))))))))</f>
        <v>1</v>
      </c>
    </row>
    <row r="22" spans="1:28" ht="15.6" x14ac:dyDescent="0.3">
      <c r="A22" s="1"/>
      <c r="B22" s="1"/>
      <c r="C22" s="1"/>
      <c r="D22" s="1"/>
      <c r="E22" s="1"/>
      <c r="F22" s="1"/>
      <c r="G22" s="1"/>
      <c r="H22" s="1"/>
      <c r="I22" s="1"/>
      <c r="J22" s="1"/>
      <c r="K22" s="1"/>
      <c r="L22" s="1"/>
      <c r="M22" s="1"/>
      <c r="N22" s="61" t="s">
        <v>17</v>
      </c>
      <c r="O22" s="64">
        <v>105</v>
      </c>
      <c r="P22" s="62" t="s">
        <v>53</v>
      </c>
      <c r="Q22" s="59"/>
      <c r="AA22" s="22">
        <v>22</v>
      </c>
      <c r="AB22" s="22">
        <f>IF(L9="January",1,IF(L9="February",1,IF(L9="March",1,IF(L9="April",1,IF(L9="May",1,IF(L9="June",1,IF(L9="July",1,IF(L9="August",1,IF(L9="September",1,IF(L9="October",1,IF(L9="November",1,IF(L9="December",1,0))))))))))))</f>
        <v>1</v>
      </c>
    </row>
    <row r="23" spans="1:28" ht="16.2" thickBot="1" x14ac:dyDescent="0.35">
      <c r="A23" s="1"/>
      <c r="B23" s="1"/>
      <c r="C23" s="1"/>
      <c r="D23" s="275" t="s">
        <v>10</v>
      </c>
      <c r="E23" s="275"/>
      <c r="F23" s="275"/>
      <c r="G23" s="1"/>
      <c r="H23" s="1"/>
      <c r="I23" s="1"/>
      <c r="J23" s="1"/>
      <c r="K23" s="1"/>
      <c r="L23" s="1"/>
      <c r="M23" s="1"/>
      <c r="N23" s="86" t="s">
        <v>18</v>
      </c>
      <c r="O23" s="84">
        <v>120</v>
      </c>
      <c r="P23" s="69" t="s">
        <v>53</v>
      </c>
      <c r="Q23" s="70"/>
      <c r="AA23" s="22">
        <v>23</v>
      </c>
      <c r="AB23" s="22">
        <f>IF(L9="January",1,IF(L9="February",1,IF(L9="March",1,IF(L9="April",1,IF(L9="May",1,IF(L9="June",1,IF(L9="July",1,IF(L9="August",1,IF(L9="September",1,IF(L9="October",1,IF(L9="November",1,IF(L9="December",1,0))))))))))))</f>
        <v>1</v>
      </c>
    </row>
    <row r="24" spans="1:28" ht="16.2" thickBot="1" x14ac:dyDescent="0.35">
      <c r="A24" s="99"/>
      <c r="B24" s="1"/>
      <c r="C24" s="53" t="s">
        <v>50</v>
      </c>
      <c r="D24" s="1"/>
      <c r="E24" s="253" t="s">
        <v>215</v>
      </c>
      <c r="F24" s="253"/>
      <c r="G24" s="1"/>
      <c r="H24" s="315" t="s">
        <v>51</v>
      </c>
      <c r="I24" s="315"/>
      <c r="J24" s="102"/>
      <c r="K24" s="103"/>
      <c r="AA24" s="22">
        <v>24</v>
      </c>
      <c r="AB24" s="22">
        <f>IF(L9="January",1,IF(L9="February",1,IF(L9="March",1,IF(L9="April",1,IF(L9="May",1,IF(L9="June",1,IF(L9="July",1,IF(L9="August",1,IF(L9="September",1,IF(L9="October",1,IF(L9="November",1,IF(L9="December",1,0))))))))))))</f>
        <v>1</v>
      </c>
    </row>
    <row r="25" spans="1:28" ht="16.2" thickBot="1" x14ac:dyDescent="0.35">
      <c r="A25" s="88" t="s">
        <v>114</v>
      </c>
      <c r="B25" s="1"/>
      <c r="C25" s="104">
        <f>((H13*60+4*(E20-P5)+E19)/60)+IF(E14="Y",-1,0)</f>
        <v>9.3981996382435398</v>
      </c>
      <c r="D25" s="53"/>
      <c r="E25" s="271" t="str">
        <f>TEXT(C25/24, "h:mm")</f>
        <v>9:23</v>
      </c>
      <c r="F25" s="272"/>
      <c r="G25" s="100"/>
      <c r="H25" s="273">
        <f>C25/24</f>
        <v>0.39159165159348081</v>
      </c>
      <c r="I25" s="274"/>
      <c r="J25" s="1"/>
      <c r="K25" s="1"/>
      <c r="AA25" s="22">
        <v>25</v>
      </c>
      <c r="AB25" s="22">
        <f>IF(L9="January",1,IF(L9="February",1,IF(L9="March",1,IF(L9="April",1,IF(L9="May",1,IF(L9="June",1,IF(L9="July",1,IF(L9="August",1,IF(L9="September",1,IF(L9="October",1,IF(L9="November",1,IF(L9="December",1,0))))))))))))</f>
        <v>1</v>
      </c>
    </row>
    <row r="26" spans="1:28" ht="15.6" x14ac:dyDescent="0.3">
      <c r="A26" s="299" t="s">
        <v>115</v>
      </c>
      <c r="B26" s="299"/>
      <c r="C26" s="1"/>
      <c r="D26" s="1"/>
      <c r="E26" s="1"/>
      <c r="F26" s="1"/>
      <c r="G26" s="1"/>
      <c r="H26" s="1"/>
      <c r="I26" s="105"/>
      <c r="J26" s="1"/>
      <c r="K26" s="1"/>
      <c r="AA26" s="22">
        <v>26</v>
      </c>
      <c r="AB26" s="22">
        <f>IF(L9="January",1,IF(L9="February",1,IF(L9="March",1,IF(L9="April",1,IF(L9="May",1,IF(L9="June",1,IF(L9="July",1,IF(L9="August",1,IF(L9="September",1,IF(L9="October",1,IF(L9="November",1,IF(L9="December",1,0))))))))))))</f>
        <v>1</v>
      </c>
    </row>
    <row r="27" spans="1:28" ht="17.25" customHeight="1" x14ac:dyDescent="0.3">
      <c r="A27" s="299"/>
      <c r="B27" s="299"/>
      <c r="C27" s="92">
        <f>((12*60)-4*(E20-P5)-(E19))/60+IF(E14="Y",1,0)</f>
        <v>11.968467028423127</v>
      </c>
      <c r="D27" s="1"/>
      <c r="E27" s="300" t="str">
        <f>TEXT(C27/24, "h:mm")</f>
        <v>11:58</v>
      </c>
      <c r="F27" s="300"/>
      <c r="G27" s="1"/>
      <c r="H27" s="301">
        <f>C27/24</f>
        <v>0.49868612618429697</v>
      </c>
      <c r="I27" s="301"/>
      <c r="J27" s="1"/>
      <c r="K27" s="1"/>
      <c r="AA27" s="22">
        <v>27</v>
      </c>
      <c r="AB27" s="22">
        <f>IF(L9="January",1,IF(L9="February",1,IF(L9="March",1,IF(L9="April",1,IF(L9="May",1,IF(L9="June",1,IF(L9="July",1,IF(L9="August",1,IF(L9="September",1,IF(L9="October",1,IF(L9="November",1,IF(L9="December",1,0))))))))))))</f>
        <v>1</v>
      </c>
    </row>
    <row r="28" spans="1:28" ht="15.6" x14ac:dyDescent="0.3">
      <c r="A28" s="106"/>
      <c r="B28" s="107"/>
      <c r="C28" s="1"/>
      <c r="D28" s="1"/>
      <c r="E28" s="1"/>
      <c r="F28" s="1"/>
      <c r="G28" s="1"/>
      <c r="H28" s="1"/>
      <c r="I28" s="1"/>
      <c r="J28" s="1"/>
      <c r="K28" s="1"/>
      <c r="AA28" s="22">
        <v>28</v>
      </c>
      <c r="AB28" s="22">
        <f>IF(L9="January",1,IF(L9="February",1,IF(L9="March",1,IF(L9="April",1,IF(L9="May",1,IF(L9="June",1,IF(L9="July",1,IF(L9="August",1,IF(L9="September",1,IF(L9="October",1,IF(L9="November",1,IF(L9="December",1,0))))))))))))</f>
        <v>1</v>
      </c>
    </row>
    <row r="29" spans="1:28" ht="16.2" thickBot="1" x14ac:dyDescent="0.35">
      <c r="A29" s="106"/>
      <c r="B29" s="107"/>
      <c r="C29" s="108"/>
      <c r="D29" s="109"/>
      <c r="E29" s="110"/>
      <c r="F29" s="110"/>
      <c r="G29" s="111"/>
      <c r="H29" s="112"/>
      <c r="I29" s="112"/>
      <c r="J29" s="1"/>
      <c r="K29" s="1"/>
      <c r="AA29" s="22">
        <v>29</v>
      </c>
      <c r="AB29" s="22">
        <f>IF(L9="January",1,IF(L9="March",1,IF(L9="April",1,IF(L9="May",1,IF(L9="June",1,IF(L9="July",1,IF(L9="August",1,IF(L9="September",1,IF(L9="October",1,IF(L9="November",1,IF(L9="December",1,0)))))))))))</f>
        <v>0</v>
      </c>
    </row>
    <row r="30" spans="1:28" ht="15" customHeight="1" x14ac:dyDescent="0.25">
      <c r="A30" s="287" t="s">
        <v>222</v>
      </c>
      <c r="B30" s="288"/>
      <c r="C30" s="288"/>
      <c r="D30" s="288"/>
      <c r="E30" s="288"/>
      <c r="F30" s="288"/>
      <c r="G30" s="288"/>
      <c r="H30" s="288"/>
      <c r="I30" s="288"/>
      <c r="J30" s="288"/>
      <c r="K30" s="289"/>
      <c r="L30" s="35"/>
      <c r="AA30" s="22">
        <v>30</v>
      </c>
      <c r="AB30" s="22">
        <f>IF(L9="January",1,IF(L9="March",1,IF(L9="April",1,IF(L9="May",1,IF(L9="June",1,IF(L9="July",1,IF(L9="August",1,IF(L9="September",1,IF(L9="October",1,IF(L9="November",1,IF(L9="December",1,0)))))))))))</f>
        <v>0</v>
      </c>
    </row>
    <row r="31" spans="1:28" ht="15.75" customHeight="1" x14ac:dyDescent="0.25">
      <c r="A31" s="290"/>
      <c r="B31" s="291"/>
      <c r="C31" s="291"/>
      <c r="D31" s="291"/>
      <c r="E31" s="291"/>
      <c r="F31" s="291"/>
      <c r="G31" s="291"/>
      <c r="H31" s="291"/>
      <c r="I31" s="291"/>
      <c r="J31" s="291"/>
      <c r="K31" s="292"/>
      <c r="L31" s="32"/>
      <c r="M31" s="33"/>
      <c r="N31" s="32"/>
      <c r="O31" s="31"/>
      <c r="AA31" s="22">
        <v>31</v>
      </c>
      <c r="AB31" s="22">
        <f>IF(L9="January",1,IF(L9="March",1,IF(L9="May",1,IF(L9="July",1,IF(L9="August",1,IF(L9="October",1,IF(L9="December",1,0)))))))</f>
        <v>0</v>
      </c>
    </row>
    <row r="32" spans="1:28" ht="14.4" thickBot="1" x14ac:dyDescent="0.3">
      <c r="A32" s="293"/>
      <c r="B32" s="294"/>
      <c r="C32" s="294"/>
      <c r="D32" s="294"/>
      <c r="E32" s="294"/>
      <c r="F32" s="294"/>
      <c r="G32" s="294"/>
      <c r="H32" s="294"/>
      <c r="I32" s="294"/>
      <c r="J32" s="294"/>
      <c r="K32" s="295"/>
      <c r="L32" s="32"/>
      <c r="AA32" s="22" t="s">
        <v>44</v>
      </c>
      <c r="AB32" s="22">
        <f>COUNTIF(AB1:AB31,"=1")</f>
        <v>28</v>
      </c>
    </row>
    <row r="33" spans="1:11" ht="15.6" x14ac:dyDescent="0.3">
      <c r="A33" s="1"/>
      <c r="B33" s="1"/>
      <c r="C33" s="1"/>
      <c r="D33" s="1"/>
      <c r="E33" s="1"/>
      <c r="F33" s="1"/>
      <c r="G33" s="1"/>
      <c r="H33" s="1"/>
      <c r="I33" s="1"/>
      <c r="J33" s="1"/>
      <c r="K33" s="1"/>
    </row>
    <row r="34" spans="1:11" ht="15.6" x14ac:dyDescent="0.3">
      <c r="A34" s="1"/>
      <c r="B34" s="1"/>
      <c r="C34" s="113" t="s">
        <v>11</v>
      </c>
      <c r="D34" s="113" t="s">
        <v>19</v>
      </c>
      <c r="E34" s="1"/>
      <c r="F34" s="113" t="s">
        <v>46</v>
      </c>
      <c r="G34" s="1"/>
      <c r="H34" s="176" t="s">
        <v>51</v>
      </c>
      <c r="I34" s="1"/>
      <c r="J34" s="1"/>
      <c r="K34" s="1"/>
    </row>
    <row r="35" spans="1:11" ht="16.2" thickBot="1" x14ac:dyDescent="0.35">
      <c r="A35" s="88" t="s">
        <v>54</v>
      </c>
      <c r="B35" s="1"/>
      <c r="C35" s="114">
        <v>15</v>
      </c>
      <c r="D35" s="115">
        <v>19</v>
      </c>
      <c r="E35" s="1"/>
      <c r="F35" s="116">
        <f>C35+D35/60</f>
        <v>15.316666666666666</v>
      </c>
      <c r="G35" s="1"/>
      <c r="H35" s="283">
        <f>F35/24</f>
        <v>0.6381944444444444</v>
      </c>
      <c r="I35" s="284"/>
      <c r="J35" s="1"/>
      <c r="K35" s="1"/>
    </row>
    <row r="36" spans="1:11" ht="16.2" thickBot="1" x14ac:dyDescent="0.35">
      <c r="A36" s="88" t="s">
        <v>13</v>
      </c>
      <c r="B36" s="1"/>
      <c r="C36" s="117">
        <f>INT(F36)</f>
        <v>15</v>
      </c>
      <c r="D36" s="118">
        <f>ROUNDDOWN((F36-C36)*60,0)</f>
        <v>17</v>
      </c>
      <c r="E36" s="1"/>
      <c r="F36" s="104">
        <f>((F35*60)-4*(E20-P5)-(E19))/60+IF(E14="Y",1,0)</f>
        <v>15.285133695089794</v>
      </c>
      <c r="G36" s="1"/>
      <c r="H36" s="285">
        <f>F36/24</f>
        <v>0.63688057062874137</v>
      </c>
      <c r="I36" s="286"/>
      <c r="J36" s="1"/>
      <c r="K36" s="1"/>
    </row>
    <row r="37" spans="1:11" ht="15.6" x14ac:dyDescent="0.3">
      <c r="A37" s="1"/>
      <c r="B37" s="1"/>
      <c r="C37" s="1"/>
      <c r="D37" s="1"/>
      <c r="E37" s="1"/>
      <c r="F37" s="1"/>
      <c r="G37" s="1"/>
      <c r="H37" s="1"/>
      <c r="I37" s="1"/>
      <c r="J37" s="1"/>
      <c r="K37" s="1"/>
    </row>
  </sheetData>
  <mergeCells count="24">
    <mergeCell ref="H35:I35"/>
    <mergeCell ref="H36:I36"/>
    <mergeCell ref="A30:K32"/>
    <mergeCell ref="L5:O5"/>
    <mergeCell ref="L7:Q7"/>
    <mergeCell ref="A26:B27"/>
    <mergeCell ref="E27:F27"/>
    <mergeCell ref="H27:I27"/>
    <mergeCell ref="A8:K10"/>
    <mergeCell ref="A6:K7"/>
    <mergeCell ref="A3:K5"/>
    <mergeCell ref="F14:K14"/>
    <mergeCell ref="L10:O10"/>
    <mergeCell ref="H24:I24"/>
    <mergeCell ref="A1:Q2"/>
    <mergeCell ref="E24:F24"/>
    <mergeCell ref="E25:F25"/>
    <mergeCell ref="H25:I25"/>
    <mergeCell ref="D23:F23"/>
    <mergeCell ref="F15:I15"/>
    <mergeCell ref="D17:F17"/>
    <mergeCell ref="L4:O4"/>
    <mergeCell ref="L12:Q12"/>
    <mergeCell ref="N19:Q19"/>
  </mergeCells>
  <conditionalFormatting sqref="F15">
    <cfRule type="notContainsBlanks" dxfId="4" priority="5">
      <formula>LEN(TRIM(F15))&gt;0</formula>
    </cfRule>
  </conditionalFormatting>
  <conditionalFormatting sqref="F14:K14">
    <cfRule type="notContainsBlanks" dxfId="3" priority="2">
      <formula>LEN(TRIM(F14))&gt;0</formula>
    </cfRule>
  </conditionalFormatting>
  <conditionalFormatting sqref="L10">
    <cfRule type="notContainsBlanks" dxfId="2" priority="1">
      <formula>LEN(TRIM(L10))&gt;0</formula>
    </cfRule>
  </conditionalFormatting>
  <dataValidations count="9">
    <dataValidation type="whole" allowBlank="1" showInputMessage="1" showErrorMessage="1" errorTitle="Invalid Entry" error="Time must be between 0-23." promptTitle="Hours in Military time." prompt="Enter an integer value between 0-23" sqref="E13">
      <formula1>0</formula1>
      <formula2>23</formula2>
    </dataValidation>
    <dataValidation type="whole" allowBlank="1" showInputMessage="1" showErrorMessage="1" errorTitle="Minutes" error="Values are from 0-59 minutes." promptTitle="Minutes" prompt="Enter the minutes after the hour from 0 to 59." sqref="F13">
      <formula1>0</formula1>
      <formula2>59</formula2>
    </dataValidation>
    <dataValidation type="whole" allowBlank="1" showInputMessage="1" showErrorMessage="1" error="Value must be an integer between 1 and 365" promptTitle="Julian Day " prompt="Enter a value from 1 to 365 representing the Julian day of the year." sqref="P9">
      <formula1>1</formula1>
      <formula2>365</formula2>
    </dataValidation>
    <dataValidation type="list" allowBlank="1" showInputMessage="1" showErrorMessage="1" errorTitle="DST" error="Only a Y or an N is valid - use the drop-down list menu." promptTitle="Daylight Savings Time (Y or N)?" sqref="E14">
      <formula1>$AC$1:$AC$2</formula1>
    </dataValidation>
    <dataValidation type="list" allowBlank="1" showInputMessage="1" showErrorMessage="1" errorTitle="Invalid Entry" error="Use the drop down menu to enter the Time Zone value." sqref="E15">
      <formula1>$N$20:$N$23</formula1>
    </dataValidation>
    <dataValidation type="list" allowBlank="1" showInputMessage="1" showErrorMessage="1" errorTitle="Invalid Entry" error="Use the drop down menu if needed." sqref="L9">
      <formula1>$Z$1:$Z$12</formula1>
    </dataValidation>
    <dataValidation type="list" allowBlank="1" showInputMessage="1" showErrorMessage="1" errorTitle="Invalid Entry" error="Depending of the month specified, this entry can vary between 0 and 31. Use drop down menu if needed." sqref="N9">
      <formula1>OFFSET(AA1,0,0,AB32,1)</formula1>
    </dataValidation>
    <dataValidation type="whole" allowBlank="1" showInputMessage="1" showErrorMessage="1" errorTitle="Invalid Entry" error="Values must be between 0-23." sqref="C35">
      <formula1>0</formula1>
      <formula2>23</formula2>
    </dataValidation>
    <dataValidation type="whole" allowBlank="1" showInputMessage="1" showErrorMessage="1" errorTitle="Invalid Entry" error="Values must be between 0-59." sqref="D35">
      <formula1>0</formula1>
      <formula2>59</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59999389629810485"/>
  </sheetPr>
  <dimension ref="A1:T44"/>
  <sheetViews>
    <sheetView workbookViewId="0">
      <selection activeCell="F13" sqref="F13"/>
    </sheetView>
  </sheetViews>
  <sheetFormatPr defaultColWidth="9.109375" defaultRowHeight="13.8" x14ac:dyDescent="0.25"/>
  <cols>
    <col min="1" max="1" width="8.77734375" style="22" customWidth="1"/>
    <col min="2" max="2" width="7.77734375" style="22" customWidth="1"/>
    <col min="3" max="3" width="8.44140625" style="22" customWidth="1"/>
    <col min="4" max="4" width="16" style="22" customWidth="1"/>
    <col min="5" max="5" width="5.33203125" style="22" customWidth="1"/>
    <col min="6" max="6" width="8.109375" style="22" customWidth="1"/>
    <col min="7" max="7" width="12.6640625" style="22" bestFit="1" customWidth="1"/>
    <col min="8" max="8" width="7.33203125" style="22" customWidth="1"/>
    <col min="9" max="9" width="10.33203125" style="22" customWidth="1"/>
    <col min="10" max="10" width="8.109375" style="22" customWidth="1"/>
    <col min="11" max="11" width="7.77734375" style="22" customWidth="1"/>
    <col min="12" max="12" width="9.6640625" style="22" customWidth="1"/>
    <col min="13" max="17" width="9.109375" style="22"/>
    <col min="18" max="20" width="0" style="22" hidden="1" customWidth="1"/>
    <col min="21" max="16384" width="9.109375" style="22"/>
  </cols>
  <sheetData>
    <row r="1" spans="1:20" ht="15.75" customHeight="1" x14ac:dyDescent="0.25">
      <c r="A1" s="265" t="s">
        <v>23</v>
      </c>
      <c r="B1" s="266"/>
      <c r="C1" s="266"/>
      <c r="D1" s="266"/>
      <c r="E1" s="266"/>
      <c r="F1" s="266"/>
      <c r="G1" s="266"/>
      <c r="H1" s="266"/>
      <c r="I1" s="266"/>
      <c r="J1" s="266"/>
      <c r="K1" s="266"/>
      <c r="L1" s="267"/>
      <c r="R1" s="22" t="s">
        <v>60</v>
      </c>
      <c r="S1" s="25">
        <f>DEGREES(ASIN(COS(RADIANS(F10))*SIN(RADIANS(F17))/COS(RADIANS(F18))))</f>
        <v>41.982247743695133</v>
      </c>
      <c r="T1" s="22" t="s">
        <v>79</v>
      </c>
    </row>
    <row r="2" spans="1:20" ht="16.5" customHeight="1" thickBot="1" x14ac:dyDescent="0.3">
      <c r="A2" s="268"/>
      <c r="B2" s="269"/>
      <c r="C2" s="269"/>
      <c r="D2" s="269"/>
      <c r="E2" s="269"/>
      <c r="F2" s="269"/>
      <c r="G2" s="269"/>
      <c r="H2" s="269"/>
      <c r="I2" s="318"/>
      <c r="J2" s="318"/>
      <c r="K2" s="318"/>
      <c r="L2" s="319"/>
      <c r="R2" s="22" t="s">
        <v>61</v>
      </c>
      <c r="S2" s="25">
        <f>180-S1</f>
        <v>138.01775225630487</v>
      </c>
      <c r="T2" s="22" t="s">
        <v>77</v>
      </c>
    </row>
    <row r="3" spans="1:20" ht="15" customHeight="1" x14ac:dyDescent="0.3">
      <c r="A3" s="327" t="s">
        <v>223</v>
      </c>
      <c r="B3" s="328"/>
      <c r="C3" s="328"/>
      <c r="D3" s="328"/>
      <c r="E3" s="328"/>
      <c r="F3" s="328"/>
      <c r="G3" s="328"/>
      <c r="H3" s="329"/>
      <c r="I3" s="320" t="s">
        <v>55</v>
      </c>
      <c r="J3" s="321"/>
      <c r="K3" s="321"/>
      <c r="L3" s="119">
        <f>Time!P4</f>
        <v>42.611719999999998</v>
      </c>
      <c r="R3" s="22" t="s">
        <v>62</v>
      </c>
      <c r="S3" s="25">
        <f>180-S1-360</f>
        <v>-221.98224774369513</v>
      </c>
      <c r="T3" s="22" t="s">
        <v>78</v>
      </c>
    </row>
    <row r="4" spans="1:20" ht="15.75" customHeight="1" x14ac:dyDescent="0.3">
      <c r="A4" s="330"/>
      <c r="B4" s="331"/>
      <c r="C4" s="331"/>
      <c r="D4" s="331"/>
      <c r="E4" s="331"/>
      <c r="F4" s="331"/>
      <c r="G4" s="331"/>
      <c r="H4" s="332"/>
      <c r="I4" s="322" t="s">
        <v>74</v>
      </c>
      <c r="J4" s="323"/>
      <c r="K4" s="323"/>
      <c r="L4" s="120">
        <f>Time!P5</f>
        <v>70.883610000000004</v>
      </c>
      <c r="S4" s="37">
        <f>IF(COS(RADIANS(F17))&gt;=((TAN(RADIANS(F10)))/(TAN(RADIANS(Time!P4)))),(DEGREES(ASIN(COS(RADIANS(F10))*SIN(RADIANS(F17))/COS(RADIANS(F18))))),IF(Time!H13&lt;12,(180-DEGREES(ASIN(COS(RADIANS(F10))*SIN(RADIANS(F17))/COS(RADIANS(F18))))),(180-DEGREES(ASIN(COS(RADIANS(F10))*SIN(RADIANS(F17))/COS(RADIANS(F18))))-360)))</f>
        <v>41.982247743695133</v>
      </c>
    </row>
    <row r="5" spans="1:20" ht="15.6" x14ac:dyDescent="0.3">
      <c r="A5" s="330"/>
      <c r="B5" s="331"/>
      <c r="C5" s="331"/>
      <c r="D5" s="331"/>
      <c r="E5" s="331"/>
      <c r="F5" s="331"/>
      <c r="G5" s="331"/>
      <c r="H5" s="332"/>
      <c r="I5" s="322" t="s">
        <v>42</v>
      </c>
      <c r="J5" s="323"/>
      <c r="K5" s="323"/>
      <c r="L5" s="120">
        <f>Time!P9</f>
        <v>46</v>
      </c>
    </row>
    <row r="6" spans="1:20" ht="15.6" x14ac:dyDescent="0.3">
      <c r="A6" s="330"/>
      <c r="B6" s="331"/>
      <c r="C6" s="331"/>
      <c r="D6" s="331"/>
      <c r="E6" s="331"/>
      <c r="F6" s="331"/>
      <c r="G6" s="331"/>
      <c r="H6" s="332"/>
      <c r="I6" s="322" t="s">
        <v>76</v>
      </c>
      <c r="J6" s="323"/>
      <c r="K6" s="323"/>
      <c r="L6" s="121">
        <f>Time!H13</f>
        <v>9.3666666666666671</v>
      </c>
    </row>
    <row r="7" spans="1:20" ht="16.2" thickBot="1" x14ac:dyDescent="0.35">
      <c r="A7" s="333"/>
      <c r="B7" s="334"/>
      <c r="C7" s="334"/>
      <c r="D7" s="334"/>
      <c r="E7" s="334"/>
      <c r="F7" s="334"/>
      <c r="G7" s="334"/>
      <c r="H7" s="335"/>
      <c r="I7" s="324" t="s">
        <v>75</v>
      </c>
      <c r="J7" s="325"/>
      <c r="K7" s="326"/>
      <c r="L7" s="122">
        <f>Time!C25</f>
        <v>9.3981996382435398</v>
      </c>
    </row>
    <row r="8" spans="1:20" ht="15.6" x14ac:dyDescent="0.3">
      <c r="A8" s="123"/>
      <c r="B8" s="123"/>
      <c r="C8" s="123"/>
      <c r="D8" s="123"/>
      <c r="E8" s="123"/>
      <c r="F8" s="123"/>
      <c r="G8" s="123"/>
      <c r="H8" s="123"/>
      <c r="I8" s="124"/>
      <c r="J8" s="1"/>
      <c r="K8" s="1"/>
      <c r="L8" s="1"/>
    </row>
    <row r="9" spans="1:20" ht="18" thickBot="1" x14ac:dyDescent="0.35">
      <c r="A9" s="317" t="s">
        <v>24</v>
      </c>
      <c r="B9" s="317"/>
      <c r="C9" s="317"/>
      <c r="D9" s="317"/>
      <c r="E9" s="317"/>
      <c r="F9" s="317"/>
      <c r="G9" s="317"/>
      <c r="H9" s="123"/>
      <c r="I9" s="124"/>
      <c r="J9" s="1"/>
      <c r="K9" s="1"/>
      <c r="L9" s="1"/>
    </row>
    <row r="10" spans="1:20" ht="15.6" x14ac:dyDescent="0.3">
      <c r="A10" s="316" t="s">
        <v>116</v>
      </c>
      <c r="B10" s="316"/>
      <c r="C10" s="316"/>
      <c r="D10" s="316"/>
      <c r="E10" s="1"/>
      <c r="F10" s="214">
        <f>23.45*SIN(RADIANS(360/365*(L5-81)))</f>
        <v>-13.289156185026709</v>
      </c>
      <c r="G10" s="125" t="s">
        <v>0</v>
      </c>
      <c r="H10" s="124"/>
      <c r="I10" s="124"/>
      <c r="J10" s="1"/>
      <c r="K10" s="1"/>
      <c r="L10" s="1"/>
    </row>
    <row r="11" spans="1:20" ht="15.6" x14ac:dyDescent="0.3">
      <c r="A11" s="316" t="s">
        <v>139</v>
      </c>
      <c r="B11" s="316"/>
      <c r="C11" s="316"/>
      <c r="D11" s="316"/>
      <c r="E11" s="1"/>
      <c r="F11" s="215">
        <f>(90-Time!P4+F10)</f>
        <v>34.099123814973296</v>
      </c>
      <c r="G11" s="125" t="s">
        <v>0</v>
      </c>
      <c r="H11" s="124"/>
      <c r="I11" s="124"/>
      <c r="J11" s="1"/>
      <c r="K11" s="1"/>
      <c r="L11" s="1"/>
    </row>
    <row r="12" spans="1:20" ht="15.6" x14ac:dyDescent="0.3">
      <c r="A12" s="316" t="s">
        <v>117</v>
      </c>
      <c r="B12" s="316"/>
      <c r="C12" s="316"/>
      <c r="D12" s="316"/>
      <c r="E12" s="1"/>
      <c r="F12" s="215">
        <f>90-F11</f>
        <v>55.900876185026704</v>
      </c>
      <c r="G12" s="125" t="s">
        <v>0</v>
      </c>
      <c r="H12" s="124"/>
      <c r="I12" s="124"/>
      <c r="J12" s="1"/>
      <c r="K12" s="1"/>
      <c r="L12" s="1"/>
    </row>
    <row r="13" spans="1:20" ht="16.2" thickBot="1" x14ac:dyDescent="0.35">
      <c r="A13" s="312" t="s">
        <v>118</v>
      </c>
      <c r="B13" s="312"/>
      <c r="C13" s="312"/>
      <c r="D13" s="312"/>
      <c r="E13" s="1"/>
      <c r="F13" s="216">
        <f>ABS(1/SIN(RADIANS(F11)))</f>
        <v>1.7837192863456006</v>
      </c>
      <c r="G13" s="53"/>
      <c r="H13" s="88"/>
      <c r="I13" s="1"/>
      <c r="J13" s="1"/>
      <c r="K13" s="1"/>
      <c r="L13" s="62"/>
    </row>
    <row r="14" spans="1:20" ht="15.6" x14ac:dyDescent="0.3">
      <c r="A14" s="88"/>
      <c r="B14" s="1"/>
      <c r="C14" s="1"/>
      <c r="D14" s="1"/>
      <c r="E14" s="126"/>
      <c r="F14" s="53"/>
      <c r="G14" s="127"/>
      <c r="H14" s="127"/>
      <c r="I14" s="127"/>
      <c r="J14" s="1"/>
      <c r="K14" s="1"/>
      <c r="L14" s="1"/>
    </row>
    <row r="15" spans="1:20" ht="18" thickBot="1" x14ac:dyDescent="0.35">
      <c r="A15" s="317" t="s">
        <v>108</v>
      </c>
      <c r="B15" s="317"/>
      <c r="C15" s="317"/>
      <c r="D15" s="317"/>
      <c r="E15" s="317"/>
      <c r="F15" s="317"/>
      <c r="G15" s="317"/>
      <c r="H15" s="1"/>
      <c r="I15" s="1"/>
      <c r="J15" s="1"/>
      <c r="K15" s="1"/>
      <c r="L15" s="1"/>
    </row>
    <row r="16" spans="1:20" ht="15.6" x14ac:dyDescent="0.3">
      <c r="A16" s="312" t="s">
        <v>56</v>
      </c>
      <c r="B16" s="316"/>
      <c r="C16" s="316"/>
      <c r="D16" s="316"/>
      <c r="E16" s="1"/>
      <c r="F16" s="217">
        <f>Time!E21</f>
        <v>2.6018003617564602</v>
      </c>
      <c r="G16" s="125" t="str">
        <f>IF(F16&lt;0,"Hours After","Hours Before")</f>
        <v>Hours Before</v>
      </c>
      <c r="H16" s="1"/>
      <c r="I16" s="1"/>
      <c r="J16" s="1"/>
      <c r="K16" s="1"/>
      <c r="L16" s="1"/>
    </row>
    <row r="17" spans="1:12" ht="15.6" x14ac:dyDescent="0.3">
      <c r="A17" s="316" t="s">
        <v>119</v>
      </c>
      <c r="B17" s="316"/>
      <c r="C17" s="316"/>
      <c r="D17" s="316"/>
      <c r="E17" s="1"/>
      <c r="F17" s="215">
        <f>15*F16</f>
        <v>39.027005426346904</v>
      </c>
      <c r="G17" s="125" t="s">
        <v>0</v>
      </c>
      <c r="H17" s="1"/>
      <c r="I17" s="1"/>
      <c r="J17" s="1"/>
      <c r="K17" s="1"/>
      <c r="L17" s="1"/>
    </row>
    <row r="18" spans="1:12" ht="15.6" x14ac:dyDescent="0.3">
      <c r="A18" s="316" t="s">
        <v>120</v>
      </c>
      <c r="B18" s="316"/>
      <c r="C18" s="316"/>
      <c r="D18" s="316"/>
      <c r="E18" s="1"/>
      <c r="F18" s="215">
        <f>DEGREES(ASIN(COS(RADIANS(Time!P4))*COS(RADIANS(F10))*COS(RADIANS(F17))+SIN(RADIANS(Time!P4))*SIN(RADIANS(F10))))</f>
        <v>23.62784321185223</v>
      </c>
      <c r="G18" s="125" t="s">
        <v>0</v>
      </c>
      <c r="H18" s="1"/>
      <c r="I18" s="1"/>
      <c r="J18" s="1"/>
      <c r="K18" s="1"/>
      <c r="L18" s="1"/>
    </row>
    <row r="19" spans="1:12" ht="15.6" x14ac:dyDescent="0.3">
      <c r="A19" s="316" t="s">
        <v>121</v>
      </c>
      <c r="B19" s="316"/>
      <c r="C19" s="316"/>
      <c r="D19" s="316"/>
      <c r="E19" s="1"/>
      <c r="F19" s="215">
        <f>IF(COS(RADIANS(F17))&gt;=((TAN(RADIANS(F10)))/(TAN(RADIANS(Time!P4)))),S1,IF(Time!H13&lt;12,Angles!S2,Angles!S3))</f>
        <v>41.982247743695133</v>
      </c>
      <c r="G19" s="125" t="str">
        <f>IF(F19&lt;0,"degrees West","degrees East")</f>
        <v>degrees East</v>
      </c>
      <c r="H19" s="1"/>
      <c r="I19" s="1"/>
      <c r="J19" s="1"/>
      <c r="K19" s="1"/>
      <c r="L19" s="1"/>
    </row>
    <row r="20" spans="1:12" ht="15.6" x14ac:dyDescent="0.3">
      <c r="A20" s="316" t="s">
        <v>209</v>
      </c>
      <c r="B20" s="316"/>
      <c r="C20" s="316"/>
      <c r="D20" s="316"/>
      <c r="E20" s="1"/>
      <c r="F20" s="215">
        <f>90-F18</f>
        <v>66.372156788147777</v>
      </c>
      <c r="G20" s="128" t="s">
        <v>0</v>
      </c>
      <c r="H20" s="129"/>
      <c r="I20" s="100"/>
      <c r="J20" s="1"/>
      <c r="K20" s="1"/>
      <c r="L20" s="1"/>
    </row>
    <row r="21" spans="1:12" ht="16.2" thickBot="1" x14ac:dyDescent="0.35">
      <c r="A21" s="316" t="s">
        <v>122</v>
      </c>
      <c r="B21" s="316"/>
      <c r="C21" s="316"/>
      <c r="D21" s="316"/>
      <c r="E21" s="1"/>
      <c r="F21" s="216">
        <f>ABS(1/SIN(RADIANS(F18)))</f>
        <v>2.4950454822796098</v>
      </c>
      <c r="G21" s="1"/>
      <c r="H21" s="130"/>
      <c r="I21" s="130"/>
      <c r="J21" s="1"/>
      <c r="K21" s="1"/>
      <c r="L21" s="1"/>
    </row>
    <row r="22" spans="1:12" ht="15.6" x14ac:dyDescent="0.3">
      <c r="A22" s="1"/>
      <c r="B22" s="1"/>
      <c r="C22" s="1"/>
      <c r="D22" s="1"/>
      <c r="E22" s="1"/>
      <c r="F22" s="1"/>
      <c r="G22" s="1"/>
      <c r="H22" s="129"/>
      <c r="I22" s="100"/>
      <c r="J22" s="1"/>
      <c r="K22" s="1"/>
      <c r="L22" s="1"/>
    </row>
    <row r="33" spans="1:9" x14ac:dyDescent="0.25">
      <c r="F33" s="30"/>
      <c r="G33" s="23"/>
      <c r="H33" s="23"/>
      <c r="I33" s="29"/>
    </row>
    <row r="34" spans="1:9" x14ac:dyDescent="0.25">
      <c r="A34" s="27"/>
      <c r="B34" s="29"/>
      <c r="C34" s="23"/>
      <c r="D34" s="30"/>
      <c r="E34" s="23"/>
      <c r="F34" s="29"/>
      <c r="G34" s="23"/>
    </row>
    <row r="44" spans="1:9" x14ac:dyDescent="0.25">
      <c r="A44" s="26"/>
      <c r="B44" s="23"/>
      <c r="C44" s="28"/>
      <c r="D44" s="24"/>
    </row>
  </sheetData>
  <mergeCells count="19">
    <mergeCell ref="A1:L2"/>
    <mergeCell ref="I3:K3"/>
    <mergeCell ref="I4:K4"/>
    <mergeCell ref="I5:K5"/>
    <mergeCell ref="I7:K7"/>
    <mergeCell ref="A3:H7"/>
    <mergeCell ref="I6:K6"/>
    <mergeCell ref="A21:D21"/>
    <mergeCell ref="A16:D16"/>
    <mergeCell ref="A17:D17"/>
    <mergeCell ref="A18:D18"/>
    <mergeCell ref="A19:D19"/>
    <mergeCell ref="A20:D20"/>
    <mergeCell ref="A10:D10"/>
    <mergeCell ref="A11:D11"/>
    <mergeCell ref="A12:D12"/>
    <mergeCell ref="A9:G9"/>
    <mergeCell ref="A15:G15"/>
    <mergeCell ref="A13:D13"/>
  </mergeCells>
  <dataValidations count="2">
    <dataValidation type="whole" allowBlank="1" showInputMessage="1" showErrorMessage="1" error="Must be integer between 1-365" sqref="L5">
      <formula1>1</formula1>
      <formula2>365</formula2>
    </dataValidation>
    <dataValidation type="decimal" allowBlank="1" showInputMessage="1" showErrorMessage="1" sqref="F16">
      <formula1>-12</formula1>
      <formula2>12</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59999389629810485"/>
  </sheetPr>
  <dimension ref="A1:S48"/>
  <sheetViews>
    <sheetView tabSelected="1" topLeftCell="A19" workbookViewId="0">
      <selection activeCell="M33" sqref="M33"/>
    </sheetView>
  </sheetViews>
  <sheetFormatPr defaultColWidth="9.109375" defaultRowHeight="15.75" customHeight="1" x14ac:dyDescent="0.25"/>
  <cols>
    <col min="1" max="2" width="11.44140625" style="22" customWidth="1"/>
    <col min="3" max="3" width="10" style="22" customWidth="1"/>
    <col min="4" max="4" width="9.77734375" style="22" customWidth="1"/>
    <col min="5" max="5" width="9.44140625" style="22" customWidth="1"/>
    <col min="6" max="6" width="9.77734375" style="22" customWidth="1"/>
    <col min="7" max="7" width="10.77734375" style="22" customWidth="1"/>
    <col min="8" max="8" width="13.109375" style="22" customWidth="1"/>
    <col min="9" max="9" width="10" style="22" customWidth="1"/>
    <col min="10" max="10" width="12.33203125" style="22" customWidth="1"/>
    <col min="11" max="12" width="10.6640625" style="22" customWidth="1"/>
    <col min="13" max="13" width="8.6640625" style="22" customWidth="1"/>
    <col min="14" max="14" width="1.44140625" style="22" customWidth="1"/>
    <col min="15" max="15" width="9.109375" style="22"/>
    <col min="16" max="16" width="13.33203125" style="22" customWidth="1"/>
    <col min="17" max="17" width="6.109375" style="22" bestFit="1" customWidth="1"/>
    <col min="18" max="18" width="10.77734375" style="22" bestFit="1" customWidth="1"/>
    <col min="19" max="16384" width="9.109375" style="22"/>
  </cols>
  <sheetData>
    <row r="1" spans="1:18" ht="15.75" customHeight="1" x14ac:dyDescent="0.25">
      <c r="A1" s="342" t="s">
        <v>57</v>
      </c>
      <c r="B1" s="343"/>
      <c r="C1" s="343"/>
      <c r="D1" s="343"/>
      <c r="E1" s="343"/>
      <c r="F1" s="343"/>
      <c r="G1" s="343"/>
      <c r="H1" s="343"/>
      <c r="I1" s="343"/>
      <c r="J1" s="343"/>
      <c r="K1" s="343"/>
      <c r="L1" s="343"/>
      <c r="M1" s="343"/>
      <c r="N1" s="343"/>
      <c r="O1" s="343"/>
      <c r="P1" s="343"/>
      <c r="Q1" s="344"/>
    </row>
    <row r="2" spans="1:18" ht="15.75" customHeight="1" thickBot="1" x14ac:dyDescent="0.3">
      <c r="A2" s="345"/>
      <c r="B2" s="346"/>
      <c r="C2" s="346"/>
      <c r="D2" s="346"/>
      <c r="E2" s="346"/>
      <c r="F2" s="346"/>
      <c r="G2" s="346"/>
      <c r="H2" s="346"/>
      <c r="I2" s="346"/>
      <c r="J2" s="346"/>
      <c r="K2" s="346"/>
      <c r="L2" s="346"/>
      <c r="M2" s="346"/>
      <c r="N2" s="346"/>
      <c r="O2" s="346"/>
      <c r="P2" s="346"/>
      <c r="Q2" s="347"/>
    </row>
    <row r="3" spans="1:18" ht="15.75" customHeight="1" x14ac:dyDescent="0.3">
      <c r="A3" s="352" t="s">
        <v>224</v>
      </c>
      <c r="B3" s="353"/>
      <c r="C3" s="353"/>
      <c r="D3" s="353"/>
      <c r="E3" s="353"/>
      <c r="F3" s="353"/>
      <c r="G3" s="353"/>
      <c r="H3" s="354"/>
      <c r="I3" s="322" t="s">
        <v>70</v>
      </c>
      <c r="J3" s="323"/>
      <c r="K3" s="131">
        <f>Time!H13/24</f>
        <v>0.39027777777777778</v>
      </c>
      <c r="L3" s="1"/>
      <c r="M3" s="1"/>
      <c r="N3" s="1"/>
      <c r="O3" s="348" t="s">
        <v>88</v>
      </c>
      <c r="P3" s="349"/>
      <c r="Q3" s="350"/>
    </row>
    <row r="4" spans="1:18" ht="15.75" customHeight="1" x14ac:dyDescent="0.3">
      <c r="A4" s="352"/>
      <c r="B4" s="353"/>
      <c r="C4" s="353"/>
      <c r="D4" s="353"/>
      <c r="E4" s="353"/>
      <c r="F4" s="353"/>
      <c r="G4" s="353"/>
      <c r="H4" s="354"/>
      <c r="I4" s="322" t="s">
        <v>71</v>
      </c>
      <c r="J4" s="351"/>
      <c r="K4" s="132">
        <f>Time!H25</f>
        <v>0.39159165159348081</v>
      </c>
      <c r="L4" s="1"/>
      <c r="M4" s="1"/>
      <c r="N4" s="1"/>
      <c r="O4" s="133" t="s">
        <v>89</v>
      </c>
      <c r="P4" s="134"/>
      <c r="Q4" s="135">
        <v>0.8</v>
      </c>
    </row>
    <row r="5" spans="1:18" ht="15.75" customHeight="1" thickBot="1" x14ac:dyDescent="0.35">
      <c r="A5" s="352"/>
      <c r="B5" s="353"/>
      <c r="C5" s="353"/>
      <c r="D5" s="353"/>
      <c r="E5" s="353"/>
      <c r="F5" s="353"/>
      <c r="G5" s="353"/>
      <c r="H5" s="354"/>
      <c r="I5" s="322" t="s">
        <v>93</v>
      </c>
      <c r="J5" s="323"/>
      <c r="K5" s="136" t="str">
        <f>Time!L9</f>
        <v>February</v>
      </c>
      <c r="L5" s="137">
        <f>Time!N9</f>
        <v>15</v>
      </c>
      <c r="M5" s="1"/>
      <c r="N5" s="1"/>
      <c r="O5" s="138" t="s">
        <v>225</v>
      </c>
      <c r="P5" s="139"/>
      <c r="Q5" s="140">
        <v>0.6</v>
      </c>
    </row>
    <row r="6" spans="1:18" ht="15.75" customHeight="1" x14ac:dyDescent="0.3">
      <c r="A6" s="352"/>
      <c r="B6" s="353"/>
      <c r="C6" s="353"/>
      <c r="D6" s="353"/>
      <c r="E6" s="353"/>
      <c r="F6" s="353"/>
      <c r="G6" s="353"/>
      <c r="H6" s="354"/>
      <c r="I6" s="141" t="s">
        <v>91</v>
      </c>
      <c r="J6" s="57"/>
      <c r="K6" s="57"/>
      <c r="L6" s="142">
        <v>0</v>
      </c>
      <c r="M6" s="143" t="s">
        <v>0</v>
      </c>
      <c r="N6" s="1"/>
      <c r="O6" s="138" t="s">
        <v>226</v>
      </c>
      <c r="P6" s="139"/>
      <c r="Q6" s="140">
        <v>0.4</v>
      </c>
    </row>
    <row r="7" spans="1:18" ht="15.75" customHeight="1" x14ac:dyDescent="0.3">
      <c r="A7" s="352"/>
      <c r="B7" s="353"/>
      <c r="C7" s="353"/>
      <c r="D7" s="353"/>
      <c r="E7" s="353"/>
      <c r="F7" s="353"/>
      <c r="G7" s="353"/>
      <c r="H7" s="354"/>
      <c r="I7" s="144" t="s">
        <v>206</v>
      </c>
      <c r="J7" s="62"/>
      <c r="K7" s="62"/>
      <c r="L7" s="145">
        <v>90</v>
      </c>
      <c r="M7" s="146" t="s">
        <v>0</v>
      </c>
      <c r="N7" s="1"/>
      <c r="O7" s="138" t="s">
        <v>227</v>
      </c>
      <c r="P7" s="139"/>
      <c r="Q7" s="140">
        <v>0.2</v>
      </c>
    </row>
    <row r="8" spans="1:18" ht="16.2" thickBot="1" x14ac:dyDescent="0.35">
      <c r="A8" s="355"/>
      <c r="B8" s="356"/>
      <c r="C8" s="356"/>
      <c r="D8" s="356"/>
      <c r="E8" s="356"/>
      <c r="F8" s="356"/>
      <c r="G8" s="356"/>
      <c r="H8" s="357"/>
      <c r="I8" s="147" t="s">
        <v>92</v>
      </c>
      <c r="J8" s="69"/>
      <c r="K8" s="69"/>
      <c r="L8" s="148">
        <v>0.2</v>
      </c>
      <c r="M8" s="70"/>
      <c r="N8" s="1"/>
      <c r="O8" s="86" t="s">
        <v>90</v>
      </c>
      <c r="P8" s="69"/>
      <c r="Q8" s="149">
        <v>0.1</v>
      </c>
    </row>
    <row r="9" spans="1:18" ht="15.75" customHeight="1" thickBot="1" x14ac:dyDescent="0.35">
      <c r="A9" s="1"/>
      <c r="B9" s="1"/>
      <c r="C9" s="1"/>
      <c r="D9" s="1"/>
      <c r="E9" s="1"/>
      <c r="F9" s="1"/>
      <c r="G9" s="1"/>
      <c r="H9" s="1"/>
      <c r="I9" s="1"/>
      <c r="J9" s="1"/>
      <c r="K9" s="1"/>
      <c r="L9" s="1"/>
      <c r="M9" s="1"/>
      <c r="N9" s="1"/>
      <c r="O9" s="1"/>
      <c r="P9" s="1"/>
      <c r="Q9" s="1"/>
    </row>
    <row r="10" spans="1:18" ht="15.75" customHeight="1" x14ac:dyDescent="0.3">
      <c r="A10" s="358" t="s">
        <v>123</v>
      </c>
      <c r="B10" s="358"/>
      <c r="C10" s="358"/>
      <c r="D10" s="359"/>
      <c r="E10" s="150">
        <f>1370*(1+0.034*COS(RADIANS(360*Angles!L5)/365))</f>
        <v>1402.7237297467996</v>
      </c>
      <c r="F10" s="151" t="s">
        <v>124</v>
      </c>
      <c r="G10" s="1"/>
      <c r="H10" s="1"/>
      <c r="I10" s="1"/>
      <c r="J10" s="1"/>
      <c r="K10" s="1"/>
      <c r="L10" s="1"/>
      <c r="M10" s="1"/>
      <c r="N10" s="1"/>
      <c r="O10" s="1"/>
      <c r="P10" s="1"/>
      <c r="Q10" s="1"/>
    </row>
    <row r="11" spans="1:18" ht="15.75" customHeight="1" x14ac:dyDescent="0.3">
      <c r="A11" s="312" t="s">
        <v>125</v>
      </c>
      <c r="B11" s="312"/>
      <c r="C11" s="312"/>
      <c r="D11" s="360"/>
      <c r="E11" s="152">
        <f>1160+75*SIN(RADIANS((360/365)*(Angles!L5-275)))</f>
        <v>1213.8257685256972</v>
      </c>
      <c r="F11" s="151" t="s">
        <v>124</v>
      </c>
      <c r="G11" s="1"/>
      <c r="H11" s="1"/>
      <c r="I11" s="1"/>
      <c r="J11" s="1"/>
      <c r="K11" s="1"/>
      <c r="L11" s="1"/>
      <c r="M11" s="1"/>
      <c r="N11" s="1"/>
      <c r="O11" s="1"/>
      <c r="P11" s="1"/>
      <c r="Q11" s="1"/>
    </row>
    <row r="12" spans="1:18" ht="15.75" customHeight="1" x14ac:dyDescent="0.3">
      <c r="A12" s="312" t="s">
        <v>140</v>
      </c>
      <c r="B12" s="312"/>
      <c r="C12" s="312"/>
      <c r="D12" s="360"/>
      <c r="E12" s="153">
        <f>0.174+0.035*SIN(RADIANS(360/365*(Angles!L5-100)))</f>
        <v>0.1459523619138863</v>
      </c>
      <c r="F12" s="113"/>
      <c r="G12" s="1"/>
      <c r="H12" s="1"/>
      <c r="I12" s="1"/>
      <c r="J12" s="1"/>
      <c r="K12" s="1"/>
      <c r="L12" s="1"/>
      <c r="M12" s="1"/>
      <c r="N12" s="1"/>
      <c r="O12" s="1"/>
      <c r="P12" s="1"/>
      <c r="Q12" s="1"/>
    </row>
    <row r="13" spans="1:18" ht="15.75" customHeight="1" thickBot="1" x14ac:dyDescent="0.35">
      <c r="A13" s="312" t="s">
        <v>126</v>
      </c>
      <c r="B13" s="312"/>
      <c r="C13" s="312"/>
      <c r="D13" s="360"/>
      <c r="E13" s="154">
        <f>0.095+0.04*SIN(RADIANS(360/365*(Angles!L5-100)))</f>
        <v>6.2945556473012948E-2</v>
      </c>
      <c r="F13" s="1"/>
      <c r="G13" s="1"/>
      <c r="H13" s="62"/>
      <c r="I13" s="62"/>
      <c r="J13" s="62"/>
      <c r="K13" s="1"/>
      <c r="L13" s="1"/>
      <c r="M13" s="1"/>
      <c r="N13" s="1"/>
      <c r="O13" s="1"/>
      <c r="P13" s="1"/>
      <c r="Q13" s="1"/>
    </row>
    <row r="14" spans="1:18" ht="15.75" customHeight="1" thickBot="1" x14ac:dyDescent="0.35">
      <c r="A14" s="1"/>
      <c r="B14" s="1"/>
      <c r="C14" s="1"/>
      <c r="D14" s="1"/>
      <c r="E14" s="1"/>
      <c r="F14" s="1"/>
      <c r="G14" s="1"/>
      <c r="H14" s="62"/>
      <c r="I14" s="62"/>
      <c r="J14" s="62"/>
      <c r="K14" s="1"/>
      <c r="L14" s="1"/>
      <c r="M14" s="1"/>
      <c r="N14" s="1"/>
      <c r="O14" s="1"/>
      <c r="P14" s="1"/>
      <c r="Q14" s="1"/>
    </row>
    <row r="15" spans="1:18" ht="21" thickBot="1" x14ac:dyDescent="0.35">
      <c r="A15" s="341" t="s">
        <v>168</v>
      </c>
      <c r="B15" s="341"/>
      <c r="C15" s="341"/>
      <c r="D15" s="341"/>
      <c r="E15" s="341"/>
      <c r="F15" s="341"/>
      <c r="G15" s="341"/>
      <c r="H15" s="341"/>
      <c r="I15" s="341"/>
      <c r="J15" s="365">
        <f>Time!H27</f>
        <v>0.49868612618429697</v>
      </c>
      <c r="K15" s="365"/>
      <c r="L15" s="365"/>
      <c r="M15" s="1"/>
      <c r="N15" s="1"/>
      <c r="O15" s="366" t="s">
        <v>170</v>
      </c>
      <c r="P15" s="367"/>
      <c r="Q15" s="367"/>
      <c r="R15" s="368"/>
    </row>
    <row r="16" spans="1:18" ht="15.75" customHeight="1" thickBot="1" x14ac:dyDescent="0.35">
      <c r="A16" s="336" t="s">
        <v>127</v>
      </c>
      <c r="B16" s="336"/>
      <c r="C16" s="336"/>
      <c r="D16" s="338"/>
      <c r="E16" s="155">
        <f>E11*EXP(-E12*Angles!F13)</f>
        <v>935.60595535953576</v>
      </c>
      <c r="F16" s="151" t="s">
        <v>124</v>
      </c>
      <c r="G16" s="53"/>
      <c r="H16" s="1"/>
      <c r="I16" s="1"/>
      <c r="J16" s="1"/>
      <c r="K16" s="1"/>
      <c r="L16" s="1"/>
      <c r="M16" s="1"/>
      <c r="N16" s="1"/>
      <c r="O16" s="369" t="s">
        <v>171</v>
      </c>
      <c r="P16" s="370"/>
      <c r="Q16" s="226">
        <f>PSH!T37</f>
        <v>3.6047396750413876</v>
      </c>
      <c r="R16" s="243" t="s">
        <v>175</v>
      </c>
    </row>
    <row r="17" spans="1:18" ht="15.75" customHeight="1" thickBot="1" x14ac:dyDescent="0.35">
      <c r="A17" s="1"/>
      <c r="B17" s="1"/>
      <c r="C17" s="1"/>
      <c r="D17" s="1"/>
      <c r="E17" s="1"/>
      <c r="F17" s="53"/>
      <c r="G17" s="53"/>
      <c r="H17" s="1"/>
      <c r="I17" s="1"/>
      <c r="J17" s="1"/>
      <c r="K17" s="1"/>
      <c r="L17" s="1"/>
      <c r="M17" s="1"/>
      <c r="N17" s="1"/>
      <c r="O17" s="369" t="s">
        <v>172</v>
      </c>
      <c r="P17" s="370"/>
      <c r="Q17" s="226">
        <f>PSH!W37</f>
        <v>5.4198362112711642</v>
      </c>
      <c r="R17" s="243" t="s">
        <v>175</v>
      </c>
    </row>
    <row r="18" spans="1:18" ht="15.75" customHeight="1" thickBot="1" x14ac:dyDescent="0.35">
      <c r="A18" s="88"/>
      <c r="B18" s="62"/>
      <c r="C18" s="1"/>
      <c r="D18" s="1"/>
      <c r="E18" s="156" t="s">
        <v>26</v>
      </c>
      <c r="F18" s="107"/>
      <c r="G18" s="157" t="s">
        <v>25</v>
      </c>
      <c r="H18" s="53"/>
      <c r="I18" s="158" t="s">
        <v>58</v>
      </c>
      <c r="J18" s="1"/>
      <c r="K18" s="158" t="s">
        <v>59</v>
      </c>
      <c r="L18" s="1"/>
      <c r="M18" s="1"/>
      <c r="N18" s="1"/>
      <c r="O18" s="369" t="s">
        <v>173</v>
      </c>
      <c r="P18" s="370"/>
      <c r="Q18" s="226">
        <f>PSH!Z37</f>
        <v>7.5366436214274772</v>
      </c>
      <c r="R18" s="243" t="s">
        <v>175</v>
      </c>
    </row>
    <row r="19" spans="1:18" ht="15.75" customHeight="1" thickBot="1" x14ac:dyDescent="0.35">
      <c r="A19" s="316" t="s">
        <v>128</v>
      </c>
      <c r="B19" s="316"/>
      <c r="C19" s="316"/>
      <c r="D19" s="316"/>
      <c r="E19" s="218">
        <f>COS(RADIANS(Angles!F11))*COS(RADIANS(0-Insolation!L6))*SIN(RADIANS(0))+SIN(RADIANS(Angles!F11))*COS(RADIANS(0))</f>
        <v>0.56062633153939401</v>
      </c>
      <c r="F19" s="177">
        <f>DEGREES(ACOS(E19))</f>
        <v>55.900876185026704</v>
      </c>
      <c r="G19" s="218">
        <f>COS(RADIANS(Angles!F11))*COS(RADIANS(0-Insolation!L6))*SIN(RADIANS(Insolation!L7))+SIN(RADIANS(Angles!F11))*COS(RADIANS(Insolation!L7))</f>
        <v>0.82806890799297705</v>
      </c>
      <c r="H19" s="177">
        <f>DEGREES(ACOS(G19))</f>
        <v>34.099123814973289</v>
      </c>
      <c r="I19" s="218">
        <f>COS(RADIANS(Angles!F11))*COS(RADIANS(0-0))*SIN(RADIANS(Insolation!L7))+SIN(RADIANS(Angles!F11))*COS(RADIANS(Insolation!L7))</f>
        <v>0.82806890799297705</v>
      </c>
      <c r="J19" s="177">
        <f>DEGREES(ACOS(I19))</f>
        <v>34.099123814973289</v>
      </c>
      <c r="K19" s="218">
        <f>COS(RADIANS(Angles!F11))*COS(RADIANS(0-0))*SIN(RADIANS(90-Angles!F11))+SIN(RADIANS(Angles!F11))*COS(RADIANS(90-Angles!F11))</f>
        <v>1</v>
      </c>
      <c r="L19" s="177">
        <f>DEGREES(ACOS(K19))</f>
        <v>0</v>
      </c>
      <c r="M19" s="1"/>
      <c r="N19" s="1"/>
      <c r="O19" s="361" t="s">
        <v>174</v>
      </c>
      <c r="P19" s="362"/>
      <c r="Q19" s="227">
        <f>PSH!AC37</f>
        <v>7.68872677760604</v>
      </c>
      <c r="R19" s="244" t="s">
        <v>175</v>
      </c>
    </row>
    <row r="20" spans="1:18" ht="15.75" customHeight="1" x14ac:dyDescent="0.3">
      <c r="A20" s="336" t="s">
        <v>129</v>
      </c>
      <c r="B20" s="336"/>
      <c r="C20" s="336"/>
      <c r="D20" s="337"/>
      <c r="E20" s="219">
        <f>Insolation!E16*E19</f>
        <v>524.52533451962654</v>
      </c>
      <c r="F20" s="151" t="s">
        <v>124</v>
      </c>
      <c r="G20" s="219">
        <f>Insolation!E16*G19</f>
        <v>774.74620176629685</v>
      </c>
      <c r="H20" s="151" t="s">
        <v>124</v>
      </c>
      <c r="I20" s="219">
        <f>Insolation!E16*COS(RADIANS(Angles!F10))</f>
        <v>910.55266829941763</v>
      </c>
      <c r="J20" s="151" t="s">
        <v>124</v>
      </c>
      <c r="K20" s="219">
        <f>Insolation!E16</f>
        <v>935.60595535953576</v>
      </c>
      <c r="L20" s="151" t="s">
        <v>124</v>
      </c>
      <c r="M20" s="1"/>
      <c r="N20" s="1"/>
      <c r="O20" s="1"/>
      <c r="P20" s="1"/>
      <c r="Q20" s="1"/>
    </row>
    <row r="21" spans="1:18" ht="15.75" customHeight="1" thickBot="1" x14ac:dyDescent="0.35">
      <c r="A21" s="336" t="s">
        <v>130</v>
      </c>
      <c r="B21" s="336"/>
      <c r="C21" s="336"/>
      <c r="D21" s="337"/>
      <c r="E21" s="219">
        <f>E13*Insolation!E16</f>
        <v>58.892237499570889</v>
      </c>
      <c r="F21" s="151" t="s">
        <v>124</v>
      </c>
      <c r="G21" s="219">
        <f>E13*Insolation!E16*((1+COS(RADIANS(Insolation!L7)))/2)</f>
        <v>29.446118749785445</v>
      </c>
      <c r="H21" s="151" t="s">
        <v>124</v>
      </c>
      <c r="I21" s="219">
        <f>E13*Insolation!E16*((1+COS(RADIANS(90-Angles!F11+Angles!F10)))/2)</f>
        <v>51.117243521688629</v>
      </c>
      <c r="J21" s="151" t="s">
        <v>124</v>
      </c>
      <c r="K21" s="219">
        <f>E13*Insolation!E16*((1+COS(RADIANS(90-Angles!F11)))/2)</f>
        <v>45.954388282551022</v>
      </c>
      <c r="L21" s="151" t="s">
        <v>124</v>
      </c>
      <c r="M21" s="1"/>
      <c r="N21" s="1"/>
      <c r="O21" s="1"/>
      <c r="P21" s="1"/>
      <c r="Q21" s="1"/>
    </row>
    <row r="22" spans="1:18" ht="18" customHeight="1" thickBot="1" x14ac:dyDescent="0.35">
      <c r="A22" s="336" t="s">
        <v>131</v>
      </c>
      <c r="B22" s="336"/>
      <c r="C22" s="336"/>
      <c r="D22" s="337"/>
      <c r="E22" s="221">
        <f>L8*Insolation!E16*(SIN(RADIANS(Angles!F11))+E13)*((1-COS(RADIANS(0)))/2)</f>
        <v>0</v>
      </c>
      <c r="F22" s="151" t="s">
        <v>124</v>
      </c>
      <c r="G22" s="221">
        <f>L8*Insolation!E16*((SIN(RADIANS(Angles!F11)))+E13)*((1-COS(RADIANS(Insolation!L7)))/2)</f>
        <v>58.341757201919741</v>
      </c>
      <c r="H22" s="151" t="s">
        <v>124</v>
      </c>
      <c r="I22" s="221">
        <f>L8*((E16*SIN(RADIANS(Angles!F11)))+(E13*E16))*((1-COS(RADIANS(90-Angles!F11+Angles!F10)))/2)</f>
        <v>15.404638375551633</v>
      </c>
      <c r="J22" s="151" t="s">
        <v>124</v>
      </c>
      <c r="K22" s="221">
        <f>L8*((E16*SIN(RADIANS(Angles!F11)))+(E13*E16))*((1-COS(RADIANS(90-Angles!F11)))/2)</f>
        <v>25.63383188624546</v>
      </c>
      <c r="L22" s="151" t="s">
        <v>124</v>
      </c>
      <c r="M22" s="1"/>
      <c r="N22" s="1"/>
      <c r="O22" s="366" t="s">
        <v>176</v>
      </c>
      <c r="P22" s="367"/>
      <c r="Q22" s="367"/>
      <c r="R22" s="368"/>
    </row>
    <row r="23" spans="1:18" ht="17.25" customHeight="1" thickBot="1" x14ac:dyDescent="0.35">
      <c r="A23" s="336" t="s">
        <v>132</v>
      </c>
      <c r="B23" s="336"/>
      <c r="C23" s="336"/>
      <c r="D23" s="337"/>
      <c r="E23" s="159">
        <f>E20+E21+E22</f>
        <v>583.41757201919745</v>
      </c>
      <c r="F23" s="151" t="s">
        <v>124</v>
      </c>
      <c r="G23" s="159">
        <f>SUM(G20,G21,G22)</f>
        <v>862.5340777180021</v>
      </c>
      <c r="H23" s="151" t="s">
        <v>124</v>
      </c>
      <c r="I23" s="159">
        <f>SUM(I20:I22)</f>
        <v>977.07455019665781</v>
      </c>
      <c r="J23" s="151" t="s">
        <v>124</v>
      </c>
      <c r="K23" s="159">
        <f>SUM(K20,K21,K22)</f>
        <v>1007.1941755283323</v>
      </c>
      <c r="L23" s="151" t="s">
        <v>124</v>
      </c>
      <c r="M23" s="1"/>
      <c r="N23" s="1"/>
      <c r="O23" s="369" t="s">
        <v>171</v>
      </c>
      <c r="P23" s="370"/>
      <c r="Q23" s="241">
        <f>PSH!B125</f>
        <v>1946.3894390359967</v>
      </c>
      <c r="R23" s="246" t="s">
        <v>205</v>
      </c>
    </row>
    <row r="24" spans="1:18" ht="17.25" customHeight="1" thickBot="1" x14ac:dyDescent="0.35">
      <c r="A24" s="1" t="s">
        <v>141</v>
      </c>
      <c r="B24" s="1"/>
      <c r="C24" s="1"/>
      <c r="D24" s="1"/>
      <c r="E24" s="222">
        <f>E23/G23</f>
        <v>0.67639944564595011</v>
      </c>
      <c r="F24" s="160"/>
      <c r="G24" s="222">
        <f>G23/G23</f>
        <v>1</v>
      </c>
      <c r="H24" s="160"/>
      <c r="I24" s="223">
        <f>I23/G23</f>
        <v>1.1327953010061866</v>
      </c>
      <c r="J24" s="161"/>
      <c r="K24" s="223">
        <f>K23/G23</f>
        <v>1.1677152260384378</v>
      </c>
      <c r="L24" s="1"/>
      <c r="M24" s="1"/>
      <c r="N24" s="1"/>
      <c r="O24" s="369" t="s">
        <v>172</v>
      </c>
      <c r="P24" s="370"/>
      <c r="Q24" s="241">
        <f>PSH!C125</f>
        <v>1499.3350380021909</v>
      </c>
      <c r="R24" s="246" t="s">
        <v>205</v>
      </c>
    </row>
    <row r="25" spans="1:18" ht="17.25" customHeight="1" thickBot="1" x14ac:dyDescent="0.35">
      <c r="A25" s="1"/>
      <c r="B25" s="1"/>
      <c r="C25" s="1"/>
      <c r="D25" s="1"/>
      <c r="E25" s="162"/>
      <c r="F25" s="53"/>
      <c r="G25" s="163"/>
      <c r="H25" s="164"/>
      <c r="I25" s="1"/>
      <c r="J25" s="1"/>
      <c r="K25" s="1"/>
      <c r="L25" s="1"/>
      <c r="M25" s="1"/>
      <c r="N25" s="1"/>
      <c r="O25" s="369" t="s">
        <v>173</v>
      </c>
      <c r="P25" s="370"/>
      <c r="Q25" s="241">
        <f>PSH!D125</f>
        <v>3103.593796890098</v>
      </c>
      <c r="R25" s="246" t="s">
        <v>205</v>
      </c>
    </row>
    <row r="26" spans="1:18" ht="21" thickBot="1" x14ac:dyDescent="0.35">
      <c r="A26" s="341" t="s">
        <v>169</v>
      </c>
      <c r="B26" s="341"/>
      <c r="C26" s="341"/>
      <c r="D26" s="341"/>
      <c r="E26" s="341"/>
      <c r="F26" s="341"/>
      <c r="G26" s="341"/>
      <c r="H26" s="341"/>
      <c r="I26" s="341"/>
      <c r="J26" s="365">
        <f>Time!H13/24</f>
        <v>0.39027777777777778</v>
      </c>
      <c r="K26" s="365"/>
      <c r="L26" s="365"/>
      <c r="M26" s="1"/>
      <c r="N26" s="1"/>
      <c r="O26" s="361" t="s">
        <v>174</v>
      </c>
      <c r="P26" s="362"/>
      <c r="Q26" s="242">
        <f>PSH!E125</f>
        <v>3239.395085411501</v>
      </c>
      <c r="R26" s="245" t="s">
        <v>205</v>
      </c>
    </row>
    <row r="27" spans="1:18" ht="15.75" customHeight="1" thickBot="1" x14ac:dyDescent="0.35">
      <c r="A27" s="336" t="s">
        <v>127</v>
      </c>
      <c r="B27" s="336"/>
      <c r="C27" s="336"/>
      <c r="D27" s="338"/>
      <c r="E27" s="154">
        <f>IF(Angles!F18&gt;0,E11*EXP(-E12*Angles!F21),0)</f>
        <v>843.34376419344221</v>
      </c>
      <c r="F27" s="151" t="s">
        <v>124</v>
      </c>
      <c r="G27" s="53"/>
      <c r="H27" s="1"/>
      <c r="I27" s="1"/>
      <c r="J27" s="1"/>
      <c r="K27" s="151"/>
      <c r="L27" s="1"/>
      <c r="M27" s="1"/>
      <c r="N27" s="1"/>
      <c r="O27" s="1"/>
      <c r="P27" s="1"/>
      <c r="Q27" s="1"/>
    </row>
    <row r="28" spans="1:18" ht="15.75" customHeight="1" x14ac:dyDescent="0.3">
      <c r="A28" s="165"/>
      <c r="B28" s="165"/>
      <c r="C28" s="165"/>
      <c r="D28" s="166"/>
      <c r="E28" s="167"/>
      <c r="F28" s="53"/>
      <c r="G28" s="53"/>
      <c r="H28" s="1"/>
      <c r="I28" s="1"/>
      <c r="J28" s="1"/>
      <c r="K28" s="1"/>
      <c r="L28" s="1"/>
      <c r="M28" s="1"/>
      <c r="N28" s="1"/>
      <c r="O28" s="1"/>
      <c r="P28" s="1"/>
      <c r="Q28" s="1"/>
    </row>
    <row r="29" spans="1:18" ht="15.75" customHeight="1" x14ac:dyDescent="0.3">
      <c r="A29" s="88"/>
      <c r="B29" s="62"/>
      <c r="C29" s="1"/>
      <c r="D29" s="1"/>
      <c r="E29" s="156" t="s">
        <v>26</v>
      </c>
      <c r="F29" s="107"/>
      <c r="G29" s="157" t="s">
        <v>25</v>
      </c>
      <c r="H29" s="53"/>
      <c r="I29" s="158" t="s">
        <v>58</v>
      </c>
      <c r="J29" s="1"/>
      <c r="K29" s="158" t="s">
        <v>59</v>
      </c>
      <c r="L29" s="1"/>
      <c r="M29" s="1"/>
      <c r="N29" s="1"/>
      <c r="O29" s="1"/>
      <c r="P29" s="1"/>
      <c r="Q29" s="1"/>
    </row>
    <row r="30" spans="1:18" ht="15.75" customHeight="1" x14ac:dyDescent="0.3">
      <c r="A30" s="316" t="s">
        <v>128</v>
      </c>
      <c r="B30" s="316"/>
      <c r="C30" s="316"/>
      <c r="D30" s="316"/>
      <c r="E30" s="220">
        <f>COS(RADIANS(Angles!F18))*COS(RADIANS(Angles!F19-Insolation!L6))*SIN(RADIANS(0))+(SIN(RADIANS(Angles!F18))*COS(RADIANS(0)))</f>
        <v>0.40079429697864483</v>
      </c>
      <c r="F30" s="177">
        <f>DEGREES(ACOS(E30))</f>
        <v>66.372156788147763</v>
      </c>
      <c r="G30" s="220">
        <f>COS(RADIANS(Angles!F18))*COS(RADIANS(Angles!F19-Insolation!L6))*SIN(RADIANS(Insolation!L7))+SIN(RADIANS(Angles!F18))*COS(RADIANS(Insolation!L7))</f>
        <v>0.68103546764475231</v>
      </c>
      <c r="H30" s="177">
        <f>DEGREES(ACOS(G30))</f>
        <v>47.075388778319976</v>
      </c>
      <c r="I30" s="218">
        <f>COS(RADIANS(Angles!F18))*COS(RADIANS(Angles!F19-Angles!F19))*SIN(RADIANS(Insolation!L7))+SIN(RADIANS(Angles!F18))*COS(RADIANS(Insolation!L7))</f>
        <v>0.91616806946618368</v>
      </c>
      <c r="J30" s="177">
        <f>DEGREES(ACOS(I30))</f>
        <v>23.62784321185222</v>
      </c>
      <c r="K30" s="218">
        <f>COS(RADIANS(Angles!F18))*COS(RADIANS(Angles!F19-Angles!F19))*SIN(RADIANS(90-Angles!F18))+SIN(RADIANS(Angles!F18))*COS(RADIANS(90-Angles!F18))</f>
        <v>1</v>
      </c>
      <c r="L30" s="177">
        <f>DEGREES(ACOS(K30))</f>
        <v>0</v>
      </c>
      <c r="M30" s="1"/>
      <c r="N30" s="1"/>
      <c r="O30" s="1"/>
      <c r="P30" s="1"/>
      <c r="Q30" s="1"/>
    </row>
    <row r="31" spans="1:18" ht="15.75" customHeight="1" x14ac:dyDescent="0.3">
      <c r="A31" s="336" t="s">
        <v>129</v>
      </c>
      <c r="B31" s="336"/>
      <c r="C31" s="336"/>
      <c r="D31" s="337"/>
      <c r="E31" s="219">
        <f>Insolation!E27*E30</f>
        <v>338.00737108123468</v>
      </c>
      <c r="F31" s="151" t="s">
        <v>124</v>
      </c>
      <c r="G31" s="219">
        <f>IF(G30&lt;0,0,Insolation!E27*G30)</f>
        <v>574.3470148327666</v>
      </c>
      <c r="H31" s="151" t="s">
        <v>124</v>
      </c>
      <c r="I31" s="219">
        <f>Insolation!E27*COS(RADIANS(Angles!F10))</f>
        <v>820.76103767950121</v>
      </c>
      <c r="J31" s="151" t="s">
        <v>124</v>
      </c>
      <c r="K31" s="219">
        <f>Insolation!E27</f>
        <v>843.34376419344221</v>
      </c>
      <c r="L31" s="151" t="s">
        <v>124</v>
      </c>
      <c r="M31" s="1"/>
      <c r="N31" s="1"/>
      <c r="O31" s="1"/>
      <c r="P31" s="1"/>
      <c r="Q31" s="1"/>
    </row>
    <row r="32" spans="1:18" ht="15.75" customHeight="1" x14ac:dyDescent="0.3">
      <c r="A32" s="336" t="s">
        <v>130</v>
      </c>
      <c r="B32" s="336"/>
      <c r="C32" s="336"/>
      <c r="D32" s="337"/>
      <c r="E32" s="219">
        <f>E13*Insolation!E27</f>
        <v>53.084742535201634</v>
      </c>
      <c r="F32" s="151" t="s">
        <v>124</v>
      </c>
      <c r="G32" s="219">
        <f>E13*Insolation!E27*((1+COS(RADIANS(L7)))/2)</f>
        <v>26.542371267600817</v>
      </c>
      <c r="H32" s="151" t="s">
        <v>124</v>
      </c>
      <c r="I32" s="219">
        <f>E13*Insolation!E27*((1+COS(RADIANS(90-Angles!F18+Angles!F10)))/2)</f>
        <v>42.485244620489183</v>
      </c>
      <c r="J32" s="151" t="s">
        <v>124</v>
      </c>
      <c r="K32" s="219">
        <f>E13*Insolation!E27*((1+COS(RADIANS(90-Angles!F18)))/2)</f>
        <v>37.180402299945065</v>
      </c>
      <c r="L32" s="151" t="s">
        <v>124</v>
      </c>
      <c r="M32" s="1"/>
      <c r="N32" s="1"/>
      <c r="O32" s="1"/>
      <c r="P32" s="1"/>
      <c r="Q32" s="1"/>
    </row>
    <row r="33" spans="1:19" ht="15.75" customHeight="1" thickBot="1" x14ac:dyDescent="0.35">
      <c r="A33" s="336" t="s">
        <v>131</v>
      </c>
      <c r="B33" s="336"/>
      <c r="C33" s="336"/>
      <c r="D33" s="337"/>
      <c r="E33" s="221">
        <f>L8*Insolation!E27*(SIN(RADIANS(Angles!F18))+E13)*((1-COS(RADIANS(0)))/2)</f>
        <v>0</v>
      </c>
      <c r="F33" s="151" t="s">
        <v>124</v>
      </c>
      <c r="G33" s="221">
        <f>L8*Insolation!E27*((SIN(RADIANS(Angles!F18)))+E13)*((1-COS(RADIANS(Insolation!L7)))/2)</f>
        <v>39.109211361643631</v>
      </c>
      <c r="H33" s="151" t="s">
        <v>124</v>
      </c>
      <c r="I33" s="221">
        <f>L8*((E27*SIN(RADIANS(Angles!F18)))+(E13*E27))*((1-COS(RADIANS(90-Angles!F18+Angles!F10)))/2)</f>
        <v>15.617971736376088</v>
      </c>
      <c r="J33" s="151" t="s">
        <v>124</v>
      </c>
      <c r="K33" s="221">
        <f>L8*((E27*SIN(RADIANS(Angles!F18)))+(E13*E27))*((1-COS(RADIANS(90-Angles!F18)))/2)</f>
        <v>23.434462488564453</v>
      </c>
      <c r="L33" s="151" t="s">
        <v>124</v>
      </c>
      <c r="M33" s="1"/>
      <c r="N33" s="1"/>
      <c r="O33" s="1"/>
      <c r="P33" s="1"/>
      <c r="Q33" s="1"/>
    </row>
    <row r="34" spans="1:19" ht="15.75" customHeight="1" thickBot="1" x14ac:dyDescent="0.35">
      <c r="A34" s="336" t="s">
        <v>132</v>
      </c>
      <c r="B34" s="336"/>
      <c r="C34" s="336"/>
      <c r="D34" s="337"/>
      <c r="E34" s="159">
        <f>SUM(E31:E33)</f>
        <v>391.09211361643634</v>
      </c>
      <c r="F34" s="151" t="s">
        <v>124</v>
      </c>
      <c r="G34" s="159">
        <f>SUM(G31,G32,G33)</f>
        <v>639.99859746201105</v>
      </c>
      <c r="H34" s="151" t="s">
        <v>124</v>
      </c>
      <c r="I34" s="159">
        <f>SUM(I31:I33)</f>
        <v>878.86425403636645</v>
      </c>
      <c r="J34" s="151" t="s">
        <v>124</v>
      </c>
      <c r="K34" s="159">
        <f>SUM(K31,K32,K33)</f>
        <v>903.95862898195173</v>
      </c>
      <c r="L34" s="151" t="s">
        <v>124</v>
      </c>
      <c r="M34" s="1"/>
      <c r="N34" s="1"/>
      <c r="O34" s="1"/>
      <c r="P34" s="1"/>
      <c r="Q34" s="1"/>
    </row>
    <row r="35" spans="1:19" ht="15.75" customHeight="1" x14ac:dyDescent="0.3">
      <c r="A35" s="1" t="s">
        <v>141</v>
      </c>
      <c r="B35" s="1"/>
      <c r="C35" s="1"/>
      <c r="D35" s="1"/>
      <c r="E35" s="222">
        <f>IFERROR(E34/G34,0)</f>
        <v>0.61108276669254846</v>
      </c>
      <c r="F35" s="160"/>
      <c r="G35" s="222">
        <f>IFERROR(G34/G34,0)</f>
        <v>1</v>
      </c>
      <c r="H35" s="160"/>
      <c r="I35" s="223">
        <f>IFERROR(I34/G34,0)</f>
        <v>1.3732284063146465</v>
      </c>
      <c r="J35" s="161"/>
      <c r="K35" s="223">
        <f>IFERROR(K34/G34,0)</f>
        <v>1.4124384530945926</v>
      </c>
      <c r="L35" s="1"/>
      <c r="M35" s="1"/>
      <c r="N35" s="1"/>
      <c r="O35" s="1"/>
      <c r="P35" s="1"/>
      <c r="Q35" s="1"/>
    </row>
    <row r="36" spans="1:19" ht="15.75" customHeight="1" thickBot="1" x14ac:dyDescent="0.35">
      <c r="A36" s="1"/>
      <c r="B36" s="1"/>
      <c r="C36" s="1"/>
      <c r="D36" s="1"/>
      <c r="E36" s="162"/>
      <c r="F36" s="53"/>
      <c r="G36" s="163"/>
      <c r="H36" s="1"/>
      <c r="I36" s="1"/>
      <c r="J36" s="1"/>
      <c r="K36" s="1"/>
      <c r="L36" s="1"/>
      <c r="M36" s="1"/>
      <c r="N36" s="1"/>
      <c r="O36" s="1"/>
      <c r="P36" s="1"/>
      <c r="Q36" s="1"/>
    </row>
    <row r="37" spans="1:19" ht="15.75" customHeight="1" x14ac:dyDescent="0.3">
      <c r="A37" s="327" t="s">
        <v>207</v>
      </c>
      <c r="B37" s="328"/>
      <c r="C37" s="328"/>
      <c r="D37" s="328"/>
      <c r="E37" s="328"/>
      <c r="F37" s="328"/>
      <c r="G37" s="328"/>
      <c r="H37" s="329"/>
      <c r="I37" s="1"/>
      <c r="J37" s="1"/>
      <c r="K37" s="1"/>
      <c r="L37" s="1"/>
      <c r="M37" s="1"/>
      <c r="N37" s="1"/>
      <c r="O37" s="1"/>
      <c r="P37" s="1"/>
      <c r="Q37" s="1"/>
    </row>
    <row r="38" spans="1:19" ht="15.75" customHeight="1" x14ac:dyDescent="0.3">
      <c r="A38" s="330"/>
      <c r="B38" s="331"/>
      <c r="C38" s="331"/>
      <c r="D38" s="331"/>
      <c r="E38" s="331"/>
      <c r="F38" s="331"/>
      <c r="G38" s="331"/>
      <c r="H38" s="332"/>
      <c r="I38" s="1"/>
      <c r="J38" s="1"/>
      <c r="K38" s="1"/>
      <c r="L38" s="1"/>
      <c r="M38" s="1"/>
      <c r="N38" s="1"/>
      <c r="O38" s="1"/>
      <c r="P38" s="1"/>
      <c r="Q38" s="1"/>
    </row>
    <row r="39" spans="1:19" ht="15.75" customHeight="1" x14ac:dyDescent="0.3">
      <c r="A39" s="330"/>
      <c r="B39" s="331"/>
      <c r="C39" s="331"/>
      <c r="D39" s="331"/>
      <c r="E39" s="331"/>
      <c r="F39" s="331"/>
      <c r="G39" s="331"/>
      <c r="H39" s="332"/>
      <c r="I39" s="1"/>
      <c r="J39" s="168"/>
      <c r="K39" s="1"/>
      <c r="L39" s="1"/>
      <c r="M39" s="1"/>
      <c r="N39" s="1"/>
      <c r="O39" s="1"/>
      <c r="P39" s="1"/>
      <c r="Q39" s="1"/>
    </row>
    <row r="40" spans="1:19" ht="15.75" customHeight="1" x14ac:dyDescent="0.3">
      <c r="A40" s="330"/>
      <c r="B40" s="331"/>
      <c r="C40" s="331"/>
      <c r="D40" s="331"/>
      <c r="E40" s="331"/>
      <c r="F40" s="331"/>
      <c r="G40" s="331"/>
      <c r="H40" s="332"/>
      <c r="I40" s="1"/>
      <c r="J40" s="52" t="s">
        <v>107</v>
      </c>
      <c r="K40" s="52"/>
      <c r="L40" s="52"/>
      <c r="M40" s="52"/>
      <c r="N40" s="1"/>
      <c r="O40" s="1"/>
      <c r="P40" s="1"/>
      <c r="Q40" s="1"/>
    </row>
    <row r="41" spans="1:19" ht="15.75" customHeight="1" thickBot="1" x14ac:dyDescent="0.35">
      <c r="A41" s="333"/>
      <c r="B41" s="334"/>
      <c r="C41" s="334"/>
      <c r="D41" s="334"/>
      <c r="E41" s="334"/>
      <c r="F41" s="334"/>
      <c r="G41" s="334"/>
      <c r="H41" s="335"/>
      <c r="I41" s="1"/>
      <c r="J41" s="52"/>
      <c r="K41" s="52"/>
      <c r="L41" s="249" t="s">
        <v>101</v>
      </c>
      <c r="M41" s="250">
        <f>(C43/39.37)*(C44/39.37)</f>
        <v>7.4322729290619893</v>
      </c>
      <c r="N41" s="1"/>
      <c r="O41" s="1"/>
      <c r="P41" s="1"/>
      <c r="Q41" s="1"/>
    </row>
    <row r="42" spans="1:19" ht="15.75" customHeight="1" x14ac:dyDescent="0.3">
      <c r="A42" s="1"/>
      <c r="B42" s="1"/>
      <c r="C42" s="1"/>
      <c r="D42" s="1"/>
      <c r="E42" s="1"/>
      <c r="F42" s="1"/>
      <c r="G42" s="1"/>
      <c r="H42" s="1"/>
      <c r="J42" s="249" t="s">
        <v>104</v>
      </c>
      <c r="K42" s="249"/>
      <c r="L42" s="249"/>
      <c r="M42" s="251">
        <f>IF(Angles!F18&gt;0,E11*EXP(-E12*1.5),0)</f>
        <v>975.16228171874707</v>
      </c>
    </row>
    <row r="43" spans="1:19" ht="15.75" customHeight="1" x14ac:dyDescent="0.3">
      <c r="A43" s="339" t="s">
        <v>94</v>
      </c>
      <c r="B43" s="340"/>
      <c r="C43" s="169">
        <v>120</v>
      </c>
      <c r="D43" s="1" t="s">
        <v>96</v>
      </c>
      <c r="E43" s="253" t="s">
        <v>100</v>
      </c>
      <c r="F43" s="253"/>
      <c r="G43" s="253"/>
      <c r="H43" s="253"/>
      <c r="J43" s="249" t="s">
        <v>103</v>
      </c>
      <c r="K43" s="249"/>
      <c r="L43" s="249"/>
      <c r="M43" s="251">
        <f>1*C47/M41</f>
        <v>28.927893532986104</v>
      </c>
    </row>
    <row r="44" spans="1:19" ht="15.75" customHeight="1" x14ac:dyDescent="0.3">
      <c r="A44" s="339" t="s">
        <v>95</v>
      </c>
      <c r="B44" s="340"/>
      <c r="C44" s="169">
        <v>96</v>
      </c>
      <c r="D44" s="1" t="s">
        <v>96</v>
      </c>
      <c r="E44" s="1"/>
      <c r="F44" s="94">
        <f>IFERROR(F46/F45,0)</f>
        <v>7.8819507732906251</v>
      </c>
      <c r="G44" s="1" t="s">
        <v>97</v>
      </c>
      <c r="H44" s="1"/>
      <c r="J44" s="249" t="s">
        <v>105</v>
      </c>
      <c r="K44" s="249"/>
      <c r="L44" s="249"/>
      <c r="M44" s="251">
        <f>M43*M42/1000</f>
        <v>28.209390662943715</v>
      </c>
      <c r="S44" s="25"/>
    </row>
    <row r="45" spans="1:19" ht="15.75" customHeight="1" x14ac:dyDescent="0.3">
      <c r="A45" s="363" t="s">
        <v>133</v>
      </c>
      <c r="B45" s="364"/>
      <c r="C45" s="169">
        <v>8.09</v>
      </c>
      <c r="D45" s="1" t="s">
        <v>97</v>
      </c>
      <c r="E45" s="1"/>
      <c r="F45" s="97">
        <f>IF(Angles!F18&gt;0,C46,0)</f>
        <v>26.6</v>
      </c>
      <c r="G45" s="1" t="s">
        <v>98</v>
      </c>
      <c r="H45" s="1"/>
      <c r="J45" s="249" t="s">
        <v>106</v>
      </c>
      <c r="K45" s="249"/>
      <c r="L45" s="249"/>
      <c r="M45" s="251">
        <f>M41*M44</f>
        <v>209.65989056953063</v>
      </c>
      <c r="S45" s="25"/>
    </row>
    <row r="46" spans="1:19" ht="15.75" customHeight="1" x14ac:dyDescent="0.3">
      <c r="A46" s="363" t="s">
        <v>134</v>
      </c>
      <c r="B46" s="364"/>
      <c r="C46" s="169">
        <v>26.6</v>
      </c>
      <c r="D46" s="1" t="s">
        <v>98</v>
      </c>
      <c r="E46" s="1"/>
      <c r="F46" s="94">
        <f>M45</f>
        <v>209.65989056953063</v>
      </c>
      <c r="G46" s="1" t="s">
        <v>99</v>
      </c>
      <c r="H46" s="1"/>
      <c r="S46" s="25"/>
    </row>
    <row r="47" spans="1:19" ht="15.75" customHeight="1" x14ac:dyDescent="0.3">
      <c r="A47" s="363" t="s">
        <v>135</v>
      </c>
      <c r="B47" s="364"/>
      <c r="C47" s="169">
        <v>215</v>
      </c>
      <c r="D47" s="1" t="s">
        <v>99</v>
      </c>
      <c r="E47" s="1"/>
      <c r="F47" s="247">
        <f>M44/E16</f>
        <v>3.0150931063818824E-2</v>
      </c>
      <c r="G47" s="1" t="s">
        <v>102</v>
      </c>
      <c r="H47" s="1"/>
    </row>
    <row r="48" spans="1:19" ht="15.75" customHeight="1" x14ac:dyDescent="0.3">
      <c r="A48" s="1"/>
      <c r="B48" s="1"/>
      <c r="C48" s="253" t="str">
        <f>IF(OR(C45*C46&gt;C47+10,C45*C46&lt;C47-10),"Check your values","")</f>
        <v/>
      </c>
      <c r="D48" s="253"/>
      <c r="E48" s="1"/>
      <c r="F48" s="1"/>
      <c r="H48" s="1"/>
    </row>
  </sheetData>
  <dataConsolidate/>
  <mergeCells count="44">
    <mergeCell ref="J15:L15"/>
    <mergeCell ref="O15:R15"/>
    <mergeCell ref="O16:P16"/>
    <mergeCell ref="O17:P17"/>
    <mergeCell ref="O18:P18"/>
    <mergeCell ref="O19:P19"/>
    <mergeCell ref="O22:R22"/>
    <mergeCell ref="O23:P23"/>
    <mergeCell ref="O24:P24"/>
    <mergeCell ref="O25:P25"/>
    <mergeCell ref="O26:P26"/>
    <mergeCell ref="C48:D48"/>
    <mergeCell ref="A30:D30"/>
    <mergeCell ref="A43:B43"/>
    <mergeCell ref="A33:D33"/>
    <mergeCell ref="A34:D34"/>
    <mergeCell ref="A31:D31"/>
    <mergeCell ref="A32:D32"/>
    <mergeCell ref="A45:B45"/>
    <mergeCell ref="A46:B46"/>
    <mergeCell ref="A47:B47"/>
    <mergeCell ref="J26:L26"/>
    <mergeCell ref="A10:D10"/>
    <mergeCell ref="A11:D11"/>
    <mergeCell ref="A12:D12"/>
    <mergeCell ref="A13:D13"/>
    <mergeCell ref="A20:D20"/>
    <mergeCell ref="A19:D19"/>
    <mergeCell ref="A16:D16"/>
    <mergeCell ref="A15:I15"/>
    <mergeCell ref="A1:Q2"/>
    <mergeCell ref="O3:Q3"/>
    <mergeCell ref="I3:J3"/>
    <mergeCell ref="I4:J4"/>
    <mergeCell ref="I5:J5"/>
    <mergeCell ref="A3:H8"/>
    <mergeCell ref="A21:D21"/>
    <mergeCell ref="A27:D27"/>
    <mergeCell ref="A37:H41"/>
    <mergeCell ref="A44:B44"/>
    <mergeCell ref="E43:H43"/>
    <mergeCell ref="A26:I26"/>
    <mergeCell ref="A22:D22"/>
    <mergeCell ref="A23:D23"/>
  </mergeCells>
  <phoneticPr fontId="1" type="noConversion"/>
  <conditionalFormatting sqref="C48">
    <cfRule type="notContainsBlanks" dxfId="1" priority="2">
      <formula>LEN(TRIM(C48))&gt;0</formula>
    </cfRule>
  </conditionalFormatting>
  <dataValidations count="3">
    <dataValidation type="decimal" allowBlank="1" showInputMessage="1" showErrorMessage="1" errorTitle="Invalid Entry" error="The coefficient for the Reflect of the Surface is any value between 0-1._x000a_" sqref="L8">
      <formula1>0</formula1>
      <formula2>1</formula2>
    </dataValidation>
    <dataValidation type="decimal" allowBlank="1" showInputMessage="1" showErrorMessage="1" errorTitle="Invalid Entry" error="Tilt angle values are from 0-90 degrees from the horizontal." sqref="L7">
      <formula1>0</formula1>
      <formula2>90</formula2>
    </dataValidation>
    <dataValidation type="decimal" allowBlank="1" showInputMessage="1" showErrorMessage="1" errorTitle="Invalid Entry" error="Values must be between -180 to 180. 180 degrees either from east or west means that the panel is facing true north. " sqref="L6">
      <formula1>-180</formula1>
      <formula2>180</formula2>
    </dataValidation>
  </dataValidations>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59999389629810485"/>
  </sheetPr>
  <dimension ref="A1:N32"/>
  <sheetViews>
    <sheetView workbookViewId="0">
      <selection activeCell="A26" sqref="A26"/>
    </sheetView>
  </sheetViews>
  <sheetFormatPr defaultColWidth="8.77734375" defaultRowHeight="15" customHeight="1" x14ac:dyDescent="0.25"/>
  <cols>
    <col min="1" max="1" width="10.33203125" style="22" customWidth="1"/>
    <col min="2" max="2" width="14" style="22" customWidth="1"/>
    <col min="3" max="4" width="8.77734375" style="22"/>
    <col min="5" max="5" width="9.6640625" style="22" customWidth="1"/>
    <col min="6" max="16384" width="8.77734375" style="22"/>
  </cols>
  <sheetData>
    <row r="1" spans="1:14" ht="15" customHeight="1" x14ac:dyDescent="0.25">
      <c r="A1" s="342" t="s">
        <v>63</v>
      </c>
      <c r="B1" s="343"/>
      <c r="C1" s="343"/>
      <c r="D1" s="343"/>
      <c r="E1" s="343"/>
      <c r="F1" s="343"/>
      <c r="G1" s="343"/>
      <c r="H1" s="343"/>
      <c r="I1" s="343"/>
      <c r="J1" s="344"/>
      <c r="K1" s="39"/>
      <c r="L1" s="39"/>
      <c r="M1" s="39"/>
      <c r="N1" s="39"/>
    </row>
    <row r="2" spans="1:14" ht="15" customHeight="1" thickBot="1" x14ac:dyDescent="0.3">
      <c r="A2" s="345"/>
      <c r="B2" s="346"/>
      <c r="C2" s="346"/>
      <c r="D2" s="346"/>
      <c r="E2" s="346"/>
      <c r="F2" s="346"/>
      <c r="G2" s="346"/>
      <c r="H2" s="346"/>
      <c r="I2" s="346"/>
      <c r="J2" s="347"/>
      <c r="K2" s="39"/>
      <c r="L2" s="39"/>
      <c r="M2" s="39"/>
      <c r="N2" s="39"/>
    </row>
    <row r="3" spans="1:14" ht="15" customHeight="1" x14ac:dyDescent="0.25">
      <c r="A3" s="327" t="s">
        <v>228</v>
      </c>
      <c r="B3" s="328"/>
      <c r="C3" s="328"/>
      <c r="D3" s="328"/>
      <c r="E3" s="328"/>
      <c r="F3" s="328"/>
      <c r="G3" s="328"/>
      <c r="H3" s="328"/>
      <c r="I3" s="328"/>
      <c r="J3" s="329"/>
      <c r="K3" s="38"/>
      <c r="L3" s="38"/>
      <c r="M3" s="38"/>
      <c r="N3" s="38"/>
    </row>
    <row r="4" spans="1:14" ht="15" customHeight="1" x14ac:dyDescent="0.25">
      <c r="A4" s="330"/>
      <c r="B4" s="331"/>
      <c r="C4" s="331"/>
      <c r="D4" s="331"/>
      <c r="E4" s="331"/>
      <c r="F4" s="331"/>
      <c r="G4" s="331"/>
      <c r="H4" s="331"/>
      <c r="I4" s="331"/>
      <c r="J4" s="332"/>
      <c r="K4" s="38"/>
      <c r="L4" s="38"/>
      <c r="M4" s="38"/>
      <c r="N4" s="38"/>
    </row>
    <row r="5" spans="1:14" ht="14.4" thickBot="1" x14ac:dyDescent="0.3">
      <c r="A5" s="333"/>
      <c r="B5" s="334"/>
      <c r="C5" s="334"/>
      <c r="D5" s="334"/>
      <c r="E5" s="334"/>
      <c r="F5" s="334"/>
      <c r="G5" s="334"/>
      <c r="H5" s="334"/>
      <c r="I5" s="334"/>
      <c r="J5" s="335"/>
    </row>
    <row r="6" spans="1:14" ht="15" customHeight="1" x14ac:dyDescent="0.3">
      <c r="A6" s="1"/>
      <c r="B6" s="1"/>
      <c r="C6" s="1"/>
      <c r="D6" s="1"/>
      <c r="E6" s="1"/>
      <c r="F6" s="1"/>
      <c r="G6" s="1"/>
      <c r="H6" s="1"/>
      <c r="I6" s="1"/>
      <c r="J6" s="1"/>
    </row>
    <row r="7" spans="1:14" ht="22.5" customHeight="1" thickBot="1" x14ac:dyDescent="0.35">
      <c r="A7" s="317" t="s">
        <v>64</v>
      </c>
      <c r="B7" s="317"/>
      <c r="C7" s="317"/>
      <c r="D7" s="317"/>
      <c r="E7" s="317"/>
      <c r="F7" s="1"/>
      <c r="G7" s="1"/>
      <c r="H7" s="1"/>
      <c r="I7" s="1"/>
      <c r="J7" s="1"/>
    </row>
    <row r="8" spans="1:14" ht="15" customHeight="1" thickBot="1" x14ac:dyDescent="0.35">
      <c r="A8" s="1" t="s">
        <v>65</v>
      </c>
      <c r="B8" s="1"/>
      <c r="C8" s="170">
        <f>DEGREES(ACOS((-TAN(RADIANS(Time!P4))*TAN(RADIANS(Angles!F10)))))</f>
        <v>77.450842111155325</v>
      </c>
      <c r="D8" s="1" t="s">
        <v>0</v>
      </c>
      <c r="E8" s="1"/>
      <c r="F8" s="1"/>
      <c r="G8" s="1"/>
      <c r="H8" s="1"/>
      <c r="I8" s="1"/>
      <c r="J8" s="1"/>
    </row>
    <row r="9" spans="1:14" ht="15" customHeight="1" thickBot="1" x14ac:dyDescent="0.4">
      <c r="A9" s="1" t="s">
        <v>136</v>
      </c>
      <c r="B9" s="1"/>
      <c r="C9" s="171">
        <f>C8/15</f>
        <v>5.1633894740770216</v>
      </c>
      <c r="D9" s="1" t="s">
        <v>49</v>
      </c>
      <c r="E9" s="1"/>
      <c r="F9" s="1"/>
      <c r="G9" s="1"/>
      <c r="H9" s="1"/>
      <c r="I9" s="1"/>
      <c r="J9" s="1"/>
    </row>
    <row r="10" spans="1:14" ht="15" customHeight="1" thickBot="1" x14ac:dyDescent="0.35">
      <c r="A10" s="172" t="s">
        <v>69</v>
      </c>
      <c r="B10" s="172"/>
      <c r="C10" s="1"/>
      <c r="D10" s="1"/>
      <c r="E10" s="1"/>
      <c r="F10" s="1"/>
      <c r="G10" s="1"/>
      <c r="H10" s="1"/>
      <c r="I10" s="1"/>
      <c r="J10" s="1"/>
    </row>
    <row r="11" spans="1:14" ht="15" customHeight="1" thickBot="1" x14ac:dyDescent="0.35">
      <c r="A11" s="1"/>
      <c r="B11" s="1" t="s">
        <v>71</v>
      </c>
      <c r="C11" s="170">
        <f>12-(C8/15)</f>
        <v>6.8366105259229784</v>
      </c>
      <c r="D11" s="53" t="s">
        <v>22</v>
      </c>
      <c r="E11" s="224">
        <f>C11/24</f>
        <v>0.28485877191345743</v>
      </c>
      <c r="F11" s="1"/>
      <c r="G11" s="1"/>
      <c r="H11" s="1"/>
      <c r="I11" s="1"/>
      <c r="J11" s="1"/>
    </row>
    <row r="12" spans="1:14" ht="15" customHeight="1" thickBot="1" x14ac:dyDescent="0.35">
      <c r="A12" s="1"/>
      <c r="B12" s="1" t="s">
        <v>70</v>
      </c>
      <c r="C12" s="170">
        <f>C11-(12-Time!C27)</f>
        <v>6.8050775543461057</v>
      </c>
      <c r="D12" s="53" t="s">
        <v>22</v>
      </c>
      <c r="E12" s="41">
        <f>C12/24</f>
        <v>0.28354489809775441</v>
      </c>
      <c r="F12" s="1"/>
      <c r="G12" s="1"/>
      <c r="H12" s="1"/>
      <c r="I12" s="1"/>
      <c r="J12" s="1"/>
    </row>
    <row r="13" spans="1:14" ht="15" customHeight="1" thickBot="1" x14ac:dyDescent="0.35">
      <c r="A13" s="1" t="s">
        <v>137</v>
      </c>
      <c r="B13" s="1"/>
      <c r="C13" s="170">
        <f>3.467/(COS(RADIANS(Time!P4))*COS(RADIANS(Angles!F10))*SIN(RADIANS('Sunrise-Sunset'!C8)))</f>
        <v>4.9589486901929511</v>
      </c>
      <c r="D13" s="1" t="s">
        <v>66</v>
      </c>
      <c r="E13" s="1"/>
      <c r="F13" s="1"/>
      <c r="G13" s="1"/>
      <c r="H13" s="1"/>
      <c r="I13" s="1"/>
      <c r="J13" s="1"/>
    </row>
    <row r="14" spans="1:14" ht="15" customHeight="1" thickBot="1" x14ac:dyDescent="0.35">
      <c r="A14" s="172" t="s">
        <v>229</v>
      </c>
      <c r="B14" s="172"/>
      <c r="C14" s="1"/>
      <c r="D14" s="1"/>
      <c r="E14" s="1"/>
      <c r="F14" s="1"/>
      <c r="G14" s="1"/>
      <c r="H14" s="1"/>
      <c r="I14" s="1"/>
      <c r="J14" s="1"/>
    </row>
    <row r="15" spans="1:14" ht="15" customHeight="1" thickBot="1" x14ac:dyDescent="0.35">
      <c r="A15" s="1"/>
      <c r="B15" s="1" t="s">
        <v>71</v>
      </c>
      <c r="C15" s="170">
        <f>C11-(C13/60)</f>
        <v>6.7539613810864294</v>
      </c>
      <c r="D15" s="53" t="s">
        <v>22</v>
      </c>
      <c r="E15" s="224">
        <f>C15/24</f>
        <v>0.28141505754526791</v>
      </c>
      <c r="F15" s="1"/>
      <c r="G15" s="1"/>
      <c r="H15" s="1"/>
      <c r="I15" s="1"/>
      <c r="J15" s="1"/>
    </row>
    <row r="16" spans="1:14" ht="15" customHeight="1" thickBot="1" x14ac:dyDescent="0.35">
      <c r="A16" s="1"/>
      <c r="B16" s="1" t="s">
        <v>70</v>
      </c>
      <c r="C16" s="170">
        <f>C15-(12-Time!C27)</f>
        <v>6.7224284095095568</v>
      </c>
      <c r="D16" s="53" t="s">
        <v>22</v>
      </c>
      <c r="E16" s="41">
        <f>C16/24</f>
        <v>0.28010118372956488</v>
      </c>
      <c r="F16" s="1"/>
      <c r="G16" s="1"/>
      <c r="H16" s="1"/>
      <c r="I16" s="1"/>
      <c r="J16" s="1"/>
    </row>
    <row r="17" spans="1:10" ht="15" customHeight="1" x14ac:dyDescent="0.3">
      <c r="A17" s="1"/>
      <c r="B17" s="1"/>
      <c r="C17" s="1"/>
      <c r="D17" s="1"/>
      <c r="E17" s="173"/>
      <c r="F17" s="1"/>
      <c r="G17" s="1"/>
      <c r="H17" s="1"/>
      <c r="I17" s="1"/>
      <c r="J17" s="1"/>
    </row>
    <row r="18" spans="1:10" ht="15" customHeight="1" x14ac:dyDescent="0.3">
      <c r="A18" s="1"/>
      <c r="B18" s="1"/>
      <c r="C18" s="1"/>
      <c r="D18" s="1"/>
      <c r="E18" s="1"/>
      <c r="F18" s="1"/>
      <c r="G18" s="1"/>
      <c r="H18" s="1"/>
      <c r="I18" s="1"/>
      <c r="J18" s="1"/>
    </row>
    <row r="19" spans="1:10" ht="22.5" customHeight="1" thickBot="1" x14ac:dyDescent="0.35">
      <c r="A19" s="317" t="s">
        <v>67</v>
      </c>
      <c r="B19" s="317"/>
      <c r="C19" s="317"/>
      <c r="D19" s="317"/>
      <c r="E19" s="317"/>
      <c r="F19" s="1"/>
      <c r="G19" s="1"/>
      <c r="H19" s="1"/>
      <c r="I19" s="1"/>
      <c r="J19" s="1"/>
    </row>
    <row r="20" spans="1:10" ht="15" customHeight="1" thickBot="1" x14ac:dyDescent="0.35">
      <c r="A20" s="1" t="s">
        <v>65</v>
      </c>
      <c r="B20" s="1"/>
      <c r="C20" s="170">
        <f>DEGREES(ACOS((-TAN(RADIANS(Time!P4))*TAN(RADIANS(Angles!F10)))))</f>
        <v>77.450842111155325</v>
      </c>
      <c r="D20" s="1" t="s">
        <v>0</v>
      </c>
      <c r="E20" s="1"/>
      <c r="F20" s="1"/>
      <c r="G20" s="1"/>
      <c r="H20" s="1"/>
      <c r="I20" s="1"/>
      <c r="J20" s="1"/>
    </row>
    <row r="21" spans="1:10" ht="15" customHeight="1" thickBot="1" x14ac:dyDescent="0.4">
      <c r="A21" s="1" t="s">
        <v>138</v>
      </c>
      <c r="B21" s="1"/>
      <c r="C21" s="171">
        <f>C20/15</f>
        <v>5.1633894740770216</v>
      </c>
      <c r="D21" s="1" t="s">
        <v>49</v>
      </c>
      <c r="E21" s="1"/>
      <c r="F21" s="1"/>
      <c r="G21" s="1"/>
      <c r="H21" s="1"/>
      <c r="I21" s="1"/>
      <c r="J21" s="1"/>
    </row>
    <row r="22" spans="1:10" ht="15" customHeight="1" thickBot="1" x14ac:dyDescent="0.35">
      <c r="A22" s="172" t="s">
        <v>68</v>
      </c>
      <c r="B22" s="1"/>
      <c r="C22" s="100"/>
      <c r="D22" s="1"/>
      <c r="E22" s="1"/>
      <c r="F22" s="1"/>
      <c r="G22" s="1"/>
      <c r="H22" s="1"/>
      <c r="I22" s="1"/>
      <c r="J22" s="1"/>
    </row>
    <row r="23" spans="1:10" ht="15" customHeight="1" thickBot="1" x14ac:dyDescent="0.35">
      <c r="A23" s="1"/>
      <c r="B23" s="1" t="s">
        <v>71</v>
      </c>
      <c r="C23" s="170">
        <f>12+(C20/15)</f>
        <v>17.163389474077022</v>
      </c>
      <c r="D23" s="53" t="s">
        <v>22</v>
      </c>
      <c r="E23" s="224">
        <f>C23/24</f>
        <v>0.71514122808654257</v>
      </c>
      <c r="F23" s="1"/>
      <c r="G23" s="1"/>
      <c r="H23" s="1"/>
      <c r="I23" s="1"/>
      <c r="J23" s="1"/>
    </row>
    <row r="24" spans="1:10" ht="15" customHeight="1" thickBot="1" x14ac:dyDescent="0.35">
      <c r="A24" s="1"/>
      <c r="B24" s="1" t="s">
        <v>70</v>
      </c>
      <c r="C24" s="170">
        <f>C23-(12-Time!C27)</f>
        <v>17.131856502500149</v>
      </c>
      <c r="D24" s="53" t="s">
        <v>22</v>
      </c>
      <c r="E24" s="41">
        <f>C24/24</f>
        <v>0.71382735427083954</v>
      </c>
      <c r="F24" s="1"/>
      <c r="G24" s="1"/>
      <c r="H24" s="1"/>
      <c r="I24" s="1"/>
      <c r="J24" s="1"/>
    </row>
    <row r="25" spans="1:10" ht="15" customHeight="1" thickBot="1" x14ac:dyDescent="0.35">
      <c r="A25" s="1" t="s">
        <v>137</v>
      </c>
      <c r="B25" s="1"/>
      <c r="C25" s="170">
        <f>3.467/(COS(RADIANS(Time!P4))*COS(RADIANS(Angles!F10))*SIN(RADIANS('Sunrise-Sunset'!C20)))</f>
        <v>4.9589486901929511</v>
      </c>
      <c r="D25" s="1" t="s">
        <v>66</v>
      </c>
      <c r="E25" s="1"/>
      <c r="F25" s="1"/>
      <c r="G25" s="1"/>
      <c r="H25" s="1"/>
      <c r="I25" s="1"/>
      <c r="J25" s="1"/>
    </row>
    <row r="26" spans="1:10" ht="15" customHeight="1" thickBot="1" x14ac:dyDescent="0.35">
      <c r="A26" s="172" t="s">
        <v>229</v>
      </c>
      <c r="B26" s="1"/>
      <c r="C26" s="100"/>
      <c r="D26" s="1"/>
      <c r="E26" s="1"/>
      <c r="F26" s="1"/>
      <c r="G26" s="1"/>
      <c r="H26" s="1"/>
      <c r="I26" s="1"/>
      <c r="J26" s="1"/>
    </row>
    <row r="27" spans="1:10" ht="15" customHeight="1" thickBot="1" x14ac:dyDescent="0.35">
      <c r="A27" s="1"/>
      <c r="B27" s="1" t="s">
        <v>71</v>
      </c>
      <c r="C27" s="170">
        <f>C23+(C25/60)</f>
        <v>17.24603861891357</v>
      </c>
      <c r="D27" s="53" t="s">
        <v>22</v>
      </c>
      <c r="E27" s="224">
        <f>C27/24</f>
        <v>0.71858494245473203</v>
      </c>
      <c r="F27" s="1"/>
      <c r="G27" s="1"/>
      <c r="H27" s="1"/>
      <c r="I27" s="1"/>
      <c r="J27" s="1"/>
    </row>
    <row r="28" spans="1:10" ht="15" customHeight="1" thickBot="1" x14ac:dyDescent="0.35">
      <c r="A28" s="1"/>
      <c r="B28" s="1" t="s">
        <v>70</v>
      </c>
      <c r="C28" s="170">
        <f>C27-(12-Time!C27)</f>
        <v>17.214505647336697</v>
      </c>
      <c r="D28" s="53" t="s">
        <v>22</v>
      </c>
      <c r="E28" s="41">
        <f>C28/24</f>
        <v>0.71727106863902901</v>
      </c>
      <c r="F28" s="1"/>
      <c r="G28" s="1"/>
      <c r="H28" s="1"/>
      <c r="I28" s="1"/>
      <c r="J28" s="1"/>
    </row>
    <row r="29" spans="1:10" ht="15" customHeight="1" x14ac:dyDescent="0.3">
      <c r="A29" s="1"/>
      <c r="B29" s="1"/>
      <c r="C29" s="1"/>
      <c r="D29" s="1"/>
      <c r="E29" s="1"/>
      <c r="F29" s="1"/>
      <c r="G29" s="1"/>
      <c r="H29" s="1"/>
      <c r="I29" s="1"/>
      <c r="J29" s="1"/>
    </row>
    <row r="30" spans="1:10" ht="15" customHeight="1" x14ac:dyDescent="0.3">
      <c r="A30" s="1"/>
      <c r="B30" s="1"/>
      <c r="C30" s="1"/>
      <c r="D30" s="1"/>
      <c r="E30" s="1"/>
      <c r="F30" s="1"/>
      <c r="G30" s="1"/>
      <c r="H30" s="1"/>
      <c r="I30" s="1"/>
      <c r="J30" s="1"/>
    </row>
    <row r="31" spans="1:10" ht="15" customHeight="1" thickBot="1" x14ac:dyDescent="0.35">
      <c r="A31" s="1"/>
      <c r="B31" s="43" t="s">
        <v>72</v>
      </c>
      <c r="C31" s="174">
        <f>C28-C16</f>
        <v>10.492077237827139</v>
      </c>
      <c r="D31" s="175" t="s">
        <v>73</v>
      </c>
      <c r="E31" s="1"/>
      <c r="F31" s="1"/>
      <c r="G31" s="1"/>
      <c r="H31" s="1"/>
      <c r="I31" s="1"/>
      <c r="J31" s="1"/>
    </row>
    <row r="32" spans="1:10" ht="15" customHeight="1" thickTop="1" x14ac:dyDescent="0.3">
      <c r="A32" s="1"/>
      <c r="B32" s="1"/>
      <c r="C32" s="1"/>
      <c r="D32" s="1"/>
      <c r="E32" s="1"/>
      <c r="F32" s="1"/>
      <c r="G32" s="1"/>
      <c r="H32" s="1"/>
      <c r="I32" s="1"/>
      <c r="J32" s="1"/>
    </row>
  </sheetData>
  <mergeCells count="4">
    <mergeCell ref="A3:J5"/>
    <mergeCell ref="A7:E7"/>
    <mergeCell ref="A19:E19"/>
    <mergeCell ref="A1:J2"/>
  </mergeCells>
  <pageMargins left="0.7" right="0.7" top="0.75" bottom="0.75" header="0.3" footer="0.3"/>
  <pageSetup orientation="portrait" horizontalDpi="1200" verticalDpi="120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sheetPr>
  <dimension ref="A1"/>
  <sheetViews>
    <sheetView zoomScale="80" zoomScaleNormal="80" zoomScalePageLayoutView="80" workbookViewId="0">
      <selection activeCell="AC16" sqref="AC16"/>
    </sheetView>
  </sheetViews>
  <sheetFormatPr defaultColWidth="8.77734375" defaultRowHeight="13.2" x14ac:dyDescent="0.25"/>
  <sheetData/>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1:P34"/>
  <sheetViews>
    <sheetView workbookViewId="0">
      <selection activeCell="C21" sqref="C21"/>
    </sheetView>
  </sheetViews>
  <sheetFormatPr defaultColWidth="8.77734375" defaultRowHeight="13.2" x14ac:dyDescent="0.25"/>
  <cols>
    <col min="1" max="1" width="10" bestFit="1" customWidth="1"/>
    <col min="2" max="2" width="12.109375" bestFit="1" customWidth="1"/>
    <col min="3" max="3" width="7.77734375" bestFit="1" customWidth="1"/>
    <col min="4" max="4" width="8.77734375" bestFit="1" customWidth="1"/>
    <col min="5" max="5" width="8.77734375" customWidth="1"/>
    <col min="7" max="7" width="8.6640625" bestFit="1" customWidth="1"/>
    <col min="8" max="8" width="10.109375" bestFit="1" customWidth="1"/>
    <col min="9" max="9" width="8.44140625" bestFit="1" customWidth="1"/>
    <col min="11" max="11" width="15.109375" bestFit="1" customWidth="1"/>
  </cols>
  <sheetData>
    <row r="1" spans="1:16" x14ac:dyDescent="0.25">
      <c r="A1" s="42" t="s">
        <v>166</v>
      </c>
      <c r="B1" s="42" t="s">
        <v>81</v>
      </c>
      <c r="C1" s="42" t="s">
        <v>60</v>
      </c>
      <c r="D1" s="42" t="s">
        <v>84</v>
      </c>
      <c r="E1" s="42"/>
      <c r="G1" s="45" t="s">
        <v>85</v>
      </c>
      <c r="H1" s="45" t="s">
        <v>86</v>
      </c>
      <c r="I1" s="45" t="s">
        <v>87</v>
      </c>
      <c r="K1" s="42" t="s">
        <v>55</v>
      </c>
      <c r="L1">
        <f>Time!P4</f>
        <v>42.611719999999998</v>
      </c>
    </row>
    <row r="2" spans="1:16" x14ac:dyDescent="0.25">
      <c r="A2">
        <v>4.5</v>
      </c>
      <c r="B2" s="46">
        <f t="shared" ref="B2:B32" si="0">DEGREES(ASIN(COS(RADIANS($L$1))*COS(RADIANS($L$3))*COS(RADIANS(H2))+SIN(RADIANS($L$1))*SIN(RADIANS($L$3))))</f>
        <v>-25.449958228289965</v>
      </c>
      <c r="C2" s="46">
        <f t="shared" ref="C2:C32" si="1">IF(COS(RADIANS(H2))&gt;=((TAN(RADIANS($L$3)))/(TAN(RADIANS($L$1)))),(DEGREES(ASIN(COS(RADIANS($L$3))*SIN(RADIANS(H2))/COS(RADIANS(B2))))),IF(A2&lt;12,(180-DEGREES(ASIN(COS(RADIANS($L$3))*SIN(RADIANS(H2))/COS(RADIANS(B2))))),(180-DEGREES(ASIN(COS(RADIANS($L$3))*SIN(RADIANS(H2))/COS(RADIANS(B2))))-360)))</f>
        <v>95.272633345963314</v>
      </c>
      <c r="D2" s="48">
        <f>IF(B2&gt;0,Insolation!$E$11*EXP(-Insolation!$E$12*I2),0)</f>
        <v>0</v>
      </c>
      <c r="E2" s="48"/>
      <c r="G2" s="46">
        <f>12-A2</f>
        <v>7.5</v>
      </c>
      <c r="H2" s="46">
        <f t="shared" ref="H2:H32" si="2">15*G2</f>
        <v>112.5</v>
      </c>
      <c r="I2" s="47">
        <f>ABS(1/SIN(RADIANS(B2)))</f>
        <v>2.3270825236303709</v>
      </c>
      <c r="K2" s="42" t="s">
        <v>42</v>
      </c>
      <c r="L2">
        <f>Time!P9</f>
        <v>46</v>
      </c>
    </row>
    <row r="3" spans="1:16" x14ac:dyDescent="0.25">
      <c r="A3">
        <v>5</v>
      </c>
      <c r="B3" s="46">
        <f t="shared" si="0"/>
        <v>-19.938090261320426</v>
      </c>
      <c r="C3" s="46">
        <f t="shared" si="1"/>
        <v>90.083113619723164</v>
      </c>
      <c r="D3" s="48">
        <f>IF(B3&gt;0,Insolation!$E$11*EXP(-Insolation!$E$12*I3),0)</f>
        <v>0</v>
      </c>
      <c r="E3" s="48"/>
      <c r="G3" s="46">
        <f t="shared" ref="G3:G32" si="3">12-A3</f>
        <v>7</v>
      </c>
      <c r="H3" s="46">
        <f t="shared" si="2"/>
        <v>105</v>
      </c>
      <c r="I3" s="47">
        <f t="shared" ref="I3:I32" si="4">ABS(1/SIN(RADIANS(B3)))</f>
        <v>2.9325119419330234</v>
      </c>
      <c r="K3" s="42" t="s">
        <v>80</v>
      </c>
      <c r="L3" s="44">
        <f>Angles!F10</f>
        <v>-13.289156185026709</v>
      </c>
    </row>
    <row r="4" spans="1:16" x14ac:dyDescent="0.25">
      <c r="A4">
        <v>5.5</v>
      </c>
      <c r="B4" s="46">
        <f t="shared" si="0"/>
        <v>-14.425127499009745</v>
      </c>
      <c r="C4" s="46">
        <f t="shared" si="1"/>
        <v>85.073630000199515</v>
      </c>
      <c r="D4" s="48">
        <f>IF(B4&gt;0,Insolation!$E$11*EXP(-Insolation!$E$12*I4),0)</f>
        <v>0</v>
      </c>
      <c r="E4" s="48"/>
      <c r="G4" s="46">
        <f t="shared" si="3"/>
        <v>6.5</v>
      </c>
      <c r="H4" s="46">
        <f>15*G4</f>
        <v>97.5</v>
      </c>
      <c r="I4" s="47">
        <f t="shared" si="4"/>
        <v>4.014216061445441</v>
      </c>
    </row>
    <row r="5" spans="1:16" x14ac:dyDescent="0.25">
      <c r="A5">
        <v>6</v>
      </c>
      <c r="B5" s="46">
        <f t="shared" si="0"/>
        <v>-8.9530502893945059</v>
      </c>
      <c r="C5" s="46">
        <f t="shared" si="1"/>
        <v>80.13902393275697</v>
      </c>
      <c r="D5" s="48">
        <f>IF(B5&gt;0,Insolation!$E$11*EXP(-Insolation!$E$12*I5),0)</f>
        <v>0</v>
      </c>
      <c r="E5" s="48"/>
      <c r="G5" s="46">
        <f t="shared" si="3"/>
        <v>6</v>
      </c>
      <c r="H5" s="46">
        <f t="shared" si="2"/>
        <v>90</v>
      </c>
      <c r="I5" s="47">
        <f t="shared" si="4"/>
        <v>6.4256997523177368</v>
      </c>
    </row>
    <row r="6" spans="1:16" x14ac:dyDescent="0.25">
      <c r="A6">
        <v>6.5</v>
      </c>
      <c r="B6" s="46">
        <f t="shared" si="0"/>
        <v>-3.5623970281702753</v>
      </c>
      <c r="C6" s="46">
        <f t="shared" si="1"/>
        <v>75.186774591572046</v>
      </c>
      <c r="D6" s="48">
        <f>IF(B6&gt;0,Insolation!$E$11*EXP(-Insolation!$E$12*I6),0)</f>
        <v>0</v>
      </c>
      <c r="E6" s="48"/>
      <c r="G6" s="46">
        <f t="shared" si="3"/>
        <v>5.5</v>
      </c>
      <c r="H6" s="46">
        <f t="shared" si="2"/>
        <v>82.5</v>
      </c>
      <c r="I6" s="47">
        <f t="shared" si="4"/>
        <v>16.093857979891986</v>
      </c>
    </row>
    <row r="7" spans="1:16" x14ac:dyDescent="0.25">
      <c r="A7">
        <v>7</v>
      </c>
      <c r="B7" s="46">
        <f t="shared" si="0"/>
        <v>1.7050549564961923</v>
      </c>
      <c r="C7" s="46">
        <f t="shared" si="1"/>
        <v>70.131826047998103</v>
      </c>
      <c r="D7" s="48">
        <f>IF(B7&gt;0,Insolation!$E$11*EXP(-Insolation!$E$12*I7),0)</f>
        <v>8.9916938996882756</v>
      </c>
      <c r="E7" s="48"/>
      <c r="G7" s="46">
        <f t="shared" si="3"/>
        <v>5</v>
      </c>
      <c r="H7" s="46">
        <f t="shared" si="2"/>
        <v>75</v>
      </c>
      <c r="I7" s="47">
        <f t="shared" si="4"/>
        <v>33.608439954771534</v>
      </c>
    </row>
    <row r="8" spans="1:16" x14ac:dyDescent="0.25">
      <c r="A8">
        <v>7.5</v>
      </c>
      <c r="B8" s="46">
        <f t="shared" si="0"/>
        <v>6.8039528093331176</v>
      </c>
      <c r="C8" s="46">
        <f t="shared" si="1"/>
        <v>64.893072781665865</v>
      </c>
      <c r="D8" s="48">
        <f>IF(B8&gt;0,Insolation!$E$11*EXP(-Insolation!$E$12*I8),0)</f>
        <v>354.1004950008591</v>
      </c>
      <c r="E8" s="48"/>
      <c r="G8" s="46">
        <f t="shared" si="3"/>
        <v>4.5</v>
      </c>
      <c r="H8" s="46">
        <f t="shared" si="2"/>
        <v>67.5</v>
      </c>
      <c r="I8" s="47">
        <f t="shared" si="4"/>
        <v>8.4407793722751521</v>
      </c>
    </row>
    <row r="9" spans="1:16" x14ac:dyDescent="0.25">
      <c r="A9">
        <v>8</v>
      </c>
      <c r="B9" s="46">
        <f t="shared" si="0"/>
        <v>11.68322721837877</v>
      </c>
      <c r="C9" s="46">
        <f t="shared" si="1"/>
        <v>59.3914990710106</v>
      </c>
      <c r="D9" s="48">
        <f>IF(B9&gt;0,Insolation!$E$11*EXP(-Insolation!$E$12*I9),0)</f>
        <v>590.38937455586233</v>
      </c>
      <c r="E9" s="48"/>
      <c r="G9" s="46">
        <f t="shared" si="3"/>
        <v>4</v>
      </c>
      <c r="H9" s="46">
        <f t="shared" si="2"/>
        <v>60</v>
      </c>
      <c r="I9" s="47">
        <f t="shared" si="4"/>
        <v>4.9382562725088794</v>
      </c>
    </row>
    <row r="10" spans="1:16" x14ac:dyDescent="0.25">
      <c r="A10">
        <v>8.5</v>
      </c>
      <c r="B10" s="46">
        <f t="shared" si="0"/>
        <v>16.284148351568202</v>
      </c>
      <c r="C10" s="46">
        <f t="shared" si="1"/>
        <v>53.55028289523915</v>
      </c>
      <c r="D10" s="48">
        <f>IF(B10&gt;0,Insolation!$E$11*EXP(-Insolation!$E$12*I10),0)</f>
        <v>721.27446990940007</v>
      </c>
      <c r="E10" s="48"/>
      <c r="G10" s="46">
        <f t="shared" si="3"/>
        <v>3.5</v>
      </c>
      <c r="H10" s="46">
        <f t="shared" si="2"/>
        <v>52.5</v>
      </c>
      <c r="I10" s="47">
        <f t="shared" si="4"/>
        <v>3.5663191170780166</v>
      </c>
    </row>
    <row r="11" spans="1:16" x14ac:dyDescent="0.25">
      <c r="A11">
        <v>9</v>
      </c>
      <c r="B11" s="46">
        <f t="shared" si="0"/>
        <v>20.538772345784377</v>
      </c>
      <c r="C11" s="46">
        <f t="shared" si="1"/>
        <v>47.297511279853147</v>
      </c>
      <c r="D11" s="48">
        <f>IF(B11&gt;0,Insolation!$E$11*EXP(-Insolation!$E$12*I11),0)</f>
        <v>800.73133617716041</v>
      </c>
      <c r="E11" s="48"/>
      <c r="G11" s="46">
        <f t="shared" si="3"/>
        <v>3</v>
      </c>
      <c r="H11" s="46">
        <f t="shared" si="2"/>
        <v>45</v>
      </c>
      <c r="I11" s="47">
        <f t="shared" si="4"/>
        <v>2.8502927740371504</v>
      </c>
    </row>
    <row r="12" spans="1:16" x14ac:dyDescent="0.25">
      <c r="A12">
        <v>9.5</v>
      </c>
      <c r="B12" s="46">
        <f t="shared" si="0"/>
        <v>24.369234550087153</v>
      </c>
      <c r="C12" s="46">
        <f t="shared" si="1"/>
        <v>40.57238109013921</v>
      </c>
      <c r="D12" s="48">
        <f>IF(B12&gt;0,Insolation!$E$11*EXP(-Insolation!$E$12*I12),0)</f>
        <v>852.1882622976857</v>
      </c>
      <c r="E12" s="48"/>
      <c r="G12" s="46">
        <f t="shared" si="3"/>
        <v>2.5</v>
      </c>
      <c r="H12" s="46">
        <f t="shared" si="2"/>
        <v>37.5</v>
      </c>
      <c r="I12" s="47">
        <f t="shared" si="4"/>
        <v>2.423564583747738</v>
      </c>
    </row>
    <row r="13" spans="1:16" x14ac:dyDescent="0.25">
      <c r="A13">
        <v>10</v>
      </c>
      <c r="B13" s="46">
        <f t="shared" si="0"/>
        <v>27.688662553652001</v>
      </c>
      <c r="C13" s="46">
        <f t="shared" si="1"/>
        <v>33.335572800022035</v>
      </c>
      <c r="D13" s="48">
        <f>IF(B13&gt;0,Insolation!$E$11*EXP(-Insolation!$E$12*I13),0)</f>
        <v>886.63318383334718</v>
      </c>
      <c r="E13" s="48"/>
      <c r="G13" s="46">
        <f t="shared" si="3"/>
        <v>2</v>
      </c>
      <c r="H13" s="46">
        <f t="shared" si="2"/>
        <v>30</v>
      </c>
      <c r="I13" s="47">
        <f t="shared" si="4"/>
        <v>2.1520795476523604</v>
      </c>
      <c r="O13" t="s">
        <v>60</v>
      </c>
    </row>
    <row r="14" spans="1:16" x14ac:dyDescent="0.25">
      <c r="A14">
        <v>10.5</v>
      </c>
      <c r="B14" s="46">
        <f t="shared" si="0"/>
        <v>30.404728225611251</v>
      </c>
      <c r="C14" s="46">
        <f t="shared" si="1"/>
        <v>25.583372877122184</v>
      </c>
      <c r="D14" s="48">
        <f>IF(B14&gt;0,Insolation!$E$11*EXP(-Insolation!$E$12*I14),0)</f>
        <v>909.73090582521161</v>
      </c>
      <c r="E14" s="48"/>
      <c r="G14" s="46">
        <f t="shared" si="3"/>
        <v>1.5</v>
      </c>
      <c r="H14" s="46">
        <f t="shared" si="2"/>
        <v>22.5</v>
      </c>
      <c r="I14" s="47">
        <f t="shared" si="4"/>
        <v>1.9758748068832597</v>
      </c>
      <c r="N14" t="s">
        <v>83</v>
      </c>
      <c r="P14" t="s">
        <v>84</v>
      </c>
    </row>
    <row r="15" spans="1:16" x14ac:dyDescent="0.25">
      <c r="A15">
        <v>11</v>
      </c>
      <c r="B15" s="46">
        <f t="shared" si="0"/>
        <v>32.426731270010215</v>
      </c>
      <c r="C15" s="46">
        <f t="shared" si="1"/>
        <v>17.362642625459838</v>
      </c>
      <c r="D15" s="48">
        <f>IF(B15&gt;0,Insolation!$E$11*EXP(-Insolation!$E$12*I15),0)</f>
        <v>924.58529959457962</v>
      </c>
      <c r="E15" s="48"/>
      <c r="G15" s="46">
        <f t="shared" si="3"/>
        <v>1</v>
      </c>
      <c r="H15" s="46">
        <f t="shared" si="2"/>
        <v>15</v>
      </c>
      <c r="I15" s="47">
        <f t="shared" si="4"/>
        <v>1.8649039112189896</v>
      </c>
      <c r="O15" t="s">
        <v>82</v>
      </c>
    </row>
    <row r="16" spans="1:16" x14ac:dyDescent="0.25">
      <c r="A16">
        <v>11.5</v>
      </c>
      <c r="B16" s="46">
        <f t="shared" si="0"/>
        <v>33.676193524236474</v>
      </c>
      <c r="C16" s="46">
        <f t="shared" si="1"/>
        <v>8.7803924675488805</v>
      </c>
      <c r="D16" s="48">
        <f>IF(B16&gt;0,Insolation!$E$11*EXP(-Insolation!$E$12*I16),0)</f>
        <v>932.91814854940628</v>
      </c>
      <c r="E16" s="48"/>
      <c r="G16" s="46">
        <f t="shared" si="3"/>
        <v>0.5</v>
      </c>
      <c r="H16" s="46">
        <f t="shared" si="2"/>
        <v>7.5</v>
      </c>
      <c r="I16" s="47">
        <f t="shared" si="4"/>
        <v>1.8034307336399653</v>
      </c>
    </row>
    <row r="17" spans="1:9" x14ac:dyDescent="0.25">
      <c r="A17">
        <v>12</v>
      </c>
      <c r="B17" s="46">
        <f t="shared" si="0"/>
        <v>34.099123814973296</v>
      </c>
      <c r="C17" s="46">
        <f t="shared" si="1"/>
        <v>0</v>
      </c>
      <c r="D17" s="48">
        <f>IF(B17&gt;0,Insolation!$E$11*EXP(-Insolation!$E$12*I17),0)</f>
        <v>935.60595535953576</v>
      </c>
      <c r="E17" s="48"/>
      <c r="G17" s="46">
        <f t="shared" si="3"/>
        <v>0</v>
      </c>
      <c r="H17" s="46">
        <f t="shared" si="2"/>
        <v>0</v>
      </c>
      <c r="I17" s="47">
        <f t="shared" si="4"/>
        <v>1.7837192863456006</v>
      </c>
    </row>
    <row r="18" spans="1:9" x14ac:dyDescent="0.25">
      <c r="A18">
        <v>12.5</v>
      </c>
      <c r="B18" s="46">
        <f t="shared" si="0"/>
        <v>33.676193524236474</v>
      </c>
      <c r="C18" s="46">
        <f t="shared" si="1"/>
        <v>-8.7803924675488805</v>
      </c>
      <c r="D18" s="48">
        <f>IF(B18&gt;0,Insolation!$E$11*EXP(-Insolation!$E$12*I18),0)</f>
        <v>932.91814854940628</v>
      </c>
      <c r="E18" s="48"/>
      <c r="G18" s="46">
        <f t="shared" si="3"/>
        <v>-0.5</v>
      </c>
      <c r="H18" s="46">
        <f t="shared" si="2"/>
        <v>-7.5</v>
      </c>
      <c r="I18" s="47">
        <f t="shared" si="4"/>
        <v>1.8034307336399653</v>
      </c>
    </row>
    <row r="19" spans="1:9" x14ac:dyDescent="0.25">
      <c r="A19">
        <v>13</v>
      </c>
      <c r="B19" s="46">
        <f t="shared" si="0"/>
        <v>32.426731270010215</v>
      </c>
      <c r="C19" s="46">
        <f t="shared" si="1"/>
        <v>-17.362642625459838</v>
      </c>
      <c r="D19" s="48">
        <f>IF(B19&gt;0,Insolation!$E$11*EXP(-Insolation!$E$12*I19),0)</f>
        <v>924.58529959457962</v>
      </c>
      <c r="E19" s="48"/>
      <c r="G19" s="46">
        <f t="shared" si="3"/>
        <v>-1</v>
      </c>
      <c r="H19" s="46">
        <f t="shared" si="2"/>
        <v>-15</v>
      </c>
      <c r="I19" s="47">
        <f t="shared" si="4"/>
        <v>1.8649039112189896</v>
      </c>
    </row>
    <row r="20" spans="1:9" x14ac:dyDescent="0.25">
      <c r="A20">
        <v>13.5</v>
      </c>
      <c r="B20" s="46">
        <f t="shared" si="0"/>
        <v>30.404728225611251</v>
      </c>
      <c r="C20" s="46">
        <f t="shared" si="1"/>
        <v>-25.583372877122184</v>
      </c>
      <c r="D20" s="48">
        <f>IF(B20&gt;0,Insolation!$E$11*EXP(-Insolation!$E$12*I20),0)</f>
        <v>909.73090582521161</v>
      </c>
      <c r="E20" s="48"/>
      <c r="G20" s="46">
        <f t="shared" si="3"/>
        <v>-1.5</v>
      </c>
      <c r="H20" s="46">
        <f t="shared" si="2"/>
        <v>-22.5</v>
      </c>
      <c r="I20" s="47">
        <f t="shared" si="4"/>
        <v>1.9758748068832597</v>
      </c>
    </row>
    <row r="21" spans="1:9" x14ac:dyDescent="0.25">
      <c r="A21">
        <v>14</v>
      </c>
      <c r="B21" s="46">
        <f t="shared" si="0"/>
        <v>27.688662553652001</v>
      </c>
      <c r="C21" s="46">
        <f t="shared" si="1"/>
        <v>-33.335572800022028</v>
      </c>
      <c r="D21" s="48">
        <f>IF(B21&gt;0,Insolation!$E$11*EXP(-Insolation!$E$12*I21),0)</f>
        <v>886.63318383334718</v>
      </c>
      <c r="E21" s="48"/>
      <c r="G21" s="46">
        <f t="shared" si="3"/>
        <v>-2</v>
      </c>
      <c r="H21" s="46">
        <f t="shared" si="2"/>
        <v>-30</v>
      </c>
      <c r="I21" s="47">
        <f t="shared" si="4"/>
        <v>2.1520795476523604</v>
      </c>
    </row>
    <row r="22" spans="1:9" x14ac:dyDescent="0.25">
      <c r="A22">
        <v>14.5</v>
      </c>
      <c r="B22" s="46">
        <f t="shared" si="0"/>
        <v>24.369234550087153</v>
      </c>
      <c r="C22" s="46">
        <f t="shared" si="1"/>
        <v>-40.57238109013921</v>
      </c>
      <c r="D22" s="48">
        <f>IF(B22&gt;0,Insolation!$E$11*EXP(-Insolation!$E$12*I22),0)</f>
        <v>852.1882622976857</v>
      </c>
      <c r="E22" s="48"/>
      <c r="G22" s="46">
        <f t="shared" si="3"/>
        <v>-2.5</v>
      </c>
      <c r="H22" s="46">
        <f t="shared" si="2"/>
        <v>-37.5</v>
      </c>
      <c r="I22" s="47">
        <f t="shared" si="4"/>
        <v>2.423564583747738</v>
      </c>
    </row>
    <row r="23" spans="1:9" x14ac:dyDescent="0.25">
      <c r="A23">
        <v>15</v>
      </c>
      <c r="B23" s="46">
        <f t="shared" si="0"/>
        <v>20.538772345784377</v>
      </c>
      <c r="C23" s="46">
        <f t="shared" si="1"/>
        <v>-47.297511279853147</v>
      </c>
      <c r="D23" s="48">
        <f>IF(B23&gt;0,Insolation!$E$11*EXP(-Insolation!$E$12*I23),0)</f>
        <v>800.73133617716041</v>
      </c>
      <c r="E23" s="48"/>
      <c r="G23" s="46">
        <f t="shared" si="3"/>
        <v>-3</v>
      </c>
      <c r="H23" s="46">
        <f t="shared" si="2"/>
        <v>-45</v>
      </c>
      <c r="I23" s="47">
        <f t="shared" si="4"/>
        <v>2.8502927740371504</v>
      </c>
    </row>
    <row r="24" spans="1:9" x14ac:dyDescent="0.25">
      <c r="A24">
        <v>15.5</v>
      </c>
      <c r="B24" s="46">
        <f t="shared" si="0"/>
        <v>16.284148351568202</v>
      </c>
      <c r="C24" s="46">
        <f t="shared" si="1"/>
        <v>-53.550282895239135</v>
      </c>
      <c r="D24" s="48">
        <f>IF(B24&gt;0,Insolation!$E$11*EXP(-Insolation!$E$12*I24),0)</f>
        <v>721.27446990940007</v>
      </c>
      <c r="E24" s="48"/>
      <c r="G24" s="46">
        <f t="shared" si="3"/>
        <v>-3.5</v>
      </c>
      <c r="H24" s="46">
        <f t="shared" si="2"/>
        <v>-52.5</v>
      </c>
      <c r="I24" s="47">
        <f t="shared" si="4"/>
        <v>3.5663191170780166</v>
      </c>
    </row>
    <row r="25" spans="1:9" x14ac:dyDescent="0.25">
      <c r="A25">
        <v>16</v>
      </c>
      <c r="B25" s="46">
        <f t="shared" si="0"/>
        <v>11.68322721837877</v>
      </c>
      <c r="C25" s="46">
        <f t="shared" si="1"/>
        <v>-59.391499071010585</v>
      </c>
      <c r="D25" s="48">
        <f>IF(B25&gt;0,Insolation!$E$11*EXP(-Insolation!$E$12*I25),0)</f>
        <v>590.38937455586233</v>
      </c>
      <c r="E25" s="48"/>
      <c r="G25" s="46">
        <f t="shared" si="3"/>
        <v>-4</v>
      </c>
      <c r="H25" s="46">
        <f t="shared" si="2"/>
        <v>-60</v>
      </c>
      <c r="I25" s="47">
        <f t="shared" si="4"/>
        <v>4.9382562725088794</v>
      </c>
    </row>
    <row r="26" spans="1:9" x14ac:dyDescent="0.25">
      <c r="A26">
        <v>16.5</v>
      </c>
      <c r="B26" s="46">
        <f t="shared" si="0"/>
        <v>6.8039528093331176</v>
      </c>
      <c r="C26" s="46">
        <f t="shared" si="1"/>
        <v>-64.893072781665865</v>
      </c>
      <c r="D26" s="48">
        <f>IF(B26&gt;0,Insolation!$E$11*EXP(-Insolation!$E$12*I26),0)</f>
        <v>354.1004950008591</v>
      </c>
      <c r="E26" s="48"/>
      <c r="G26" s="46">
        <f t="shared" si="3"/>
        <v>-4.5</v>
      </c>
      <c r="H26" s="46">
        <f t="shared" si="2"/>
        <v>-67.5</v>
      </c>
      <c r="I26" s="47">
        <f t="shared" si="4"/>
        <v>8.4407793722751521</v>
      </c>
    </row>
    <row r="27" spans="1:9" x14ac:dyDescent="0.25">
      <c r="A27">
        <v>17</v>
      </c>
      <c r="B27" s="46">
        <f t="shared" si="0"/>
        <v>1.7050549564961923</v>
      </c>
      <c r="C27" s="46">
        <f t="shared" si="1"/>
        <v>-70.131826047998075</v>
      </c>
      <c r="D27" s="48">
        <f>IF(B27&gt;0,Insolation!$E$11*EXP(-Insolation!$E$12*I27),0)</f>
        <v>8.9916938996882756</v>
      </c>
      <c r="E27" s="48"/>
      <c r="G27" s="46">
        <f t="shared" si="3"/>
        <v>-5</v>
      </c>
      <c r="H27" s="46">
        <f t="shared" si="2"/>
        <v>-75</v>
      </c>
      <c r="I27" s="47">
        <f t="shared" si="4"/>
        <v>33.608439954771534</v>
      </c>
    </row>
    <row r="28" spans="1:9" x14ac:dyDescent="0.25">
      <c r="A28">
        <v>17.5</v>
      </c>
      <c r="B28" s="46">
        <f t="shared" si="0"/>
        <v>-3.5623970281702753</v>
      </c>
      <c r="C28" s="46">
        <f t="shared" si="1"/>
        <v>-75.186774591572046</v>
      </c>
      <c r="D28" s="48">
        <f>IF(B28&gt;0,Insolation!$E$11*EXP(-Insolation!$E$12*I28),0)</f>
        <v>0</v>
      </c>
      <c r="E28" s="48"/>
      <c r="G28" s="46">
        <f t="shared" si="3"/>
        <v>-5.5</v>
      </c>
      <c r="H28" s="46">
        <f t="shared" si="2"/>
        <v>-82.5</v>
      </c>
      <c r="I28" s="47">
        <f t="shared" si="4"/>
        <v>16.093857979891986</v>
      </c>
    </row>
    <row r="29" spans="1:9" x14ac:dyDescent="0.25">
      <c r="A29">
        <v>18</v>
      </c>
      <c r="B29" s="46">
        <f t="shared" si="0"/>
        <v>-8.9530502893945059</v>
      </c>
      <c r="C29" s="46">
        <f t="shared" si="1"/>
        <v>-80.13902393275697</v>
      </c>
      <c r="D29" s="48">
        <f>IF(B29&gt;0,Insolation!$E$11*EXP(-Insolation!$E$12*I29),0)</f>
        <v>0</v>
      </c>
      <c r="E29" s="48"/>
      <c r="G29" s="46">
        <f t="shared" si="3"/>
        <v>-6</v>
      </c>
      <c r="H29" s="46">
        <f t="shared" si="2"/>
        <v>-90</v>
      </c>
      <c r="I29" s="47">
        <f t="shared" si="4"/>
        <v>6.4256997523177368</v>
      </c>
    </row>
    <row r="30" spans="1:9" x14ac:dyDescent="0.25">
      <c r="A30">
        <v>18.5</v>
      </c>
      <c r="B30" s="46">
        <f t="shared" si="0"/>
        <v>-14.425127499009745</v>
      </c>
      <c r="C30" s="46">
        <f t="shared" si="1"/>
        <v>-85.073630000199444</v>
      </c>
      <c r="D30" s="48">
        <f>IF(B30&gt;0,Insolation!$E$11*EXP(-Insolation!$E$12*I30),0)</f>
        <v>0</v>
      </c>
      <c r="E30" s="48"/>
      <c r="G30" s="46">
        <f t="shared" si="3"/>
        <v>-6.5</v>
      </c>
      <c r="H30" s="46">
        <f t="shared" si="2"/>
        <v>-97.5</v>
      </c>
      <c r="I30" s="47">
        <f t="shared" si="4"/>
        <v>4.014216061445441</v>
      </c>
    </row>
    <row r="31" spans="1:9" x14ac:dyDescent="0.25">
      <c r="A31">
        <v>19</v>
      </c>
      <c r="B31" s="46">
        <f t="shared" si="0"/>
        <v>-19.938090261320426</v>
      </c>
      <c r="C31" s="46">
        <f t="shared" si="1"/>
        <v>-90.083113619723179</v>
      </c>
      <c r="D31" s="48">
        <f>IF(B31&gt;0,Insolation!$E$11*EXP(-Insolation!$E$12*I31),0)</f>
        <v>0</v>
      </c>
      <c r="E31" s="48"/>
      <c r="G31" s="46">
        <f t="shared" si="3"/>
        <v>-7</v>
      </c>
      <c r="H31" s="46">
        <f t="shared" si="2"/>
        <v>-105</v>
      </c>
      <c r="I31" s="47">
        <f t="shared" si="4"/>
        <v>2.9325119419330234</v>
      </c>
    </row>
    <row r="32" spans="1:9" x14ac:dyDescent="0.25">
      <c r="A32">
        <v>19.5</v>
      </c>
      <c r="B32" s="46">
        <f t="shared" si="0"/>
        <v>-25.449958228289965</v>
      </c>
      <c r="C32" s="46">
        <f t="shared" si="1"/>
        <v>-95.2726333459633</v>
      </c>
      <c r="D32" s="48">
        <f>IF(B32&gt;0,Insolation!$E$11*EXP(-Insolation!$E$12*I32),0)</f>
        <v>0</v>
      </c>
      <c r="E32" s="48"/>
      <c r="G32" s="46">
        <f t="shared" si="3"/>
        <v>-7.5</v>
      </c>
      <c r="H32" s="46">
        <f t="shared" si="2"/>
        <v>-112.5</v>
      </c>
      <c r="I32" s="47">
        <f t="shared" si="4"/>
        <v>2.3270825236303709</v>
      </c>
    </row>
    <row r="33" spans="1:4" ht="13.8" thickBot="1" x14ac:dyDescent="0.3"/>
    <row r="34" spans="1:4" ht="13.8" thickBot="1" x14ac:dyDescent="0.3">
      <c r="A34" s="49">
        <f>Time!H13</f>
        <v>9.3666666666666671</v>
      </c>
      <c r="B34" s="50">
        <f>Angles!F18</f>
        <v>23.62784321185223</v>
      </c>
      <c r="C34" s="50">
        <f>Angles!F19</f>
        <v>41.982247743695133</v>
      </c>
      <c r="D34" s="51">
        <f>Insolation!E27</f>
        <v>843.34376419344221</v>
      </c>
    </row>
  </sheetData>
  <conditionalFormatting sqref="A2:A32">
    <cfRule type="cellIs" dxfId="0" priority="6" operator="equal">
      <formula>$A$34</formula>
    </cfRule>
  </conditionalFormatting>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sheetPr>
  <dimension ref="A1:DW127"/>
  <sheetViews>
    <sheetView workbookViewId="0">
      <selection activeCell="C21" sqref="C21"/>
    </sheetView>
  </sheetViews>
  <sheetFormatPr defaultColWidth="8.77734375" defaultRowHeight="13.2" x14ac:dyDescent="0.25"/>
  <cols>
    <col min="1" max="1" width="10" bestFit="1" customWidth="1"/>
    <col min="2" max="2" width="12.44140625" bestFit="1" customWidth="1"/>
    <col min="3" max="3" width="11.44140625" bestFit="1" customWidth="1"/>
    <col min="4" max="4" width="9" bestFit="1" customWidth="1"/>
    <col min="5" max="5" width="10" bestFit="1" customWidth="1"/>
    <col min="6" max="6" width="9.33203125" bestFit="1" customWidth="1"/>
    <col min="7" max="7" width="7.33203125" bestFit="1" customWidth="1"/>
    <col min="8" max="8" width="8.109375" customWidth="1"/>
    <col min="9" max="9" width="11" bestFit="1" customWidth="1"/>
    <col min="10" max="10" width="9.6640625" bestFit="1" customWidth="1"/>
    <col min="11" max="13" width="10.33203125" bestFit="1" customWidth="1"/>
    <col min="14" max="15" width="7.44140625" bestFit="1" customWidth="1"/>
    <col min="16" max="20" width="6.44140625" bestFit="1" customWidth="1"/>
    <col min="21" max="21" width="8.6640625" bestFit="1" customWidth="1"/>
    <col min="22" max="22" width="6.44140625" bestFit="1" customWidth="1"/>
    <col min="23" max="23" width="7.109375" bestFit="1" customWidth="1"/>
    <col min="24" max="24" width="11.44140625" bestFit="1" customWidth="1"/>
    <col min="25" max="25" width="6.44140625" bestFit="1" customWidth="1"/>
    <col min="26" max="26" width="7.33203125" bestFit="1" customWidth="1"/>
    <col min="27" max="27" width="8.6640625" bestFit="1" customWidth="1"/>
    <col min="28" max="28" width="7.77734375" bestFit="1" customWidth="1"/>
    <col min="29" max="29" width="6.44140625" bestFit="1" customWidth="1"/>
    <col min="30" max="30" width="8.6640625" bestFit="1" customWidth="1"/>
    <col min="31" max="31" width="7.109375" bestFit="1" customWidth="1"/>
    <col min="32" max="33" width="6.44140625" bestFit="1" customWidth="1"/>
    <col min="34" max="34" width="8" bestFit="1" customWidth="1"/>
    <col min="35" max="35" width="7.44140625" bestFit="1" customWidth="1"/>
    <col min="36" max="43" width="6.44140625" bestFit="1" customWidth="1"/>
    <col min="45" max="45" width="12.33203125" bestFit="1" customWidth="1"/>
    <col min="46" max="46" width="5" bestFit="1" customWidth="1"/>
    <col min="47" max="48" width="7.33203125" bestFit="1" customWidth="1"/>
    <col min="49" max="49" width="7.77734375" bestFit="1" customWidth="1"/>
    <col min="50" max="50" width="6.109375" bestFit="1" customWidth="1"/>
    <col min="51" max="51" width="6.44140625" bestFit="1" customWidth="1"/>
    <col min="52" max="52" width="7.109375" bestFit="1" customWidth="1"/>
    <col min="53" max="54" width="6.44140625" bestFit="1" customWidth="1"/>
    <col min="55" max="55" width="8" bestFit="1" customWidth="1"/>
    <col min="56" max="56" width="7.44140625" bestFit="1" customWidth="1"/>
    <col min="57" max="64" width="6.44140625" bestFit="1" customWidth="1"/>
    <col min="66" max="66" width="11.44140625" bestFit="1" customWidth="1"/>
    <col min="67" max="67" width="5" bestFit="1" customWidth="1"/>
    <col min="68" max="69" width="7.33203125" bestFit="1" customWidth="1"/>
    <col min="70" max="70" width="7.77734375" bestFit="1" customWidth="1"/>
    <col min="71" max="71" width="6.109375" bestFit="1" customWidth="1"/>
    <col min="72" max="72" width="6.44140625" bestFit="1" customWidth="1"/>
    <col min="73" max="73" width="7.109375" bestFit="1" customWidth="1"/>
    <col min="74" max="74" width="5.44140625" bestFit="1" customWidth="1"/>
    <col min="75" max="75" width="6.44140625" bestFit="1" customWidth="1"/>
    <col min="76" max="76" width="8" bestFit="1" customWidth="1"/>
    <col min="77" max="77" width="7.44140625" bestFit="1" customWidth="1"/>
    <col min="78" max="85" width="6.44140625" bestFit="1" customWidth="1"/>
    <col min="87" max="87" width="11.44140625" bestFit="1" customWidth="1"/>
    <col min="88" max="88" width="5" bestFit="1" customWidth="1"/>
    <col min="89" max="90" width="7.33203125" bestFit="1" customWidth="1"/>
    <col min="91" max="91" width="7.77734375" bestFit="1" customWidth="1"/>
    <col min="92" max="92" width="6.109375" bestFit="1" customWidth="1"/>
    <col min="93" max="93" width="6.44140625" bestFit="1" customWidth="1"/>
    <col min="94" max="94" width="7.109375" bestFit="1" customWidth="1"/>
    <col min="95" max="95" width="5.44140625" bestFit="1" customWidth="1"/>
    <col min="96" max="96" width="6.44140625" bestFit="1" customWidth="1"/>
    <col min="97" max="97" width="8" bestFit="1" customWidth="1"/>
    <col min="98" max="98" width="7.44140625" bestFit="1" customWidth="1"/>
    <col min="99" max="106" width="6.44140625" bestFit="1" customWidth="1"/>
    <col min="108" max="108" width="11.44140625" bestFit="1" customWidth="1"/>
  </cols>
  <sheetData>
    <row r="1" spans="1:30" x14ac:dyDescent="0.25">
      <c r="A1" s="178" t="str">
        <f>Graph!A1</f>
        <v xml:space="preserve"> Time</v>
      </c>
      <c r="B1" s="54" t="str">
        <f>Graph!D1</f>
        <v>Insolation</v>
      </c>
      <c r="C1" s="180"/>
      <c r="D1" s="181"/>
      <c r="E1" s="184" t="s">
        <v>143</v>
      </c>
      <c r="F1" s="184" t="s">
        <v>144</v>
      </c>
      <c r="G1" s="42" t="s">
        <v>145</v>
      </c>
      <c r="H1" s="42"/>
      <c r="O1" s="371" t="s">
        <v>161</v>
      </c>
      <c r="P1" s="372"/>
      <c r="Q1" s="372"/>
      <c r="R1" s="372"/>
      <c r="S1" s="374" t="s">
        <v>152</v>
      </c>
      <c r="T1" s="374"/>
      <c r="U1" s="374"/>
      <c r="V1" s="374" t="s">
        <v>153</v>
      </c>
      <c r="W1" s="374"/>
      <c r="X1" s="374"/>
      <c r="Y1" s="374" t="s">
        <v>154</v>
      </c>
      <c r="Z1" s="374"/>
      <c r="AA1" s="374"/>
      <c r="AB1" s="374" t="s">
        <v>155</v>
      </c>
      <c r="AC1" s="374"/>
      <c r="AD1" s="374"/>
    </row>
    <row r="2" spans="1:30" x14ac:dyDescent="0.25">
      <c r="A2" s="178">
        <f>Graph!A2</f>
        <v>4.5</v>
      </c>
      <c r="B2" s="46">
        <f>Graph!D2</f>
        <v>0</v>
      </c>
      <c r="C2" s="232">
        <f t="shared" ref="C2:C32" si="0">(B3+B2)/2*(A3-A2)</f>
        <v>0</v>
      </c>
      <c r="D2" s="182"/>
      <c r="E2" s="183">
        <f t="shared" ref="E2:E32" si="1">((B3+B2)/2)*(A3-A2)</f>
        <v>0</v>
      </c>
      <c r="F2" s="183"/>
      <c r="G2" s="44">
        <f>IF(B2&gt;0,((-5.63*(A3)^3)+(222.165*(A3)^2)-(1989.2*(A3)))-((-5.63*(A2)^3)+(222.165*(A2)^2)-(1989.2*(A2))),0)</f>
        <v>0</v>
      </c>
      <c r="H2" s="44"/>
      <c r="I2" s="211" t="s">
        <v>82</v>
      </c>
      <c r="J2" s="201" t="s">
        <v>156</v>
      </c>
      <c r="K2" s="201" t="s">
        <v>157</v>
      </c>
      <c r="L2" s="201" t="s">
        <v>159</v>
      </c>
      <c r="M2" s="201" t="s">
        <v>158</v>
      </c>
      <c r="N2" s="201" t="s">
        <v>160</v>
      </c>
      <c r="O2" s="200" t="s">
        <v>152</v>
      </c>
      <c r="P2" s="200" t="s">
        <v>153</v>
      </c>
      <c r="Q2" s="200" t="s">
        <v>154</v>
      </c>
      <c r="R2" s="200" t="s">
        <v>155</v>
      </c>
      <c r="S2" s="42" t="s">
        <v>150</v>
      </c>
      <c r="T2" s="200" t="s">
        <v>188</v>
      </c>
      <c r="U2" s="200" t="s">
        <v>151</v>
      </c>
      <c r="V2" s="42" t="s">
        <v>150</v>
      </c>
      <c r="W2" s="200" t="s">
        <v>188</v>
      </c>
      <c r="X2" s="200" t="s">
        <v>151</v>
      </c>
      <c r="Y2" s="42" t="s">
        <v>150</v>
      </c>
      <c r="Z2" s="200" t="s">
        <v>188</v>
      </c>
      <c r="AA2" s="200" t="s">
        <v>151</v>
      </c>
      <c r="AB2" s="42" t="s">
        <v>150</v>
      </c>
      <c r="AC2" s="200" t="s">
        <v>188</v>
      </c>
      <c r="AD2" s="200" t="s">
        <v>151</v>
      </c>
    </row>
    <row r="3" spans="1:30" x14ac:dyDescent="0.25">
      <c r="A3" s="178">
        <f>Graph!A3</f>
        <v>5</v>
      </c>
      <c r="B3" s="46">
        <f>Graph!D3</f>
        <v>0</v>
      </c>
      <c r="C3" s="232">
        <f t="shared" si="0"/>
        <v>0</v>
      </c>
      <c r="D3" s="182"/>
      <c r="E3" s="183">
        <f t="shared" si="1"/>
        <v>0</v>
      </c>
      <c r="F3" s="183">
        <f t="shared" ref="F3:F32" si="2">B3+4*B4+B5</f>
        <v>0</v>
      </c>
      <c r="G3" s="44">
        <f t="shared" ref="G3:G32" si="3">IF(B3&gt;0,((-5.63*(A4)^3)+(222.165*(A4)^2)-(1989.2*(A4)))-((-5.63*(A3)^3)+(222.165*(A3)^2)-(1989.2*(A3))),0)</f>
        <v>0</v>
      </c>
      <c r="H3" s="44"/>
      <c r="I3" s="178">
        <v>5.5</v>
      </c>
      <c r="J3" s="202">
        <f>Graph!B2</f>
        <v>-25.449958228289965</v>
      </c>
      <c r="K3" s="202">
        <f>IF(COS(RADIANS(Graph!H2))&gt;=((TAN(RADIANS(Angles!$F$10)))/(TAN(RADIANS(Time!$P$4)))),L3,IF(A2&lt;12,M3,N3))</f>
        <v>95.272633345963314</v>
      </c>
      <c r="L3" s="202">
        <f>DEGREES(ASIN(COS(RADIANS(Angles!$F$10))*SIN(RADIANS(Graph!H2))/COS(RADIANS(J3))))</f>
        <v>84.727366654036686</v>
      </c>
      <c r="M3" s="202">
        <f>180-L3</f>
        <v>95.272633345963314</v>
      </c>
      <c r="N3" s="203">
        <f>180-L3-360</f>
        <v>-264.7273666540367</v>
      </c>
      <c r="O3" s="204">
        <f>COS(RADIANS(J3))*COS(RADIANS(K3-Insolation!$L$6))*SIN(RADIANS(0))+(SIN(RADIANS(J3))*COS(RADIANS(0)))</f>
        <v>-0.42972262042514398</v>
      </c>
      <c r="P3" s="204">
        <f>COS(RADIANS(J3))*COS(RADIANS(K3-Insolation!$L$6))*SIN(RADIANS(Insolation!$L$7))+SIN(RADIANS(J3))*COS(RADIANS(Insolation!$L$7))</f>
        <v>-8.2977578731555535E-2</v>
      </c>
      <c r="Q3" s="205">
        <f>COS(RADIANS(J3))*COS(RADIANS(K3-K3))*SIN(RADIANS(Insolation!$L$7))+SIN(RADIANS(J3))*COS(RADIANS(Insolation!$L$7))</f>
        <v>0.90296094571966268</v>
      </c>
      <c r="R3" s="207">
        <f>COS(RADIANS(J3))*COS(RADIANS(K3-K3))*SIN(RADIANS(90-J3))+SIN(RADIANS(J3))*COS(RADIANS(90-J3))</f>
        <v>1</v>
      </c>
      <c r="S3" s="46">
        <f>B2*O3</f>
        <v>0</v>
      </c>
      <c r="T3" s="46">
        <f>B2*Insolation!$E$13</f>
        <v>0</v>
      </c>
      <c r="U3" s="46">
        <f>Insolation!$L$8*B2*(SIN(RADIANS(J3))+Insolation!$E$13)*((1-COS(RADIANS(0)))/2)</f>
        <v>0</v>
      </c>
      <c r="V3" s="46">
        <f>B2*P3</f>
        <v>0</v>
      </c>
      <c r="W3" s="48">
        <f>Insolation!$E$13*PSH!B2*((1+COS(RADIANS(Insolation!$L$7)))/2)</f>
        <v>0</v>
      </c>
      <c r="X3" s="46">
        <f>Insolation!$L$8*B2*((SIN(RADIANS(J3)))+Insolation!$E$13)*((1-COS(RADIANS(Insolation!$L$7)))/2)</f>
        <v>0</v>
      </c>
      <c r="Y3" s="46">
        <f>B2*(COS(RADIANS(Angles!$F$10)))</f>
        <v>0</v>
      </c>
      <c r="Z3" s="46">
        <f>Insolation!$E$13*PSH!B2*((1+COS(RADIANS(90-J3+Angles!$F$10)))/2)</f>
        <v>0</v>
      </c>
      <c r="AA3" s="46">
        <f>Insolation!$L$8*((B2*SIN(RADIANS(J3)))+(Insolation!$E$13*B2))*((1-COS(RADIANS(Insolation!$L$7)))/2)</f>
        <v>0</v>
      </c>
      <c r="AB3" s="46">
        <f t="shared" ref="AB3:AB33" si="4">B2</f>
        <v>0</v>
      </c>
      <c r="AC3" s="46">
        <f>Insolation!$E$13*B2*((1+COS(RADIANS(90-J3)))/2)</f>
        <v>0</v>
      </c>
      <c r="AD3" s="46">
        <f>Insolation!$L$8*((PSH!B2*SIN(RADIANS(PSH!J3)))+(Insolation!$E$13*PSH!B2))*((1-COS(RADIANS(90-PSH!J3)))/2)</f>
        <v>0</v>
      </c>
    </row>
    <row r="4" spans="1:30" x14ac:dyDescent="0.25">
      <c r="A4" s="178">
        <f>Graph!A4</f>
        <v>5.5</v>
      </c>
      <c r="B4" s="46">
        <f>Graph!D4</f>
        <v>0</v>
      </c>
      <c r="C4" s="232">
        <f>(B5+B4)/2*(A5-A4)</f>
        <v>0</v>
      </c>
      <c r="D4" s="182"/>
      <c r="E4" s="186">
        <f t="shared" si="1"/>
        <v>0</v>
      </c>
      <c r="F4" s="183"/>
      <c r="G4" s="44">
        <f t="shared" si="3"/>
        <v>0</v>
      </c>
      <c r="H4" s="44"/>
      <c r="I4" s="178">
        <v>6</v>
      </c>
      <c r="J4" s="202">
        <f>Graph!B3</f>
        <v>-19.938090261320426</v>
      </c>
      <c r="K4" s="202">
        <f>IF(COS(RADIANS(Graph!H3))&gt;=((TAN(RADIANS(Angles!$F$10)))/(TAN(RADIANS(Time!$P$4)))),L4,IF(A3&lt;12,M4,N4))</f>
        <v>90.083113619723164</v>
      </c>
      <c r="L4" s="202">
        <f>DEGREES(ASIN(COS(RADIANS(Angles!$F$10))*SIN(RADIANS(Graph!H3))/COS(RADIANS(J4))))</f>
        <v>89.916886380276836</v>
      </c>
      <c r="M4" s="202">
        <f t="shared" ref="M4:M33" si="5">180-L4</f>
        <v>90.083113619723164</v>
      </c>
      <c r="N4" s="203">
        <f t="shared" ref="N4:N33" si="6">180-L4-360</f>
        <v>-269.91688638027682</v>
      </c>
      <c r="O4" s="204">
        <f>COS(RADIANS(J4))*COS(RADIANS(K4-Insolation!$L$6))*SIN(RADIANS(0))+(SIN(RADIANS(J4))*COS(RADIANS(0)))</f>
        <v>-0.34100457894157121</v>
      </c>
      <c r="P4" s="204">
        <f>COS(RADIANS(J4))*COS(RADIANS(K4-Insolation!$L$6))*SIN(RADIANS(Insolation!$L$7))+SIN(RADIANS(J4))*COS(RADIANS(Insolation!$L$7))</f>
        <v>-1.3636588678929455E-3</v>
      </c>
      <c r="Q4" s="205">
        <f>COS(RADIANS(J4))*COS(RADIANS(K4-K4))*SIN(RADIANS(Insolation!$L$7))+SIN(RADIANS(J4))*COS(RADIANS(Insolation!$L$7))</f>
        <v>0.94006163475640347</v>
      </c>
      <c r="R4" s="207">
        <f t="shared" ref="R4:R33" si="7">COS(RADIANS(J4))*COS(RADIANS(K4-K4))*SIN(RADIANS(90-J4))+SIN(RADIANS(J4))*COS(RADIANS(90-J4))</f>
        <v>1</v>
      </c>
      <c r="S4" s="46">
        <f t="shared" ref="S4:S33" si="8">B3*O4</f>
        <v>0</v>
      </c>
      <c r="T4" s="46">
        <f>B3*Insolation!$E$13</f>
        <v>0</v>
      </c>
      <c r="U4" s="46">
        <f>Insolation!$L$8*B3*(SIN(RADIANS(J4))+Insolation!$E$13)*((1-COS(RADIANS(0)))/2)</f>
        <v>0</v>
      </c>
      <c r="V4" s="46">
        <f t="shared" ref="V4:V25" si="9">B3*P4</f>
        <v>0</v>
      </c>
      <c r="W4" s="48">
        <f>Insolation!$E$13*PSH!B3*((1+COS(RADIANS(Insolation!$L$7)))/2)</f>
        <v>0</v>
      </c>
      <c r="X4" s="46">
        <f>Insolation!$L$8*B3*((SIN(RADIANS(J4)))+Insolation!$E$13)*((1-COS(RADIANS(Insolation!$L$7)))/2)</f>
        <v>0</v>
      </c>
      <c r="Y4" s="46">
        <f>B3*(COS(RADIANS(Angles!$F$10)))</f>
        <v>0</v>
      </c>
      <c r="Z4" s="46">
        <f>Insolation!$E$13*PSH!B3*((1+COS(RADIANS(90-J4+Angles!$F$10)))/2)</f>
        <v>0</v>
      </c>
      <c r="AA4" s="46">
        <f>Insolation!$L$8*((B3*SIN(RADIANS(J4)))+(Insolation!$E$13*B3))*((1-COS(RADIANS(Insolation!$L$7)))/2)</f>
        <v>0</v>
      </c>
      <c r="AB4" s="46">
        <f t="shared" si="4"/>
        <v>0</v>
      </c>
      <c r="AC4" s="46">
        <f>Insolation!$E$13*B3*((1+COS(RADIANS(90-J4)))/2)</f>
        <v>0</v>
      </c>
      <c r="AD4" s="46">
        <f>Insolation!$L$8*((PSH!B3*SIN(RADIANS(PSH!J4)))+(Insolation!$E$13*PSH!B3))*((1-COS(RADIANS(90-PSH!J4)))/2)</f>
        <v>0</v>
      </c>
    </row>
    <row r="5" spans="1:30" x14ac:dyDescent="0.25">
      <c r="A5" s="178">
        <f>Graph!A5</f>
        <v>6</v>
      </c>
      <c r="B5" s="46">
        <f>Graph!D5</f>
        <v>0</v>
      </c>
      <c r="C5" s="232">
        <f t="shared" si="0"/>
        <v>0</v>
      </c>
      <c r="D5" s="182"/>
      <c r="E5" s="186">
        <f t="shared" si="1"/>
        <v>0</v>
      </c>
      <c r="F5" s="186">
        <f t="shared" si="2"/>
        <v>8.9916938996882756</v>
      </c>
      <c r="G5" s="44">
        <f t="shared" si="3"/>
        <v>0</v>
      </c>
      <c r="H5" s="44"/>
      <c r="I5" s="178">
        <v>6.5</v>
      </c>
      <c r="J5" s="202">
        <f>Graph!B4</f>
        <v>-14.425127499009745</v>
      </c>
      <c r="K5" s="202">
        <f>IF(COS(RADIANS(Graph!H4))&gt;=((TAN(RADIANS(Angles!$F$10)))/(TAN(RADIANS(Time!$P$4)))),L5,IF(A4&lt;12,M5,N5))</f>
        <v>85.073630000199515</v>
      </c>
      <c r="L5" s="202">
        <f>DEGREES(ASIN(COS(RADIANS(Angles!$F$10))*SIN(RADIANS(Graph!H4))/COS(RADIANS(J5))))</f>
        <v>85.073630000199515</v>
      </c>
      <c r="M5" s="202">
        <f t="shared" si="5"/>
        <v>94.926369999800485</v>
      </c>
      <c r="N5" s="203">
        <f t="shared" si="6"/>
        <v>-265.0736300001995</v>
      </c>
      <c r="O5" s="204">
        <f>COS(RADIANS(J5))*COS(RADIANS(K5-Insolation!$L$6))*SIN(RADIANS(0))+(SIN(RADIANS(J5))*COS(RADIANS(0)))</f>
        <v>-0.2491146427329872</v>
      </c>
      <c r="P5" s="204">
        <f>COS(RADIANS(J5))*COS(RADIANS(K5-Insolation!$L$6))*SIN(RADIANS(Insolation!$L$7))+SIN(RADIANS(J5))*COS(RADIANS(Insolation!$L$7))</f>
        <v>8.3168165376580921E-2</v>
      </c>
      <c r="Q5" s="205">
        <f>COS(RADIANS(J5))*COS(RADIANS(K5-K5))*SIN(RADIANS(Insolation!$L$7))+SIN(RADIANS(J5))*COS(RADIANS(Insolation!$L$7))</f>
        <v>0.96847400314929266</v>
      </c>
      <c r="R5" s="207">
        <f t="shared" si="7"/>
        <v>1</v>
      </c>
      <c r="S5" s="46">
        <f t="shared" si="8"/>
        <v>0</v>
      </c>
      <c r="T5" s="46">
        <f>B4*Insolation!$E$13</f>
        <v>0</v>
      </c>
      <c r="U5" s="46">
        <f>Insolation!$L$8*B4*(SIN(RADIANS(J5))+Insolation!$E$13)*((1-COS(RADIANS(0)))/2)</f>
        <v>0</v>
      </c>
      <c r="V5" s="46">
        <f t="shared" si="9"/>
        <v>0</v>
      </c>
      <c r="W5" s="48">
        <f>Insolation!$E$13*PSH!B4*((1+COS(RADIANS(Insolation!$L$7)))/2)</f>
        <v>0</v>
      </c>
      <c r="X5" s="46">
        <f>Insolation!$L$8*B4*((SIN(RADIANS(J5)))+Insolation!$E$13)*((1-COS(RADIANS(Insolation!$L$7)))/2)</f>
        <v>0</v>
      </c>
      <c r="Y5" s="46">
        <f>B4*(COS(RADIANS(Angles!$F$10)))</f>
        <v>0</v>
      </c>
      <c r="Z5" s="46">
        <f>Insolation!$E$13*PSH!B4*((1+COS(RADIANS(90-J5+Angles!$F$10)))/2)</f>
        <v>0</v>
      </c>
      <c r="AA5" s="46">
        <f>Insolation!$L$8*((B4*SIN(RADIANS(J5)))+(Insolation!$E$13*B4))*((1-COS(RADIANS(Insolation!$L$7)))/2)</f>
        <v>0</v>
      </c>
      <c r="AB5" s="46">
        <f t="shared" si="4"/>
        <v>0</v>
      </c>
      <c r="AC5" s="46">
        <f>Insolation!$E$13*B4*((1+COS(RADIANS(90-J5)))/2)</f>
        <v>0</v>
      </c>
      <c r="AD5" s="46">
        <f>Insolation!$L$8*((PSH!B4*SIN(RADIANS(PSH!J5)))+(Insolation!$E$13*PSH!B4))*((1-COS(RADIANS(90-PSH!J5)))/2)</f>
        <v>0</v>
      </c>
    </row>
    <row r="6" spans="1:30" x14ac:dyDescent="0.25">
      <c r="A6" s="178">
        <f>Graph!A6</f>
        <v>6.5</v>
      </c>
      <c r="B6" s="46">
        <f>Graph!D6</f>
        <v>0</v>
      </c>
      <c r="C6" s="232">
        <f t="shared" si="0"/>
        <v>2.2479234749220689</v>
      </c>
      <c r="D6" s="182"/>
      <c r="E6" s="186">
        <f t="shared" si="1"/>
        <v>2.2479234749220689</v>
      </c>
      <c r="F6" s="186"/>
      <c r="G6" s="44">
        <f t="shared" si="3"/>
        <v>0</v>
      </c>
      <c r="H6" s="44"/>
      <c r="I6" s="178">
        <v>7</v>
      </c>
      <c r="J6" s="202">
        <f>Graph!B5</f>
        <v>-8.9530502893945059</v>
      </c>
      <c r="K6" s="202">
        <f>IF(COS(RADIANS(Graph!H5))&gt;=((TAN(RADIANS(Angles!$F$10)))/(TAN(RADIANS(Time!$P$4)))),L6,IF(A5&lt;12,M6,N6))</f>
        <v>80.13902393275697</v>
      </c>
      <c r="L6" s="202">
        <f>DEGREES(ASIN(COS(RADIANS(Angles!$F$10))*SIN(RADIANS(Graph!H5))/COS(RADIANS(J6))))</f>
        <v>80.13902393275697</v>
      </c>
      <c r="M6" s="202">
        <f t="shared" si="5"/>
        <v>99.86097606724303</v>
      </c>
      <c r="N6" s="203">
        <f t="shared" si="6"/>
        <v>-260.13902393275697</v>
      </c>
      <c r="O6" s="204">
        <f>COS(RADIANS(J6))*COS(RADIANS(K6-Insolation!$L$6))*SIN(RADIANS(0))+(SIN(RADIANS(J6))*COS(RADIANS(0)))</f>
        <v>-0.15562507408462434</v>
      </c>
      <c r="P6" s="204">
        <f>COS(RADIANS(J6))*COS(RADIANS(K6-Insolation!$L$6))*SIN(RADIANS(Insolation!$L$7))+SIN(RADIANS(J6))*COS(RADIANS(Insolation!$L$7))</f>
        <v>0.1691715310524132</v>
      </c>
      <c r="Q6" s="205">
        <f>COS(RADIANS(J6))*COS(RADIANS(K6-K6))*SIN(RADIANS(Insolation!$L$7))+SIN(RADIANS(J6))*COS(RADIANS(Insolation!$L$7))</f>
        <v>0.98781619561341227</v>
      </c>
      <c r="R6" s="207">
        <f t="shared" si="7"/>
        <v>1</v>
      </c>
      <c r="S6" s="46">
        <f t="shared" si="8"/>
        <v>0</v>
      </c>
      <c r="T6" s="46">
        <f>B5*Insolation!$E$13</f>
        <v>0</v>
      </c>
      <c r="U6" s="46">
        <f>Insolation!$L$8*B5*(SIN(RADIANS(J6))+Insolation!$E$13)*((1-COS(RADIANS(0)))/2)</f>
        <v>0</v>
      </c>
      <c r="V6" s="46">
        <f t="shared" si="9"/>
        <v>0</v>
      </c>
      <c r="W6" s="48">
        <f>Insolation!$E$13*PSH!B5*((1+COS(RADIANS(Insolation!$L$7)))/2)</f>
        <v>0</v>
      </c>
      <c r="X6" s="46">
        <f>Insolation!$L$8*B5*((SIN(RADIANS(J6)))+Insolation!$E$13)*((1-COS(RADIANS(Insolation!$L$7)))/2)</f>
        <v>0</v>
      </c>
      <c r="Y6" s="46">
        <f>B5*(COS(RADIANS(Angles!$F$10)))</f>
        <v>0</v>
      </c>
      <c r="Z6" s="46">
        <f>Insolation!$E$13*PSH!B5*((1+COS(RADIANS(90-J6+Angles!$F$10)))/2)</f>
        <v>0</v>
      </c>
      <c r="AA6" s="46">
        <f>Insolation!$L$8*((B5*SIN(RADIANS(J6)))+(Insolation!$E$13*B5))*((1-COS(RADIANS(Insolation!$L$7)))/2)</f>
        <v>0</v>
      </c>
      <c r="AB6" s="46">
        <f t="shared" si="4"/>
        <v>0</v>
      </c>
      <c r="AC6" s="46">
        <f>Insolation!$E$13*B5*((1+COS(RADIANS(90-J6)))/2)</f>
        <v>0</v>
      </c>
      <c r="AD6" s="46">
        <f>Insolation!$L$8*((PSH!B5*SIN(RADIANS(PSH!J6)))+(Insolation!$E$13*PSH!B5))*((1-COS(RADIANS(90-PSH!J6)))/2)</f>
        <v>0</v>
      </c>
    </row>
    <row r="7" spans="1:30" x14ac:dyDescent="0.25">
      <c r="A7" s="178">
        <f>Graph!A7</f>
        <v>7</v>
      </c>
      <c r="B7" s="46">
        <f>Graph!D7</f>
        <v>8.9916938996882756</v>
      </c>
      <c r="C7" s="232">
        <f t="shared" si="0"/>
        <v>90.77304722513685</v>
      </c>
      <c r="D7" s="182"/>
      <c r="E7" s="186">
        <f t="shared" si="1"/>
        <v>90.77304722513685</v>
      </c>
      <c r="F7" s="186">
        <f t="shared" si="2"/>
        <v>2015.783048458987</v>
      </c>
      <c r="G7" s="44">
        <f t="shared" si="3"/>
        <v>172.03000000000065</v>
      </c>
      <c r="H7" s="44"/>
      <c r="I7" s="178">
        <v>7.5</v>
      </c>
      <c r="J7" s="202">
        <f>Graph!B6</f>
        <v>-3.5623970281702753</v>
      </c>
      <c r="K7" s="202">
        <f>IF(COS(RADIANS(Graph!H6))&gt;=((TAN(RADIANS(Angles!$F$10)))/(TAN(RADIANS(Time!$P$4)))),L7,IF(A6&lt;12,M7,N7))</f>
        <v>75.186774591572046</v>
      </c>
      <c r="L7" s="202">
        <f>DEGREES(ASIN(COS(RADIANS(Angles!$F$10))*SIN(RADIANS(Graph!H6))/COS(RADIANS(J7))))</f>
        <v>75.186774591572046</v>
      </c>
      <c r="M7" s="202">
        <f t="shared" si="5"/>
        <v>104.81322540842795</v>
      </c>
      <c r="N7" s="203">
        <f t="shared" si="6"/>
        <v>-255.18677459157203</v>
      </c>
      <c r="O7" s="204">
        <f>COS(RADIANS(J7))*COS(RADIANS(K7-Insolation!$L$6))*SIN(RADIANS(0))+(SIN(RADIANS(J7))*COS(RADIANS(0)))</f>
        <v>-6.2135505436261562E-2</v>
      </c>
      <c r="P7" s="204">
        <f>COS(RADIANS(J7))*COS(RADIANS(K7-Insolation!$L$6))*SIN(RADIANS(Insolation!$L$7))+SIN(RADIANS(J7))*COS(RADIANS(Insolation!$L$7))</f>
        <v>0.25517489672824506</v>
      </c>
      <c r="Q7" s="205">
        <f>COS(RADIANS(J7))*COS(RADIANS(K7-K7))*SIN(RADIANS(Insolation!$L$7))+SIN(RADIANS(J7))*COS(RADIANS(Insolation!$L$7))</f>
        <v>0.99806772263418098</v>
      </c>
      <c r="R7" s="207">
        <f t="shared" si="7"/>
        <v>1</v>
      </c>
      <c r="S7" s="46">
        <f t="shared" si="8"/>
        <v>0</v>
      </c>
      <c r="T7" s="46">
        <f>B6*Insolation!$E$13</f>
        <v>0</v>
      </c>
      <c r="U7" s="46">
        <f>Insolation!$L$8*B6*(SIN(RADIANS(J7))+Insolation!$E$13)*((1-COS(RADIANS(0)))/2)</f>
        <v>0</v>
      </c>
      <c r="V7" s="46">
        <f t="shared" si="9"/>
        <v>0</v>
      </c>
      <c r="W7" s="48">
        <f>Insolation!$E$13*PSH!B6*((1+COS(RADIANS(Insolation!$L$7)))/2)</f>
        <v>0</v>
      </c>
      <c r="X7" s="46">
        <f>Insolation!$L$8*B6*((SIN(RADIANS(J7)))+Insolation!$E$13)*((1-COS(RADIANS(Insolation!$L$7)))/2)</f>
        <v>0</v>
      </c>
      <c r="Y7" s="46">
        <f>B6*(COS(RADIANS(Angles!$F$10)))</f>
        <v>0</v>
      </c>
      <c r="Z7" s="46">
        <f>Insolation!$E$13*PSH!B6*((1+COS(RADIANS(90-J7+Angles!$F$10)))/2)</f>
        <v>0</v>
      </c>
      <c r="AA7" s="46">
        <f>Insolation!$L$8*((B6*SIN(RADIANS(J7)))+(Insolation!$E$13*B6))*((1-COS(RADIANS(Insolation!$L$7)))/2)</f>
        <v>0</v>
      </c>
      <c r="AB7" s="46">
        <f t="shared" si="4"/>
        <v>0</v>
      </c>
      <c r="AC7" s="46">
        <f>Insolation!$E$13*B6*((1+COS(RADIANS(90-J7)))/2)</f>
        <v>0</v>
      </c>
      <c r="AD7" s="46">
        <f>Insolation!$L$8*((PSH!B6*SIN(RADIANS(PSH!J7)))+(Insolation!$E$13*PSH!B6))*((1-COS(RADIANS(90-PSH!J7)))/2)</f>
        <v>0</v>
      </c>
    </row>
    <row r="8" spans="1:30" x14ac:dyDescent="0.25">
      <c r="A8" s="178">
        <f>Graph!A8</f>
        <v>7.5</v>
      </c>
      <c r="B8" s="46">
        <f>Graph!D8</f>
        <v>354.1004950008591</v>
      </c>
      <c r="C8" s="232">
        <f t="shared" si="0"/>
        <v>236.12246738918037</v>
      </c>
      <c r="D8" s="182"/>
      <c r="E8" s="186">
        <f t="shared" si="1"/>
        <v>236.12246738918037</v>
      </c>
      <c r="F8" s="186"/>
      <c r="G8" s="44">
        <f t="shared" si="3"/>
        <v>219.77499999999964</v>
      </c>
      <c r="H8" s="44"/>
      <c r="I8" s="178">
        <v>8</v>
      </c>
      <c r="J8" s="202">
        <f>Graph!B7</f>
        <v>1.7050549564961923</v>
      </c>
      <c r="K8" s="202">
        <f>IF(COS(RADIANS(Graph!H7))&gt;=((TAN(RADIANS(Angles!$F$10)))/(TAN(RADIANS(Time!$P$4)))),L8,IF(A7&lt;12,M8,N8))</f>
        <v>70.131826047998103</v>
      </c>
      <c r="L8" s="202">
        <f>DEGREES(ASIN(COS(RADIANS(Angles!$F$10))*SIN(RADIANS(Graph!H7))/COS(RADIANS(J8))))</f>
        <v>70.131826047998103</v>
      </c>
      <c r="M8" s="202">
        <f t="shared" si="5"/>
        <v>109.8681739520019</v>
      </c>
      <c r="N8" s="203">
        <f t="shared" si="6"/>
        <v>-250.13182604799812</v>
      </c>
      <c r="O8" s="204">
        <f>COS(RADIANS(J8))*COS(RADIANS(K8-Insolation!$L$6))*SIN(RADIANS(0))+(SIN(RADIANS(J8))*COS(RADIANS(0)))</f>
        <v>2.9754430772322288E-2</v>
      </c>
      <c r="P8" s="204">
        <f>COS(RADIANS(J8))*COS(RADIANS(K8-Insolation!$L$6))*SIN(RADIANS(Insolation!$L$7))+SIN(RADIANS(J8))*COS(RADIANS(Insolation!$L$7))</f>
        <v>0.33970672097272536</v>
      </c>
      <c r="Q8" s="205">
        <f>COS(RADIANS(J8))*COS(RADIANS(K8-K8))*SIN(RADIANS(Insolation!$L$7))+SIN(RADIANS(J8))*COS(RADIANS(Insolation!$L$7))</f>
        <v>0.99955723890601433</v>
      </c>
      <c r="R8" s="207">
        <f t="shared" si="7"/>
        <v>0.99999999999999989</v>
      </c>
      <c r="S8" s="46">
        <f t="shared" si="8"/>
        <v>0.2675427336641874</v>
      </c>
      <c r="T8" s="46">
        <f>B7*Insolation!$E$13</f>
        <v>0.56598717615087435</v>
      </c>
      <c r="U8" s="46">
        <f>Insolation!$L$8*B7*(SIN(RADIANS(J8))+Insolation!$E$13)*((1-COS(RADIANS(0)))/2)</f>
        <v>0</v>
      </c>
      <c r="V8" s="46">
        <f t="shared" si="9"/>
        <v>3.0545388506535618</v>
      </c>
      <c r="W8" s="48">
        <f>Insolation!$E$13*PSH!B7*((1+COS(RADIANS(Insolation!$L$7)))/2)</f>
        <v>0.28299358807543717</v>
      </c>
      <c r="X8" s="46">
        <f>Insolation!$L$8*B7*((SIN(RADIANS(J8)))+Insolation!$E$13)*((1-COS(RADIANS(Insolation!$L$7)))/2)</f>
        <v>8.335299098150617E-2</v>
      </c>
      <c r="Y8" s="46">
        <f>B7*(COS(RADIANS(Angles!$F$10)))</f>
        <v>8.7509178687800127</v>
      </c>
      <c r="Z8" s="46">
        <f>Insolation!$E$13*PSH!B7*((1+COS(RADIANS(90-J8+Angles!$F$10)))/2)</f>
        <v>0.35621010003614201</v>
      </c>
      <c r="AA8" s="46">
        <f>Insolation!$L$8*((B7*SIN(RADIANS(J8)))+(Insolation!$E$13*B7))*((1-COS(RADIANS(Insolation!$L$7)))/2)</f>
        <v>8.3352990981506156E-2</v>
      </c>
      <c r="AB8" s="46">
        <f t="shared" si="4"/>
        <v>8.9916938996882756</v>
      </c>
      <c r="AC8" s="46">
        <f>Insolation!$E$13*B7*((1+COS(RADIANS(90-J8)))/2)</f>
        <v>0.29141390120083888</v>
      </c>
      <c r="AD8" s="46">
        <f>Insolation!$L$8*((PSH!B7*SIN(RADIANS(PSH!J8)))+(Insolation!$E$13*PSH!B7))*((1-COS(RADIANS(90-PSH!J8)))/2)</f>
        <v>8.0872870181680934E-2</v>
      </c>
    </row>
    <row r="9" spans="1:30" x14ac:dyDescent="0.25">
      <c r="A9" s="178">
        <f>Graph!A9</f>
        <v>8</v>
      </c>
      <c r="B9" s="46">
        <f>Graph!D9</f>
        <v>590.38937455586233</v>
      </c>
      <c r="C9" s="232">
        <f t="shared" si="0"/>
        <v>327.9159611163156</v>
      </c>
      <c r="D9" s="182"/>
      <c r="E9" s="186">
        <f t="shared" si="1"/>
        <v>327.9159611163156</v>
      </c>
      <c r="F9" s="186">
        <f t="shared" si="2"/>
        <v>4276.2185903706231</v>
      </c>
      <c r="G9" s="44">
        <f t="shared" si="3"/>
        <v>263.29749999999876</v>
      </c>
      <c r="H9" s="44"/>
      <c r="I9" s="178">
        <v>8.5</v>
      </c>
      <c r="J9" s="202">
        <f>Graph!B8</f>
        <v>6.8039528093331176</v>
      </c>
      <c r="K9" s="202">
        <f>IF(COS(RADIANS(Graph!H8))&gt;=((TAN(RADIANS(Angles!$F$10)))/(TAN(RADIANS(Time!$P$4)))),L9,IF(A8&lt;12,M9,N9))</f>
        <v>64.893072781665865</v>
      </c>
      <c r="L9" s="202">
        <f>DEGREES(ASIN(COS(RADIANS(Angles!$F$10))*SIN(RADIANS(Graph!H8))/COS(RADIANS(J9))))</f>
        <v>64.893072781665865</v>
      </c>
      <c r="M9" s="202">
        <f t="shared" si="5"/>
        <v>115.10692721833414</v>
      </c>
      <c r="N9" s="203">
        <f t="shared" si="6"/>
        <v>-244.89307278166586</v>
      </c>
      <c r="O9" s="204">
        <f>COS(RADIANS(J9))*COS(RADIANS(K9-Insolation!$L$6))*SIN(RADIANS(0))+(SIN(RADIANS(J9))*COS(RADIANS(0)))</f>
        <v>0.11847247225589515</v>
      </c>
      <c r="P9" s="204">
        <f>COS(RADIANS(J9))*COS(RADIANS(K9-Insolation!$L$6))*SIN(RADIANS(Insolation!$L$7))+SIN(RADIANS(J9))*COS(RADIANS(Insolation!$L$7))</f>
        <v>0.4213206408363826</v>
      </c>
      <c r="Q9" s="205">
        <f>COS(RADIANS(J9))*COS(RADIANS(K9-K9))*SIN(RADIANS(Insolation!$L$7))+SIN(RADIANS(J9))*COS(RADIANS(Insolation!$L$7))</f>
        <v>0.99295733710848633</v>
      </c>
      <c r="R9" s="207">
        <f t="shared" si="7"/>
        <v>1</v>
      </c>
      <c r="S9" s="46">
        <f t="shared" si="8"/>
        <v>41.951161069788014</v>
      </c>
      <c r="T9" s="46">
        <f>B8*Insolation!$E$13</f>
        <v>22.289052705198415</v>
      </c>
      <c r="U9" s="46">
        <f>Insolation!$L$8*B8*(SIN(RADIANS(J9))+Insolation!$E$13)*((1-COS(RADIANS(0)))/2)</f>
        <v>0</v>
      </c>
      <c r="V9" s="46">
        <f t="shared" si="9"/>
        <v>149.18984747424224</v>
      </c>
      <c r="W9" s="48">
        <f>Insolation!$E$13*PSH!B8*((1+COS(RADIANS(Insolation!$L$7)))/2)</f>
        <v>11.144526352599208</v>
      </c>
      <c r="X9" s="46">
        <f>Insolation!$L$8*B8*((SIN(RADIANS(J9)))+Insolation!$E$13)*((1-COS(RADIANS(Insolation!$L$7)))/2)</f>
        <v>6.4240213774986428</v>
      </c>
      <c r="Y9" s="46">
        <f>B8*(COS(RADIANS(Angles!$F$10)))</f>
        <v>344.61853168225525</v>
      </c>
      <c r="Z9" s="46">
        <f>Insolation!$E$13*PSH!B8*((1+COS(RADIANS(90-J9+Angles!$F$10)))/2)</f>
        <v>14.973192122790332</v>
      </c>
      <c r="AA9" s="46">
        <f>Insolation!$L$8*((B8*SIN(RADIANS(J9)))+(Insolation!$E$13*B8))*((1-COS(RADIANS(Insolation!$L$7)))/2)</f>
        <v>6.4240213774986428</v>
      </c>
      <c r="AB9" s="46">
        <f t="shared" si="4"/>
        <v>354.1004950008591</v>
      </c>
      <c r="AC9" s="46">
        <f>Insolation!$E$13*B8*((1+COS(RADIANS(90-J9)))/2)</f>
        <v>12.464845941712607</v>
      </c>
      <c r="AD9" s="46">
        <f>Insolation!$L$8*((PSH!B8*SIN(RADIANS(PSH!J9)))+(Insolation!$E$13*PSH!B8))*((1-COS(RADIANS(90-PSH!J9)))/2)</f>
        <v>5.6629516830816593</v>
      </c>
    </row>
    <row r="10" spans="1:30" x14ac:dyDescent="0.25">
      <c r="A10" s="178">
        <f>Graph!A10</f>
        <v>8.5</v>
      </c>
      <c r="B10" s="46">
        <f>Graph!D10</f>
        <v>721.27446990940007</v>
      </c>
      <c r="C10" s="232">
        <f t="shared" si="0"/>
        <v>380.50145152164009</v>
      </c>
      <c r="D10" s="182"/>
      <c r="E10" s="186">
        <f t="shared" si="1"/>
        <v>380.50145152164009</v>
      </c>
      <c r="F10" s="186"/>
      <c r="G10" s="44">
        <f t="shared" si="3"/>
        <v>302.59749999999985</v>
      </c>
      <c r="H10" s="44"/>
      <c r="I10" s="178">
        <v>9</v>
      </c>
      <c r="J10" s="202">
        <f>Graph!B9</f>
        <v>11.68322721837877</v>
      </c>
      <c r="K10" s="202">
        <f>IF(COS(RADIANS(Graph!H9))&gt;=((TAN(RADIANS(Angles!$F$10)))/(TAN(RADIANS(Time!$P$4)))),L10,IF(A9&lt;12,M10,N10))</f>
        <v>59.3914990710106</v>
      </c>
      <c r="L10" s="202">
        <f>DEGREES(ASIN(COS(RADIANS(Angles!$F$10))*SIN(RADIANS(Graph!H9))/COS(RADIANS(J10))))</f>
        <v>59.3914990710106</v>
      </c>
      <c r="M10" s="202">
        <f t="shared" si="5"/>
        <v>120.6085009289894</v>
      </c>
      <c r="N10" s="203">
        <f t="shared" si="6"/>
        <v>-239.3914990710106</v>
      </c>
      <c r="O10" s="204">
        <f>COS(RADIANS(J10))*COS(RADIANS(K10-Insolation!$L$6))*SIN(RADIANS(0))+(SIN(RADIANS(J10))*COS(RADIANS(0)))</f>
        <v>0.20250062872738486</v>
      </c>
      <c r="P10" s="204">
        <f>COS(RADIANS(J10))*COS(RADIANS(K10-Insolation!$L$6))*SIN(RADIANS(Insolation!$L$7))+SIN(RADIANS(J10))*COS(RADIANS(Insolation!$L$7))</f>
        <v>0.49862021952269525</v>
      </c>
      <c r="Q10" s="205">
        <f>COS(RADIANS(J10))*COS(RADIANS(K10-K10))*SIN(RADIANS(Insolation!$L$7))+SIN(RADIANS(J10))*COS(RADIANS(Insolation!$L$7))</f>
        <v>0.97928213266913733</v>
      </c>
      <c r="R10" s="207">
        <f t="shared" si="7"/>
        <v>1</v>
      </c>
      <c r="S10" s="46">
        <f t="shared" si="8"/>
        <v>119.55421954152963</v>
      </c>
      <c r="T10" s="46">
        <f>B9*Insolation!$E$13</f>
        <v>37.162387717172827</v>
      </c>
      <c r="U10" s="46">
        <f>Insolation!$L$8*B9*(SIN(RADIANS(J10))+Insolation!$E$13)*((1-COS(RADIANS(0)))/2)</f>
        <v>0</v>
      </c>
      <c r="V10" s="46">
        <f t="shared" si="9"/>
        <v>294.38007954491081</v>
      </c>
      <c r="W10" s="48">
        <f>Insolation!$E$13*PSH!B9*((1+COS(RADIANS(Insolation!$L$7)))/2)</f>
        <v>18.581193858586413</v>
      </c>
      <c r="X10" s="46">
        <f>Insolation!$L$8*B9*((SIN(RADIANS(J10)))+Insolation!$E$13)*((1-COS(RADIANS(Insolation!$L$7)))/2)</f>
        <v>15.671660725870245</v>
      </c>
      <c r="Y10" s="46">
        <f>B9*(COS(RADIANS(Angles!$F$10)))</f>
        <v>574.58016086578095</v>
      </c>
      <c r="Z10" s="46">
        <f>Insolation!$E$13*PSH!B9*((1+COS(RADIANS(90-J10+Angles!$F$10)))/2)</f>
        <v>26.425827771926173</v>
      </c>
      <c r="AA10" s="46">
        <f>Insolation!$L$8*((B9*SIN(RADIANS(J10)))+(Insolation!$E$13*B9))*((1-COS(RADIANS(Insolation!$L$7)))/2)</f>
        <v>15.671660725870245</v>
      </c>
      <c r="AB10" s="46">
        <f t="shared" si="4"/>
        <v>590.38937455586233</v>
      </c>
      <c r="AC10" s="46">
        <f>Insolation!$E$13*B9*((1+COS(RADIANS(90-J10)))/2)</f>
        <v>22.343897297455587</v>
      </c>
      <c r="AD10" s="46">
        <f>Insolation!$L$8*((PSH!B9*SIN(RADIANS(PSH!J10)))+(Insolation!$E$13*PSH!B9))*((1-COS(RADIANS(90-PSH!J10)))/2)</f>
        <v>12.498139575679254</v>
      </c>
    </row>
    <row r="11" spans="1:30" x14ac:dyDescent="0.25">
      <c r="A11" s="178">
        <f>Graph!A11</f>
        <v>9</v>
      </c>
      <c r="B11" s="46">
        <f>Graph!D11</f>
        <v>800.73133617716041</v>
      </c>
      <c r="C11" s="232">
        <f t="shared" si="0"/>
        <v>413.22989961871156</v>
      </c>
      <c r="D11" s="182"/>
      <c r="E11" s="186">
        <f t="shared" si="1"/>
        <v>413.22989961871156</v>
      </c>
      <c r="F11" s="186">
        <f t="shared" si="2"/>
        <v>5096.1175692012503</v>
      </c>
      <c r="G11" s="44">
        <f t="shared" si="3"/>
        <v>337.67500000000109</v>
      </c>
      <c r="H11" s="44"/>
      <c r="I11" s="178">
        <v>9.5</v>
      </c>
      <c r="J11" s="202">
        <f>Graph!B10</f>
        <v>16.284148351568202</v>
      </c>
      <c r="K11" s="202">
        <f>IF(COS(RADIANS(Graph!H10))&gt;=((TAN(RADIANS(Angles!$F$10)))/(TAN(RADIANS(Time!$P$4)))),L11,IF(A10&lt;12,M11,N11))</f>
        <v>53.55028289523915</v>
      </c>
      <c r="L11" s="202">
        <f>DEGREES(ASIN(COS(RADIANS(Angles!$F$10))*SIN(RADIANS(Graph!H10))/COS(RADIANS(J11))))</f>
        <v>53.55028289523915</v>
      </c>
      <c r="M11" s="202">
        <f t="shared" si="5"/>
        <v>126.44971710476085</v>
      </c>
      <c r="N11" s="203">
        <f t="shared" si="6"/>
        <v>-233.55028289523915</v>
      </c>
      <c r="O11" s="204">
        <f>COS(RADIANS(J11))*COS(RADIANS(K11-Insolation!$L$6))*SIN(RADIANS(0))+(SIN(RADIANS(J11))*COS(RADIANS(0)))</f>
        <v>0.28040115513255792</v>
      </c>
      <c r="P11" s="204">
        <f>COS(RADIANS(J11))*COS(RADIANS(K11-Insolation!$L$6))*SIN(RADIANS(Insolation!$L$7))+SIN(RADIANS(J11))*COS(RADIANS(Insolation!$L$7))</f>
        <v>0.57028283980884842</v>
      </c>
      <c r="Q11" s="205">
        <f>COS(RADIANS(J11))*COS(RADIANS(K11-K11))*SIN(RADIANS(Insolation!$L$7))+SIN(RADIANS(J11))*COS(RADIANS(Insolation!$L$7))</f>
        <v>0.95988290546312327</v>
      </c>
      <c r="R11" s="207">
        <f t="shared" si="7"/>
        <v>1</v>
      </c>
      <c r="S11" s="46">
        <f t="shared" si="8"/>
        <v>202.24619453021916</v>
      </c>
      <c r="T11" s="46">
        <f>B10*Insolation!$E$13</f>
        <v>45.401022878224623</v>
      </c>
      <c r="U11" s="46">
        <f>Insolation!$L$8*B10*(SIN(RADIANS(J11))+Insolation!$E$13)*((1-COS(RADIANS(0)))/2)</f>
        <v>0</v>
      </c>
      <c r="V11" s="46">
        <f t="shared" si="9"/>
        <v>411.33045298155446</v>
      </c>
      <c r="W11" s="48">
        <f>Insolation!$E$13*PSH!B10*((1+COS(RADIANS(Insolation!$L$7)))/2)</f>
        <v>22.700511439112312</v>
      </c>
      <c r="X11" s="46">
        <f>Insolation!$L$8*B10*((SIN(RADIANS(J11)))+Insolation!$E$13)*((1-COS(RADIANS(Insolation!$L$7)))/2)</f>
        <v>24.764721740844376</v>
      </c>
      <c r="Y11" s="46">
        <f>B10*(COS(RADIANS(Angles!$F$10)))</f>
        <v>701.96046678633252</v>
      </c>
      <c r="Z11" s="46">
        <f>Insolation!$E$13*PSH!B10*((1+COS(RADIANS(90-J11+Angles!$F$10)))/2)</f>
        <v>33.904046821929562</v>
      </c>
      <c r="AA11" s="46">
        <f>Insolation!$L$8*((B10*SIN(RADIANS(J11)))+(Insolation!$E$13*B10))*((1-COS(RADIANS(Insolation!$L$7)))/2)</f>
        <v>24.764721740844376</v>
      </c>
      <c r="AB11" s="46">
        <f t="shared" si="4"/>
        <v>721.27446990940007</v>
      </c>
      <c r="AC11" s="46">
        <f>Insolation!$E$13*B10*((1+COS(RADIANS(90-J11)))/2)</f>
        <v>29.065761068739253</v>
      </c>
      <c r="AD11" s="46">
        <f>Insolation!$L$8*((PSH!B10*SIN(RADIANS(PSH!J11)))+(Insolation!$E$13*PSH!B10))*((1-COS(RADIANS(90-PSH!J11)))/2)</f>
        <v>17.820665158175242</v>
      </c>
    </row>
    <row r="12" spans="1:30" x14ac:dyDescent="0.25">
      <c r="A12" s="178">
        <f>Graph!A12</f>
        <v>9.5</v>
      </c>
      <c r="B12" s="46">
        <f>Graph!D12</f>
        <v>852.1882622976857</v>
      </c>
      <c r="C12" s="232">
        <f t="shared" si="0"/>
        <v>434.70536153275822</v>
      </c>
      <c r="D12" s="182"/>
      <c r="E12" s="186">
        <f t="shared" si="1"/>
        <v>434.70536153275822</v>
      </c>
      <c r="F12" s="186"/>
      <c r="G12" s="44">
        <f t="shared" si="3"/>
        <v>368.53000000000065</v>
      </c>
      <c r="H12" s="44"/>
      <c r="I12" s="178">
        <v>10</v>
      </c>
      <c r="J12" s="202">
        <f>Graph!B11</f>
        <v>20.538772345784377</v>
      </c>
      <c r="K12" s="202">
        <f>IF(COS(RADIANS(Graph!H11))&gt;=((TAN(RADIANS(Angles!$F$10)))/(TAN(RADIANS(Time!$P$4)))),L12,IF(A11&lt;12,M12,N12))</f>
        <v>47.297511279853147</v>
      </c>
      <c r="L12" s="202">
        <f>DEGREES(ASIN(COS(RADIANS(Angles!$F$10))*SIN(RADIANS(Graph!H11))/COS(RADIANS(J12))))</f>
        <v>47.297511279853147</v>
      </c>
      <c r="M12" s="202">
        <f t="shared" si="5"/>
        <v>132.70248872014685</v>
      </c>
      <c r="N12" s="203">
        <f t="shared" si="6"/>
        <v>-227.29751127985315</v>
      </c>
      <c r="O12" s="204">
        <f>COS(RADIANS(J12))*COS(RADIANS(K12-Insolation!$L$6))*SIN(RADIANS(0))+(SIN(RADIANS(J12))*COS(RADIANS(0)))</f>
        <v>0.3508411518665156</v>
      </c>
      <c r="P12" s="204">
        <f>COS(RADIANS(J12))*COS(RADIANS(K12-Insolation!$L$6))*SIN(RADIANS(Insolation!$L$7))+SIN(RADIANS(J12))*COS(RADIANS(Insolation!$L$7))</f>
        <v>0.63508233439311457</v>
      </c>
      <c r="Q12" s="205">
        <f>COS(RADIANS(J12))*COS(RADIANS(K12-K12))*SIN(RADIANS(Insolation!$L$7))+SIN(RADIANS(J12))*COS(RADIANS(Insolation!$L$7))</f>
        <v>0.93643498768306199</v>
      </c>
      <c r="R12" s="207">
        <f t="shared" si="7"/>
        <v>0.99999999999999989</v>
      </c>
      <c r="S12" s="46">
        <f t="shared" si="8"/>
        <v>280.92950432000907</v>
      </c>
      <c r="T12" s="46">
        <f>B11*Insolation!$E$13</f>
        <v>50.402479541050567</v>
      </c>
      <c r="U12" s="46">
        <f>Insolation!$L$8*B11*(SIN(RADIANS(J12))+Insolation!$E$13)*((1-COS(RADIANS(0)))/2)</f>
        <v>0</v>
      </c>
      <c r="V12" s="46">
        <f t="shared" si="9"/>
        <v>508.53032620110883</v>
      </c>
      <c r="W12" s="48">
        <f>Insolation!$E$13*PSH!B11*((1+COS(RADIANS(Insolation!$L$7)))/2)</f>
        <v>25.201239770525284</v>
      </c>
      <c r="X12" s="46">
        <f>Insolation!$L$8*B11*((SIN(RADIANS(J12)))+Insolation!$E$13)*((1-COS(RADIANS(Insolation!$L$7)))/2)</f>
        <v>33.133198386105967</v>
      </c>
      <c r="Y12" s="46">
        <f>B11*(COS(RADIANS(Angles!$F$10)))</f>
        <v>779.28966844475565</v>
      </c>
      <c r="Z12" s="46">
        <f>Insolation!$E$13*PSH!B11*((1+COS(RADIANS(90-J12+Angles!$F$10)))/2)</f>
        <v>39.230785284949029</v>
      </c>
      <c r="AA12" s="46">
        <f>Insolation!$L$8*((B11*SIN(RADIANS(J12)))+(Insolation!$E$13*B11))*((1-COS(RADIANS(Insolation!$L$7)))/2)</f>
        <v>33.13319838610596</v>
      </c>
      <c r="AB12" s="46">
        <f t="shared" si="4"/>
        <v>800.73133617716041</v>
      </c>
      <c r="AC12" s="46">
        <f>Insolation!$E$13*B11*((1+COS(RADIANS(90-J12)))/2)</f>
        <v>34.042871760080622</v>
      </c>
      <c r="AD12" s="46">
        <f>Insolation!$L$8*((PSH!B11*SIN(RADIANS(PSH!J12)))+(Insolation!$E$13*PSH!B11))*((1-COS(RADIANS(90-PSH!J12)))/2)</f>
        <v>21.508708899302768</v>
      </c>
    </row>
    <row r="13" spans="1:30" x14ac:dyDescent="0.25">
      <c r="A13" s="178">
        <f>Graph!A13</f>
        <v>10</v>
      </c>
      <c r="B13" s="46">
        <f>Graph!D13</f>
        <v>886.63318383334718</v>
      </c>
      <c r="C13" s="232">
        <f t="shared" si="0"/>
        <v>449.09102241463972</v>
      </c>
      <c r="D13" s="182"/>
      <c r="E13" s="186">
        <f t="shared" si="1"/>
        <v>449.09102241463972</v>
      </c>
      <c r="F13" s="186">
        <f t="shared" si="2"/>
        <v>5450.1421067287729</v>
      </c>
      <c r="G13" s="44">
        <f t="shared" si="3"/>
        <v>395.16249999999854</v>
      </c>
      <c r="H13" s="44"/>
      <c r="I13" s="178">
        <v>10.5</v>
      </c>
      <c r="J13" s="202">
        <f>Graph!B12</f>
        <v>24.369234550087153</v>
      </c>
      <c r="K13" s="202">
        <f>IF(COS(RADIANS(Graph!H12))&gt;=((TAN(RADIANS(Angles!$F$10)))/(TAN(RADIANS(Time!$P$4)))),L13,IF(A12&lt;12,M13,N13))</f>
        <v>40.57238109013921</v>
      </c>
      <c r="L13" s="202">
        <f>DEGREES(ASIN(COS(RADIANS(Angles!$F$10))*SIN(RADIANS(Graph!H12))/COS(RADIANS(J13))))</f>
        <v>40.57238109013921</v>
      </c>
      <c r="M13" s="202">
        <f t="shared" si="5"/>
        <v>139.4276189098608</v>
      </c>
      <c r="N13" s="203">
        <f t="shared" si="6"/>
        <v>-220.5723810901392</v>
      </c>
      <c r="O13" s="204">
        <f>COS(RADIANS(J13))*COS(RADIANS(K13-Insolation!$L$6))*SIN(RADIANS(0))+(SIN(RADIANS(J13))*COS(RADIANS(0)))</f>
        <v>0.41261537105548296</v>
      </c>
      <c r="P13" s="204">
        <f>COS(RADIANS(J13))*COS(RADIANS(K13-Insolation!$L$6))*SIN(RADIANS(Insolation!$L$7))+SIN(RADIANS(J13))*COS(RADIANS(Insolation!$L$7))</f>
        <v>0.69190996595734255</v>
      </c>
      <c r="Q13" s="205">
        <f>COS(RADIANS(J13))*COS(RADIANS(K13-K13))*SIN(RADIANS(Insolation!$L$7))+SIN(RADIANS(J13))*COS(RADIANS(Insolation!$L$7))</f>
        <v>0.91090534940176204</v>
      </c>
      <c r="R13" s="207">
        <f t="shared" si="7"/>
        <v>1</v>
      </c>
      <c r="S13" s="46">
        <f t="shared" si="8"/>
        <v>351.6259760570868</v>
      </c>
      <c r="T13" s="46">
        <f>B12*Insolation!$E$13</f>
        <v>53.641464390097745</v>
      </c>
      <c r="U13" s="46">
        <f>Insolation!$L$8*B12*(SIN(RADIANS(J13))+Insolation!$E$13)*((1-COS(RADIANS(0)))/2)</f>
        <v>0</v>
      </c>
      <c r="V13" s="46">
        <f t="shared" si="9"/>
        <v>589.63755155563865</v>
      </c>
      <c r="W13" s="48">
        <f>Insolation!$E$13*PSH!B12*((1+COS(RADIANS(Insolation!$L$7)))/2)</f>
        <v>26.820732195048873</v>
      </c>
      <c r="X13" s="46">
        <f>Insolation!$L$8*B12*((SIN(RADIANS(J13)))+Insolation!$E$13)*((1-COS(RADIANS(Insolation!$L$7)))/2)</f>
        <v>40.526744044718455</v>
      </c>
      <c r="Y13" s="46">
        <f>B12*(COS(RADIANS(Angles!$F$10)))</f>
        <v>829.36870130375996</v>
      </c>
      <c r="Z13" s="46">
        <f>Insolation!$E$13*PSH!B12*((1+COS(RADIANS(90-J13+Angles!$F$10)))/2)</f>
        <v>43.206919618540894</v>
      </c>
      <c r="AA13" s="46">
        <f>Insolation!$L$8*((B12*SIN(RADIANS(J13)))+(Insolation!$E$13*B12))*((1-COS(RADIANS(Insolation!$L$7)))/2)</f>
        <v>40.526744044718448</v>
      </c>
      <c r="AB13" s="46">
        <f t="shared" si="4"/>
        <v>852.1882622976857</v>
      </c>
      <c r="AC13" s="46">
        <f>Insolation!$E$13*B12*((1+COS(RADIANS(90-J13)))/2)</f>
        <v>37.887378561688699</v>
      </c>
      <c r="AD13" s="46">
        <f>Insolation!$L$8*((PSH!B12*SIN(RADIANS(PSH!J13)))+(Insolation!$E$13*PSH!B12))*((1-COS(RADIANS(90-PSH!J13)))/2)</f>
        <v>23.804786513036362</v>
      </c>
    </row>
    <row r="14" spans="1:30" x14ac:dyDescent="0.25">
      <c r="A14" s="178">
        <f>Graph!A14</f>
        <v>10.5</v>
      </c>
      <c r="B14" s="46">
        <f>Graph!D14</f>
        <v>909.73090582521161</v>
      </c>
      <c r="C14" s="232">
        <f t="shared" si="0"/>
        <v>458.57905135494781</v>
      </c>
      <c r="D14" s="182"/>
      <c r="E14" s="186">
        <f t="shared" si="1"/>
        <v>458.57905135494781</v>
      </c>
      <c r="F14" s="186"/>
      <c r="G14" s="44">
        <f t="shared" si="3"/>
        <v>417.57250000000204</v>
      </c>
      <c r="H14" s="44"/>
      <c r="I14" s="178">
        <v>11</v>
      </c>
      <c r="J14" s="202">
        <f>Graph!B13</f>
        <v>27.688662553652001</v>
      </c>
      <c r="K14" s="202">
        <f>IF(COS(RADIANS(Graph!H13))&gt;=((TAN(RADIANS(Angles!$F$10)))/(TAN(RADIANS(Time!$P$4)))),L14,IF(A13&lt;12,M14,N14))</f>
        <v>33.335572800022035</v>
      </c>
      <c r="L14" s="202">
        <f>DEGREES(ASIN(COS(RADIANS(Angles!$F$10))*SIN(RADIANS(Graph!H13))/COS(RADIANS(J14))))</f>
        <v>33.335572800022035</v>
      </c>
      <c r="M14" s="202">
        <f t="shared" si="5"/>
        <v>146.66442719997798</v>
      </c>
      <c r="N14" s="203">
        <f t="shared" si="6"/>
        <v>-213.33557280002202</v>
      </c>
      <c r="O14" s="204">
        <f>COS(RADIANS(J14))*COS(RADIANS(K14-Insolation!$L$6))*SIN(RADIANS(0))+(SIN(RADIANS(J14))*COS(RADIANS(0)))</f>
        <v>0.46466683868208791</v>
      </c>
      <c r="P14" s="204">
        <f>COS(RADIANS(J14))*COS(RADIANS(K14-Insolation!$L$6))*SIN(RADIANS(Insolation!$L$7))+SIN(RADIANS(J14))*COS(RADIANS(Insolation!$L$7))</f>
        <v>0.73979339796987242</v>
      </c>
      <c r="Q14" s="205">
        <f>COS(RADIANS(J14))*COS(RADIANS(K14-K14))*SIN(RADIANS(Insolation!$L$7))+SIN(RADIANS(J14))*COS(RADIANS(Insolation!$L$7))</f>
        <v>0.88548558939668487</v>
      </c>
      <c r="R14" s="207">
        <f t="shared" si="7"/>
        <v>0.99999999999999989</v>
      </c>
      <c r="S14" s="46">
        <f t="shared" si="8"/>
        <v>411.98903860247594</v>
      </c>
      <c r="T14" s="46">
        <f>B13*Insolation!$E$13</f>
        <v>55.809619143829224</v>
      </c>
      <c r="U14" s="46">
        <f>Insolation!$L$8*B13*(SIN(RADIANS(J14))+Insolation!$E$13)*((1-COS(RADIANS(0)))/2)</f>
        <v>0</v>
      </c>
      <c r="V14" s="46">
        <f t="shared" si="9"/>
        <v>655.92537582091848</v>
      </c>
      <c r="W14" s="48">
        <f>Insolation!$E$13*PSH!B13*((1+COS(RADIANS(Insolation!$L$7)))/2)</f>
        <v>27.904809571914612</v>
      </c>
      <c r="X14" s="46">
        <f>Insolation!$L$8*B13*((SIN(RADIANS(J14)))+Insolation!$E$13)*((1-COS(RADIANS(Insolation!$L$7)))/2)</f>
        <v>46.779865774630508</v>
      </c>
      <c r="Y14" s="46">
        <f>B13*(COS(RADIANS(Angles!$F$10)))</f>
        <v>862.89127032332976</v>
      </c>
      <c r="Z14" s="46">
        <f>Insolation!$E$13*PSH!B13*((1+COS(RADIANS(90-J14+Angles!$F$10)))/2)</f>
        <v>46.203857376594577</v>
      </c>
      <c r="AA14" s="46">
        <f>Insolation!$L$8*((B13*SIN(RADIANS(J14)))+(Insolation!$E$13*B13))*((1-COS(RADIANS(Insolation!$L$7)))/2)</f>
        <v>46.779865774630508</v>
      </c>
      <c r="AB14" s="46">
        <f t="shared" si="4"/>
        <v>886.63318383334718</v>
      </c>
      <c r="AC14" s="46">
        <f>Insolation!$E$13*B13*((1+COS(RADIANS(90-J14)))/2)</f>
        <v>40.871249219721847</v>
      </c>
      <c r="AD14" s="46">
        <f>Insolation!$L$8*((PSH!B13*SIN(RADIANS(PSH!J14)))+(Insolation!$E$13*PSH!B13))*((1-COS(RADIANS(90-PSH!J14)))/2)</f>
        <v>25.042813431160553</v>
      </c>
    </row>
    <row r="15" spans="1:30" x14ac:dyDescent="0.25">
      <c r="A15" s="178">
        <f>Graph!A15</f>
        <v>11</v>
      </c>
      <c r="B15" s="46">
        <f>Graph!D15</f>
        <v>924.58529959457962</v>
      </c>
      <c r="C15" s="232">
        <f t="shared" si="0"/>
        <v>464.37586203599648</v>
      </c>
      <c r="D15" s="182"/>
      <c r="E15" s="186">
        <f t="shared" si="1"/>
        <v>464.37586203599648</v>
      </c>
      <c r="F15" s="186">
        <f t="shared" si="2"/>
        <v>5591.8638491517404</v>
      </c>
      <c r="G15" s="44">
        <f t="shared" si="3"/>
        <v>435.7599999999984</v>
      </c>
      <c r="H15" s="44"/>
      <c r="I15" s="178">
        <v>11.5</v>
      </c>
      <c r="J15" s="202">
        <f>Graph!B14</f>
        <v>30.404728225611251</v>
      </c>
      <c r="K15" s="202">
        <f>IF(COS(RADIANS(Graph!H14))&gt;=((TAN(RADIANS(Angles!$F$10)))/(TAN(RADIANS(Time!$P$4)))),L15,IF(A14&lt;12,M15,N15))</f>
        <v>25.583372877122184</v>
      </c>
      <c r="L15" s="202">
        <f>DEGREES(ASIN(COS(RADIANS(Angles!$F$10))*SIN(RADIANS(Graph!H14))/COS(RADIANS(J15))))</f>
        <v>25.583372877122184</v>
      </c>
      <c r="M15" s="202">
        <f t="shared" si="5"/>
        <v>154.41662712287783</v>
      </c>
      <c r="N15" s="203">
        <f t="shared" si="6"/>
        <v>-205.58337287712217</v>
      </c>
      <c r="O15" s="204">
        <f>COS(RADIANS(J15))*COS(RADIANS(K15-Insolation!$L$6))*SIN(RADIANS(0))+(SIN(RADIANS(J15))*COS(RADIANS(0)))</f>
        <v>0.50610493970384574</v>
      </c>
      <c r="P15" s="204">
        <f>COS(RADIANS(J15))*COS(RADIANS(K15-Insolation!$L$6))*SIN(RADIANS(Insolation!$L$7))+SIN(RADIANS(J15))*COS(RADIANS(Insolation!$L$7))</f>
        <v>0.77791333163317444</v>
      </c>
      <c r="Q15" s="205">
        <f>COS(RADIANS(J15))*COS(RADIANS(K15-K15))*SIN(RADIANS(Insolation!$L$7))+SIN(RADIANS(J15))*COS(RADIANS(Insolation!$L$7))</f>
        <v>0.86247190679312369</v>
      </c>
      <c r="R15" s="207">
        <f t="shared" si="7"/>
        <v>1</v>
      </c>
      <c r="S15" s="46">
        <f t="shared" si="8"/>
        <v>460.41930523939368</v>
      </c>
      <c r="T15" s="46">
        <f>B14*Insolation!$E$13</f>
        <v>57.263518107866084</v>
      </c>
      <c r="U15" s="46">
        <f>Insolation!$L$8*B14*(SIN(RADIANS(J15))+Insolation!$E$13)*((1-COS(RADIANS(0)))/2)</f>
        <v>0</v>
      </c>
      <c r="V15" s="46">
        <f t="shared" si="9"/>
        <v>707.69179984015602</v>
      </c>
      <c r="W15" s="48">
        <f>Insolation!$E$13*PSH!B14*((1+COS(RADIANS(Insolation!$L$7)))/2)</f>
        <v>28.631759053933042</v>
      </c>
      <c r="X15" s="46">
        <f>Insolation!$L$8*B14*((SIN(RADIANS(J15)))+Insolation!$E$13)*((1-COS(RADIANS(Insolation!$L$7)))/2)</f>
        <v>51.768282334725967</v>
      </c>
      <c r="Y15" s="46">
        <f>B14*(COS(RADIANS(Angles!$F$10)))</f>
        <v>885.37049063060988</v>
      </c>
      <c r="Z15" s="46">
        <f>Insolation!$E$13*PSH!B14*((1+COS(RADIANS(90-J15+Angles!$F$10)))/2)</f>
        <v>48.410728229480583</v>
      </c>
      <c r="AA15" s="46">
        <f>Insolation!$L$8*((B14*SIN(RADIANS(J15)))+(Insolation!$E$13*B14))*((1-COS(RADIANS(Insolation!$L$7)))/2)</f>
        <v>51.768282334725967</v>
      </c>
      <c r="AB15" s="46">
        <f t="shared" si="4"/>
        <v>909.73090582521161</v>
      </c>
      <c r="AC15" s="46">
        <f>Insolation!$E$13*B14*((1+COS(RADIANS(90-J15)))/2)</f>
        <v>43.122433743538856</v>
      </c>
      <c r="AD15" s="46">
        <f>Insolation!$L$8*((PSH!B14*SIN(RADIANS(PSH!J15)))+(Insolation!$E$13*PSH!B14))*((1-COS(RADIANS(90-PSH!J15)))/2)</f>
        <v>25.568098925137829</v>
      </c>
    </row>
    <row r="16" spans="1:30" x14ac:dyDescent="0.25">
      <c r="A16" s="178">
        <f>Graph!A16</f>
        <v>11.5</v>
      </c>
      <c r="B16" s="46">
        <f>Graph!D16</f>
        <v>932.91814854940628</v>
      </c>
      <c r="C16" s="232">
        <f t="shared" si="0"/>
        <v>467.13102597723548</v>
      </c>
      <c r="D16" s="182"/>
      <c r="E16" s="186">
        <f t="shared" si="1"/>
        <v>467.13102597723548</v>
      </c>
      <c r="F16" s="186"/>
      <c r="G16" s="44">
        <f t="shared" si="3"/>
        <v>449.72499999999854</v>
      </c>
      <c r="H16" s="44"/>
      <c r="I16" s="178">
        <v>12</v>
      </c>
      <c r="J16" s="202">
        <f>Graph!B15</f>
        <v>32.426731270010215</v>
      </c>
      <c r="K16" s="202">
        <f>IF(COS(RADIANS(Graph!H15))&gt;=((TAN(RADIANS(Angles!$F$10)))/(TAN(RADIANS(Time!$P$4)))),L16,IF(A15&lt;12,M16,N16))</f>
        <v>17.362642625459838</v>
      </c>
      <c r="L16" s="202">
        <f>DEGREES(ASIN(COS(RADIANS(Angles!$F$10))*SIN(RADIANS(Graph!H15))/COS(RADIANS(J16))))</f>
        <v>17.362642625459838</v>
      </c>
      <c r="M16" s="202">
        <f t="shared" si="5"/>
        <v>162.63735737454016</v>
      </c>
      <c r="N16" s="203">
        <f t="shared" si="6"/>
        <v>-197.36264262545984</v>
      </c>
      <c r="O16" s="204">
        <f>COS(RADIANS(J16))*COS(RADIANS(K16-Insolation!$L$6))*SIN(RADIANS(0))+(SIN(RADIANS(J16))*COS(RADIANS(0)))</f>
        <v>0.53622065672346231</v>
      </c>
      <c r="P16" s="204">
        <f>COS(RADIANS(J16))*COS(RADIANS(K16-Insolation!$L$6))*SIN(RADIANS(Insolation!$L$7))+SIN(RADIANS(J16))*COS(RADIANS(Insolation!$L$7))</f>
        <v>0.80561752431342704</v>
      </c>
      <c r="Q16" s="205">
        <f>COS(RADIANS(J16))*COS(RADIANS(K16-K16))*SIN(RADIANS(Insolation!$L$7))+SIN(RADIANS(J16))*COS(RADIANS(Insolation!$L$7))</f>
        <v>0.84407784433845845</v>
      </c>
      <c r="R16" s="207">
        <f t="shared" si="7"/>
        <v>1</v>
      </c>
      <c r="S16" s="46">
        <f t="shared" si="8"/>
        <v>495.78173654546464</v>
      </c>
      <c r="T16" s="46">
        <f>B15*Insolation!$E$13</f>
        <v>58.198536189748211</v>
      </c>
      <c r="U16" s="46">
        <f>Insolation!$L$8*B15*(SIN(RADIANS(J16))+Insolation!$E$13)*((1-COS(RADIANS(0)))/2)</f>
        <v>0</v>
      </c>
      <c r="V16" s="46">
        <f t="shared" si="9"/>
        <v>744.86212007597351</v>
      </c>
      <c r="W16" s="48">
        <f>Insolation!$E$13*PSH!B15*((1+COS(RADIANS(Insolation!$L$7)))/2)</f>
        <v>29.099268094874105</v>
      </c>
      <c r="X16" s="46">
        <f>Insolation!$L$8*B15*((SIN(RADIANS(J16)))+Insolation!$E$13)*((1-COS(RADIANS(Insolation!$L$7)))/2)</f>
        <v>55.398027273521272</v>
      </c>
      <c r="Y16" s="46">
        <f>B15*(COS(RADIANS(Angles!$F$10)))</f>
        <v>899.82711930552102</v>
      </c>
      <c r="Z16" s="46">
        <f>Insolation!$E$13*PSH!B15*((1+COS(RADIANS(90-J16+Angles!$F$10)))/2)</f>
        <v>49.931037461511693</v>
      </c>
      <c r="AA16" s="46">
        <f>Insolation!$L$8*((B15*SIN(RADIANS(J16)))+(Insolation!$E$13*B15))*((1-COS(RADIANS(Insolation!$L$7)))/2)</f>
        <v>55.398027273521272</v>
      </c>
      <c r="AB16" s="46">
        <f t="shared" si="4"/>
        <v>924.58529959457962</v>
      </c>
      <c r="AC16" s="46">
        <f>Insolation!$E$13*B15*((1+COS(RADIANS(90-J16)))/2)</f>
        <v>44.702896742879595</v>
      </c>
      <c r="AD16" s="46">
        <f>Insolation!$L$8*((PSH!B15*SIN(RADIANS(PSH!J16)))+(Insolation!$E$13*PSH!B15))*((1-COS(RADIANS(90-PSH!J16)))/2)</f>
        <v>25.692460707729424</v>
      </c>
    </row>
    <row r="17" spans="1:30" x14ac:dyDescent="0.25">
      <c r="A17" s="178">
        <f>Graph!A17</f>
        <v>12</v>
      </c>
      <c r="B17" s="46">
        <f>Graph!D17</f>
        <v>935.60595535953576</v>
      </c>
      <c r="C17" s="232">
        <f t="shared" si="0"/>
        <v>467.13102597723548</v>
      </c>
      <c r="D17" s="182"/>
      <c r="E17" s="186">
        <f t="shared" si="1"/>
        <v>467.13102597723548</v>
      </c>
      <c r="F17" s="186">
        <f t="shared" si="2"/>
        <v>5591.8638491517404</v>
      </c>
      <c r="G17" s="44">
        <f t="shared" si="3"/>
        <v>459.46750000000247</v>
      </c>
      <c r="H17" s="44"/>
      <c r="I17" s="178">
        <v>12.5</v>
      </c>
      <c r="J17" s="202">
        <f>Graph!B16</f>
        <v>33.676193524236474</v>
      </c>
      <c r="K17" s="202">
        <f>IF(COS(RADIANS(Graph!H16))&gt;=((TAN(RADIANS(Angles!$F$10)))/(TAN(RADIANS(Time!$P$4)))),L17,IF(A16&lt;12,M17,N17))</f>
        <v>8.7803924675488805</v>
      </c>
      <c r="L17" s="202">
        <f>DEGREES(ASIN(COS(RADIANS(Angles!$F$10))*SIN(RADIANS(Graph!H16))/COS(RADIANS(J17))))</f>
        <v>8.7803924675488805</v>
      </c>
      <c r="M17" s="202">
        <f t="shared" si="5"/>
        <v>171.21960753245111</v>
      </c>
      <c r="N17" s="203">
        <f t="shared" si="6"/>
        <v>-188.78039246754889</v>
      </c>
      <c r="O17" s="204">
        <f>COS(RADIANS(J17))*COS(RADIANS(K17-Insolation!$L$6))*SIN(RADIANS(0))+(SIN(RADIANS(J17))*COS(RADIANS(0)))</f>
        <v>0.55449870147307734</v>
      </c>
      <c r="P17" s="204">
        <f>COS(RADIANS(J17))*COS(RADIANS(K17-Insolation!$L$6))*SIN(RADIANS(Insolation!$L$7))+SIN(RADIANS(J17))*COS(RADIANS(Insolation!$L$7))</f>
        <v>0.82243194959281785</v>
      </c>
      <c r="Q17" s="205">
        <f>COS(RADIANS(J17))*COS(RADIANS(K17-K17))*SIN(RADIANS(Insolation!$L$7))+SIN(RADIANS(J17))*COS(RADIANS(Insolation!$L$7))</f>
        <v>0.83218458893725678</v>
      </c>
      <c r="R17" s="207">
        <f t="shared" si="7"/>
        <v>1</v>
      </c>
      <c r="S17" s="46">
        <f t="shared" si="8"/>
        <v>517.3019019513132</v>
      </c>
      <c r="T17" s="46">
        <f>B16*Insolation!$E$13</f>
        <v>58.723052004215333</v>
      </c>
      <c r="U17" s="46">
        <f>Insolation!$L$8*B16*(SIN(RADIANS(J17))+Insolation!$E$13)*((1-COS(RADIANS(0)))/2)</f>
        <v>0</v>
      </c>
      <c r="V17" s="46">
        <f t="shared" si="9"/>
        <v>767.26169172201026</v>
      </c>
      <c r="W17" s="48">
        <f>Insolation!$E$13*PSH!B16*((1+COS(RADIANS(Insolation!$L$7)))/2)</f>
        <v>29.361526002107666</v>
      </c>
      <c r="X17" s="46">
        <f>Insolation!$L$8*B16*((SIN(RADIANS(J17)))+Insolation!$E$13)*((1-COS(RADIANS(Insolation!$L$7)))/2)</f>
        <v>57.602495395552857</v>
      </c>
      <c r="Y17" s="46">
        <f>B16*(COS(RADIANS(Angles!$F$10)))</f>
        <v>907.93683451937693</v>
      </c>
      <c r="Z17" s="46">
        <f>Insolation!$E$13*PSH!B16*((1+COS(RADIANS(90-J17+Angles!$F$10)))/2)</f>
        <v>50.823072745349776</v>
      </c>
      <c r="AA17" s="46">
        <f>Insolation!$L$8*((B16*SIN(RADIANS(J17)))+(Insolation!$E$13*B16))*((1-COS(RADIANS(Insolation!$L$7)))/2)</f>
        <v>57.60249539555285</v>
      </c>
      <c r="AB17" s="46">
        <f t="shared" si="4"/>
        <v>932.91814854940628</v>
      </c>
      <c r="AC17" s="46">
        <f>Insolation!$E$13*B16*((1+COS(RADIANS(90-J17)))/2)</f>
        <v>45.642454043544362</v>
      </c>
      <c r="AD17" s="46">
        <f>Insolation!$L$8*((PSH!B16*SIN(RADIANS(PSH!J17)))+(Insolation!$E$13*PSH!B16))*((1-COS(RADIANS(90-PSH!J17)))/2)</f>
        <v>25.661986497109883</v>
      </c>
    </row>
    <row r="18" spans="1:30" x14ac:dyDescent="0.25">
      <c r="A18" s="178">
        <f>Graph!A18</f>
        <v>12.5</v>
      </c>
      <c r="B18" s="46">
        <f>Graph!D18</f>
        <v>932.91814854940628</v>
      </c>
      <c r="C18" s="232">
        <f t="shared" si="0"/>
        <v>464.37586203599648</v>
      </c>
      <c r="D18" s="182"/>
      <c r="E18" s="186">
        <f t="shared" si="1"/>
        <v>464.37586203599648</v>
      </c>
      <c r="F18" s="186"/>
      <c r="G18" s="44">
        <f t="shared" si="3"/>
        <v>464.98749999999927</v>
      </c>
      <c r="H18" s="44"/>
      <c r="I18" s="178">
        <v>13</v>
      </c>
      <c r="J18" s="202">
        <f>Graph!B17</f>
        <v>34.099123814973296</v>
      </c>
      <c r="K18" s="202">
        <f>IF(COS(RADIANS(Graph!H17))&gt;=((TAN(RADIANS(Angles!$F$10)))/(TAN(RADIANS(Time!$P$4)))),L18,IF(A17&lt;12,M18,N18))</f>
        <v>0</v>
      </c>
      <c r="L18" s="202">
        <f>DEGREES(ASIN(COS(RADIANS(Angles!$F$10))*SIN(RADIANS(Graph!H17))/COS(RADIANS(J18))))</f>
        <v>0</v>
      </c>
      <c r="M18" s="202">
        <f t="shared" si="5"/>
        <v>180</v>
      </c>
      <c r="N18" s="203">
        <f t="shared" si="6"/>
        <v>-180</v>
      </c>
      <c r="O18" s="204">
        <f>COS(RADIANS(J18))*COS(RADIANS(K18-Insolation!$L$6))*SIN(RADIANS(0))+(SIN(RADIANS(J18))*COS(RADIANS(0)))</f>
        <v>0.56062633153939401</v>
      </c>
      <c r="P18" s="204">
        <f>COS(RADIANS(J18))*COS(RADIANS(K18-Insolation!$L$6))*SIN(RADIANS(Insolation!$L$7))+SIN(RADIANS(J18))*COS(RADIANS(Insolation!$L$7))</f>
        <v>0.82806890799297705</v>
      </c>
      <c r="Q18" s="205">
        <f>COS(RADIANS(J18))*COS(RADIANS(K18-K18))*SIN(RADIANS(Insolation!$L$7))+SIN(RADIANS(J18))*COS(RADIANS(Insolation!$L$7))</f>
        <v>0.82806890799297705</v>
      </c>
      <c r="R18" s="207">
        <f t="shared" si="7"/>
        <v>1</v>
      </c>
      <c r="S18" s="46">
        <f t="shared" si="8"/>
        <v>524.52533451962654</v>
      </c>
      <c r="T18" s="46">
        <f>B17*Insolation!$E$13</f>
        <v>58.892237499570889</v>
      </c>
      <c r="U18" s="46">
        <f>Insolation!$L$8*B17*(SIN(RADIANS(J18))+Insolation!$E$13)*((1-COS(RADIANS(0)))/2)</f>
        <v>0</v>
      </c>
      <c r="V18" s="46">
        <f t="shared" si="9"/>
        <v>774.74620176629685</v>
      </c>
      <c r="W18" s="48">
        <f>Insolation!$E$13*PSH!B17*((1+COS(RADIANS(Insolation!$L$7)))/2)</f>
        <v>29.446118749785445</v>
      </c>
      <c r="X18" s="46">
        <f>Insolation!$L$8*B17*((SIN(RADIANS(J18)))+Insolation!$E$13)*((1-COS(RADIANS(Insolation!$L$7)))/2)</f>
        <v>58.341757201919741</v>
      </c>
      <c r="Y18" s="46">
        <f>B17*(COS(RADIANS(Angles!$F$10)))</f>
        <v>910.55266829941763</v>
      </c>
      <c r="Z18" s="46">
        <f>Insolation!$E$13*PSH!B17*((1+COS(RADIANS(90-J18+Angles!$F$10)))/2)</f>
        <v>51.117243521688629</v>
      </c>
      <c r="AA18" s="46">
        <f>Insolation!$L$8*((B17*SIN(RADIANS(J18)))+(Insolation!$E$13*B17))*((1-COS(RADIANS(Insolation!$L$7)))/2)</f>
        <v>58.341757201919741</v>
      </c>
      <c r="AB18" s="46">
        <f t="shared" si="4"/>
        <v>935.60595535953576</v>
      </c>
      <c r="AC18" s="46">
        <f>Insolation!$E$13*B17*((1+COS(RADIANS(90-J18)))/2)</f>
        <v>45.954388282551022</v>
      </c>
      <c r="AD18" s="46">
        <f>Insolation!$L$8*((PSH!B17*SIN(RADIANS(PSH!J18)))+(Insolation!$E$13*PSH!B17))*((1-COS(RADIANS(90-PSH!J18)))/2)</f>
        <v>25.63383188624546</v>
      </c>
    </row>
    <row r="19" spans="1:30" x14ac:dyDescent="0.25">
      <c r="A19" s="178">
        <f>Graph!A19</f>
        <v>13</v>
      </c>
      <c r="B19" s="46">
        <f>Graph!D19</f>
        <v>924.58529959457962</v>
      </c>
      <c r="C19" s="232">
        <f t="shared" si="0"/>
        <v>458.57905135494781</v>
      </c>
      <c r="D19" s="182"/>
      <c r="E19" s="186">
        <f t="shared" si="1"/>
        <v>458.57905135494781</v>
      </c>
      <c r="F19" s="186">
        <f t="shared" si="2"/>
        <v>5450.1421067287729</v>
      </c>
      <c r="G19" s="44">
        <f t="shared" si="3"/>
        <v>466.28500000000349</v>
      </c>
      <c r="H19" s="44"/>
      <c r="I19" s="178">
        <v>13.5</v>
      </c>
      <c r="J19" s="202">
        <f>Graph!B18</f>
        <v>33.676193524236474</v>
      </c>
      <c r="K19" s="202">
        <f>IF(COS(RADIANS(Graph!H18))&gt;=((TAN(RADIANS(Angles!$F$10)))/(TAN(RADIANS(Time!$P$4)))),L19,IF(A18&lt;12,M19,N19))</f>
        <v>-8.7803924675488805</v>
      </c>
      <c r="L19" s="202">
        <f>DEGREES(ASIN(COS(RADIANS(Angles!$F$10))*SIN(RADIANS(Graph!H18))/COS(RADIANS(J19))))</f>
        <v>-8.7803924675488805</v>
      </c>
      <c r="M19" s="202">
        <f t="shared" si="5"/>
        <v>188.78039246754889</v>
      </c>
      <c r="N19" s="203">
        <f t="shared" si="6"/>
        <v>-171.21960753245111</v>
      </c>
      <c r="O19" s="204">
        <f>COS(RADIANS(J19))*COS(RADIANS(K19-Insolation!$L$6))*SIN(RADIANS(0))+(SIN(RADIANS(J19))*COS(RADIANS(0)))</f>
        <v>0.55449870147307734</v>
      </c>
      <c r="P19" s="204">
        <f>COS(RADIANS(J19))*COS(RADIANS(K19-Insolation!$L$6))*SIN(RADIANS(Insolation!$L$7))+SIN(RADIANS(J19))*COS(RADIANS(Insolation!$L$7))</f>
        <v>0.82243194959281785</v>
      </c>
      <c r="Q19" s="205">
        <f>COS(RADIANS(J19))*COS(RADIANS(K19-K19))*SIN(RADIANS(Insolation!$L$7))+SIN(RADIANS(J19))*COS(RADIANS(Insolation!$L$7))</f>
        <v>0.83218458893725678</v>
      </c>
      <c r="R19" s="207">
        <f t="shared" si="7"/>
        <v>1</v>
      </c>
      <c r="S19" s="46">
        <f t="shared" si="8"/>
        <v>517.3019019513132</v>
      </c>
      <c r="T19" s="46">
        <f>B18*Insolation!$E$13</f>
        <v>58.723052004215333</v>
      </c>
      <c r="U19" s="46">
        <f>Insolation!$L$8*B18*(SIN(RADIANS(J19))+Insolation!$E$13)*((1-COS(RADIANS(0)))/2)</f>
        <v>0</v>
      </c>
      <c r="V19" s="46">
        <f t="shared" si="9"/>
        <v>767.26169172201026</v>
      </c>
      <c r="W19" s="48">
        <f>Insolation!$E$13*PSH!B18*((1+COS(RADIANS(Insolation!$L$7)))/2)</f>
        <v>29.361526002107666</v>
      </c>
      <c r="X19" s="46">
        <f>Insolation!$L$8*B18*((SIN(RADIANS(J19)))+Insolation!$E$13)*((1-COS(RADIANS(Insolation!$L$7)))/2)</f>
        <v>57.602495395552857</v>
      </c>
      <c r="Y19" s="46">
        <f>B18*(COS(RADIANS(Angles!$F$10)))</f>
        <v>907.93683451937693</v>
      </c>
      <c r="Z19" s="46">
        <f>Insolation!$E$13*PSH!B18*((1+COS(RADIANS(90-J19+Angles!$F$10)))/2)</f>
        <v>50.823072745349776</v>
      </c>
      <c r="AA19" s="46">
        <f>Insolation!$L$8*((B18*SIN(RADIANS(J19)))+(Insolation!$E$13*B18))*((1-COS(RADIANS(Insolation!$L$7)))/2)</f>
        <v>57.60249539555285</v>
      </c>
      <c r="AB19" s="46">
        <f t="shared" si="4"/>
        <v>932.91814854940628</v>
      </c>
      <c r="AC19" s="46">
        <f>Insolation!$E$13*B18*((1+COS(RADIANS(90-J19)))/2)</f>
        <v>45.642454043544362</v>
      </c>
      <c r="AD19" s="46">
        <f>Insolation!$L$8*((PSH!B18*SIN(RADIANS(PSH!J19)))+(Insolation!$E$13*PSH!B18))*((1-COS(RADIANS(90-PSH!J19)))/2)</f>
        <v>25.661986497109883</v>
      </c>
    </row>
    <row r="20" spans="1:30" x14ac:dyDescent="0.25">
      <c r="A20" s="178">
        <f>Graph!A20</f>
        <v>13.5</v>
      </c>
      <c r="B20" s="46">
        <f>Graph!D20</f>
        <v>909.73090582521161</v>
      </c>
      <c r="C20" s="232">
        <f t="shared" si="0"/>
        <v>449.09102241463972</v>
      </c>
      <c r="D20" s="182"/>
      <c r="E20" s="186">
        <f t="shared" si="1"/>
        <v>449.09102241463972</v>
      </c>
      <c r="F20" s="186"/>
      <c r="G20" s="44">
        <f t="shared" si="3"/>
        <v>463.35999999999331</v>
      </c>
      <c r="H20" s="44"/>
      <c r="I20" s="178">
        <v>14</v>
      </c>
      <c r="J20" s="202">
        <f>Graph!B19</f>
        <v>32.426731270010215</v>
      </c>
      <c r="K20" s="202">
        <f>IF(COS(RADIANS(Graph!H19))&gt;=((TAN(RADIANS(Angles!$F$10)))/(TAN(RADIANS(Time!$P$4)))),L20,IF(A19&lt;12,M20,N20))</f>
        <v>-17.362642625459838</v>
      </c>
      <c r="L20" s="202">
        <f>DEGREES(ASIN(COS(RADIANS(Angles!$F$10))*SIN(RADIANS(Graph!H19))/COS(RADIANS(J20))))</f>
        <v>-17.362642625459838</v>
      </c>
      <c r="M20" s="202">
        <f t="shared" si="5"/>
        <v>197.36264262545984</v>
      </c>
      <c r="N20" s="203">
        <f t="shared" si="6"/>
        <v>-162.63735737454016</v>
      </c>
      <c r="O20" s="204">
        <f>COS(RADIANS(J20))*COS(RADIANS(K20-Insolation!$L$6))*SIN(RADIANS(0))+(SIN(RADIANS(J20))*COS(RADIANS(0)))</f>
        <v>0.53622065672346231</v>
      </c>
      <c r="P20" s="204">
        <f>COS(RADIANS(J20))*COS(RADIANS(K20-Insolation!$L$6))*SIN(RADIANS(Insolation!$L$7))+SIN(RADIANS(J20))*COS(RADIANS(Insolation!$L$7))</f>
        <v>0.80561752431342704</v>
      </c>
      <c r="Q20" s="205">
        <f>COS(RADIANS(J20))*COS(RADIANS(K20-K20))*SIN(RADIANS(Insolation!$L$7))+SIN(RADIANS(J20))*COS(RADIANS(Insolation!$L$7))</f>
        <v>0.84407784433845845</v>
      </c>
      <c r="R20" s="207">
        <f t="shared" si="7"/>
        <v>1</v>
      </c>
      <c r="S20" s="46">
        <f t="shared" si="8"/>
        <v>495.78173654546464</v>
      </c>
      <c r="T20" s="46">
        <f>B19*Insolation!$E$13</f>
        <v>58.198536189748211</v>
      </c>
      <c r="U20" s="46">
        <f>Insolation!$L$8*B19*(SIN(RADIANS(J20))+Insolation!$E$13)*((1-COS(RADIANS(0)))/2)</f>
        <v>0</v>
      </c>
      <c r="V20" s="46">
        <f t="shared" si="9"/>
        <v>744.86212007597351</v>
      </c>
      <c r="W20" s="48">
        <f>Insolation!$E$13*PSH!B19*((1+COS(RADIANS(Insolation!$L$7)))/2)</f>
        <v>29.099268094874105</v>
      </c>
      <c r="X20" s="46">
        <f>Insolation!$L$8*B19*((SIN(RADIANS(J20)))+Insolation!$E$13)*((1-COS(RADIANS(Insolation!$L$7)))/2)</f>
        <v>55.398027273521272</v>
      </c>
      <c r="Y20" s="46">
        <f>B19*(COS(RADIANS(Angles!$F$10)))</f>
        <v>899.82711930552102</v>
      </c>
      <c r="Z20" s="46">
        <f>Insolation!$E$13*PSH!B19*((1+COS(RADIANS(90-J20+Angles!$F$10)))/2)</f>
        <v>49.931037461511693</v>
      </c>
      <c r="AA20" s="46">
        <f>Insolation!$L$8*((B19*SIN(RADIANS(J20)))+(Insolation!$E$13*B19))*((1-COS(RADIANS(Insolation!$L$7)))/2)</f>
        <v>55.398027273521272</v>
      </c>
      <c r="AB20" s="46">
        <f t="shared" si="4"/>
        <v>924.58529959457962</v>
      </c>
      <c r="AC20" s="46">
        <f>Insolation!$E$13*B19*((1+COS(RADIANS(90-J20)))/2)</f>
        <v>44.702896742879595</v>
      </c>
      <c r="AD20" s="46">
        <f>Insolation!$L$8*((PSH!B19*SIN(RADIANS(PSH!J20)))+(Insolation!$E$13*PSH!B19))*((1-COS(RADIANS(90-PSH!J20)))/2)</f>
        <v>25.692460707729424</v>
      </c>
    </row>
    <row r="21" spans="1:30" x14ac:dyDescent="0.25">
      <c r="A21" s="178">
        <f>Graph!A21</f>
        <v>14</v>
      </c>
      <c r="B21" s="46">
        <f>Graph!D21</f>
        <v>886.63318383334718</v>
      </c>
      <c r="C21" s="232">
        <f t="shared" si="0"/>
        <v>434.70536153275822</v>
      </c>
      <c r="D21" s="182"/>
      <c r="E21" s="186">
        <f t="shared" si="1"/>
        <v>434.70536153275822</v>
      </c>
      <c r="F21" s="186">
        <f t="shared" si="2"/>
        <v>5096.1175692012503</v>
      </c>
      <c r="G21" s="44">
        <f t="shared" si="3"/>
        <v>456.21249999999782</v>
      </c>
      <c r="H21" s="44"/>
      <c r="I21" s="178">
        <v>14.5</v>
      </c>
      <c r="J21" s="202">
        <f>Graph!B20</f>
        <v>30.404728225611251</v>
      </c>
      <c r="K21" s="202">
        <f>IF(COS(RADIANS(Graph!H20))&gt;=((TAN(RADIANS(Angles!$F$10)))/(TAN(RADIANS(Time!$P$4)))),L21,IF(A20&lt;12,M21,N21))</f>
        <v>-25.583372877122184</v>
      </c>
      <c r="L21" s="202">
        <f>DEGREES(ASIN(COS(RADIANS(Angles!$F$10))*SIN(RADIANS(Graph!H20))/COS(RADIANS(J21))))</f>
        <v>-25.583372877122184</v>
      </c>
      <c r="M21" s="202">
        <f t="shared" si="5"/>
        <v>205.58337287712217</v>
      </c>
      <c r="N21" s="203">
        <f t="shared" si="6"/>
        <v>-154.41662712287783</v>
      </c>
      <c r="O21" s="204">
        <f>COS(RADIANS(J21))*COS(RADIANS(K21-Insolation!$L$6))*SIN(RADIANS(0))+(SIN(RADIANS(J21))*COS(RADIANS(0)))</f>
        <v>0.50610493970384574</v>
      </c>
      <c r="P21" s="204">
        <f>COS(RADIANS(J21))*COS(RADIANS(K21-Insolation!$L$6))*SIN(RADIANS(Insolation!$L$7))+SIN(RADIANS(J21))*COS(RADIANS(Insolation!$L$7))</f>
        <v>0.77791333163317444</v>
      </c>
      <c r="Q21" s="205">
        <f>COS(RADIANS(J21))*COS(RADIANS(K21-K21))*SIN(RADIANS(Insolation!$L$7))+SIN(RADIANS(J21))*COS(RADIANS(Insolation!$L$7))</f>
        <v>0.86247190679312369</v>
      </c>
      <c r="R21" s="207">
        <f t="shared" si="7"/>
        <v>1</v>
      </c>
      <c r="S21" s="46">
        <f t="shared" si="8"/>
        <v>460.41930523939368</v>
      </c>
      <c r="T21" s="46">
        <f>B20*Insolation!$E$13</f>
        <v>57.263518107866084</v>
      </c>
      <c r="U21" s="46">
        <f>Insolation!$L$8*B20*(SIN(RADIANS(J21))+Insolation!$E$13)*((1-COS(RADIANS(0)))/2)</f>
        <v>0</v>
      </c>
      <c r="V21" s="46">
        <f t="shared" si="9"/>
        <v>707.69179984015602</v>
      </c>
      <c r="W21" s="48">
        <f>Insolation!$E$13*PSH!B20*((1+COS(RADIANS(Insolation!$L$7)))/2)</f>
        <v>28.631759053933042</v>
      </c>
      <c r="X21" s="46">
        <f>Insolation!$L$8*B20*((SIN(RADIANS(J21)))+Insolation!$E$13)*((1-COS(RADIANS(Insolation!$L$7)))/2)</f>
        <v>51.768282334725967</v>
      </c>
      <c r="Y21" s="46">
        <f>B20*(COS(RADIANS(Angles!$F$10)))</f>
        <v>885.37049063060988</v>
      </c>
      <c r="Z21" s="46">
        <f>Insolation!$E$13*PSH!B20*((1+COS(RADIANS(90-J21+Angles!$F$10)))/2)</f>
        <v>48.410728229480583</v>
      </c>
      <c r="AA21" s="46">
        <f>Insolation!$L$8*((B20*SIN(RADIANS(J21)))+(Insolation!$E$13*B20))*((1-COS(RADIANS(Insolation!$L$7)))/2)</f>
        <v>51.768282334725967</v>
      </c>
      <c r="AB21" s="46">
        <f t="shared" si="4"/>
        <v>909.73090582521161</v>
      </c>
      <c r="AC21" s="46">
        <f>Insolation!$E$13*B20*((1+COS(RADIANS(90-J21)))/2)</f>
        <v>43.122433743538856</v>
      </c>
      <c r="AD21" s="46">
        <f>Insolation!$L$8*((PSH!B20*SIN(RADIANS(PSH!J21)))+(Insolation!$E$13*PSH!B20))*((1-COS(RADIANS(90-PSH!J21)))/2)</f>
        <v>25.568098925137829</v>
      </c>
    </row>
    <row r="22" spans="1:30" x14ac:dyDescent="0.25">
      <c r="A22" s="178">
        <f>Graph!A22</f>
        <v>14.5</v>
      </c>
      <c r="B22" s="46">
        <f>Graph!D22</f>
        <v>852.1882622976857</v>
      </c>
      <c r="C22" s="232">
        <f t="shared" si="0"/>
        <v>413.22989961871156</v>
      </c>
      <c r="D22" s="182"/>
      <c r="E22" s="186">
        <f t="shared" si="1"/>
        <v>413.22989961871156</v>
      </c>
      <c r="F22" s="186"/>
      <c r="G22" s="44">
        <f t="shared" si="3"/>
        <v>444.84250000000611</v>
      </c>
      <c r="H22" s="44"/>
      <c r="I22" s="178">
        <v>15</v>
      </c>
      <c r="J22" s="202">
        <f>Graph!B21</f>
        <v>27.688662553652001</v>
      </c>
      <c r="K22" s="202">
        <f>IF(COS(RADIANS(Graph!H21))&gt;=((TAN(RADIANS(Angles!$F$10)))/(TAN(RADIANS(Time!$P$4)))),L22,IF(A21&lt;12,M22,N22))</f>
        <v>-33.335572800022028</v>
      </c>
      <c r="L22" s="202">
        <f>DEGREES(ASIN(COS(RADIANS(Angles!$F$10))*SIN(RADIANS(Graph!H21))/COS(RADIANS(J22))))</f>
        <v>-33.335572800022028</v>
      </c>
      <c r="M22" s="202">
        <f t="shared" si="5"/>
        <v>213.33557280002202</v>
      </c>
      <c r="N22" s="203">
        <f t="shared" si="6"/>
        <v>-146.66442719997798</v>
      </c>
      <c r="O22" s="204">
        <f>COS(RADIANS(J22))*COS(RADIANS(K22-Insolation!$L$6))*SIN(RADIANS(0))+(SIN(RADIANS(J22))*COS(RADIANS(0)))</f>
        <v>0.46466683868208791</v>
      </c>
      <c r="P22" s="204">
        <f>COS(RADIANS(J22))*COS(RADIANS(K22-Insolation!$L$6))*SIN(RADIANS(Insolation!$L$7))+SIN(RADIANS(J22))*COS(RADIANS(Insolation!$L$7))</f>
        <v>0.73979339796987242</v>
      </c>
      <c r="Q22" s="205">
        <f>COS(RADIANS(J22))*COS(RADIANS(K22-K22))*SIN(RADIANS(Insolation!$L$7))+SIN(RADIANS(J22))*COS(RADIANS(Insolation!$L$7))</f>
        <v>0.88548558939668487</v>
      </c>
      <c r="R22" s="207">
        <f t="shared" si="7"/>
        <v>0.99999999999999989</v>
      </c>
      <c r="S22" s="46">
        <f t="shared" si="8"/>
        <v>411.98903860247594</v>
      </c>
      <c r="T22" s="46">
        <f>B21*Insolation!$E$13</f>
        <v>55.809619143829224</v>
      </c>
      <c r="U22" s="46">
        <f>Insolation!$L$8*B21*(SIN(RADIANS(J22))+Insolation!$E$13)*((1-COS(RADIANS(0)))/2)</f>
        <v>0</v>
      </c>
      <c r="V22" s="46">
        <f t="shared" si="9"/>
        <v>655.92537582091848</v>
      </c>
      <c r="W22" s="48">
        <f>Insolation!$E$13*PSH!B21*((1+COS(RADIANS(Insolation!$L$7)))/2)</f>
        <v>27.904809571914612</v>
      </c>
      <c r="X22" s="46">
        <f>Insolation!$L$8*B21*((SIN(RADIANS(J22)))+Insolation!$E$13)*((1-COS(RADIANS(Insolation!$L$7)))/2)</f>
        <v>46.779865774630508</v>
      </c>
      <c r="Y22" s="46">
        <f>B21*(COS(RADIANS(Angles!$F$10)))</f>
        <v>862.89127032332976</v>
      </c>
      <c r="Z22" s="46">
        <f>Insolation!$E$13*PSH!B21*((1+COS(RADIANS(90-J22+Angles!$F$10)))/2)</f>
        <v>46.203857376594577</v>
      </c>
      <c r="AA22" s="46">
        <f>Insolation!$L$8*((B21*SIN(RADIANS(J22)))+(Insolation!$E$13*B21))*((1-COS(RADIANS(Insolation!$L$7)))/2)</f>
        <v>46.779865774630508</v>
      </c>
      <c r="AB22" s="46">
        <f t="shared" si="4"/>
        <v>886.63318383334718</v>
      </c>
      <c r="AC22" s="46">
        <f>Insolation!$E$13*B21*((1+COS(RADIANS(90-J22)))/2)</f>
        <v>40.871249219721847</v>
      </c>
      <c r="AD22" s="46">
        <f>Insolation!$L$8*((PSH!B21*SIN(RADIANS(PSH!J22)))+(Insolation!$E$13*PSH!B21))*((1-COS(RADIANS(90-PSH!J22)))/2)</f>
        <v>25.042813431160553</v>
      </c>
    </row>
    <row r="23" spans="1:30" x14ac:dyDescent="0.25">
      <c r="A23" s="178">
        <f>Graph!A23</f>
        <v>15</v>
      </c>
      <c r="B23" s="46">
        <f>Graph!D23</f>
        <v>800.73133617716041</v>
      </c>
      <c r="C23" s="232">
        <f t="shared" si="0"/>
        <v>380.50145152164009</v>
      </c>
      <c r="D23" s="182"/>
      <c r="E23" s="186">
        <f t="shared" si="1"/>
        <v>380.50145152164009</v>
      </c>
      <c r="F23" s="186">
        <f t="shared" si="2"/>
        <v>4276.2185903706231</v>
      </c>
      <c r="G23" s="44">
        <f t="shared" si="3"/>
        <v>429.25</v>
      </c>
      <c r="H23" s="44"/>
      <c r="I23" s="178">
        <v>15.5</v>
      </c>
      <c r="J23" s="202">
        <f>Graph!B22</f>
        <v>24.369234550087153</v>
      </c>
      <c r="K23" s="202">
        <f>IF(COS(RADIANS(Graph!H22))&gt;=((TAN(RADIANS(Angles!$F$10)))/(TAN(RADIANS(Time!$P$4)))),L23,IF(A22&lt;12,M23,N23))</f>
        <v>-40.57238109013921</v>
      </c>
      <c r="L23" s="202">
        <f>DEGREES(ASIN(COS(RADIANS(Angles!$F$10))*SIN(RADIANS(Graph!H22))/COS(RADIANS(J23))))</f>
        <v>-40.57238109013921</v>
      </c>
      <c r="M23" s="202">
        <f t="shared" si="5"/>
        <v>220.5723810901392</v>
      </c>
      <c r="N23" s="203">
        <f t="shared" si="6"/>
        <v>-139.4276189098608</v>
      </c>
      <c r="O23" s="204">
        <f>COS(RADIANS(J23))*COS(RADIANS(K23-Insolation!$L$6))*SIN(RADIANS(0))+(SIN(RADIANS(J23))*COS(RADIANS(0)))</f>
        <v>0.41261537105548296</v>
      </c>
      <c r="P23" s="204">
        <f>COS(RADIANS(J23))*COS(RADIANS(K23-Insolation!$L$6))*SIN(RADIANS(Insolation!$L$7))+SIN(RADIANS(J23))*COS(RADIANS(Insolation!$L$7))</f>
        <v>0.69190996595734255</v>
      </c>
      <c r="Q23" s="205">
        <f>COS(RADIANS(J23))*COS(RADIANS(K23-K23))*SIN(RADIANS(Insolation!$L$7))+SIN(RADIANS(J23))*COS(RADIANS(Insolation!$L$7))</f>
        <v>0.91090534940176204</v>
      </c>
      <c r="R23" s="207">
        <f t="shared" si="7"/>
        <v>1</v>
      </c>
      <c r="S23" s="46">
        <f t="shared" si="8"/>
        <v>351.6259760570868</v>
      </c>
      <c r="T23" s="46">
        <f>B22*Insolation!$E$13</f>
        <v>53.641464390097745</v>
      </c>
      <c r="U23" s="46">
        <f>Insolation!$L$8*B22*(SIN(RADIANS(J23))+Insolation!$E$13)*((1-COS(RADIANS(0)))/2)</f>
        <v>0</v>
      </c>
      <c r="V23" s="46">
        <f t="shared" si="9"/>
        <v>589.63755155563865</v>
      </c>
      <c r="W23" s="48">
        <f>Insolation!$E$13*PSH!B22*((1+COS(RADIANS(Insolation!$L$7)))/2)</f>
        <v>26.820732195048873</v>
      </c>
      <c r="X23" s="46">
        <f>Insolation!$L$8*B22*((SIN(RADIANS(J23)))+Insolation!$E$13)*((1-COS(RADIANS(Insolation!$L$7)))/2)</f>
        <v>40.526744044718455</v>
      </c>
      <c r="Y23" s="46">
        <f>B22*(COS(RADIANS(Angles!$F$10)))</f>
        <v>829.36870130375996</v>
      </c>
      <c r="Z23" s="46">
        <f>Insolation!$E$13*PSH!B22*((1+COS(RADIANS(90-J23+Angles!$F$10)))/2)</f>
        <v>43.206919618540894</v>
      </c>
      <c r="AA23" s="46">
        <f>Insolation!$L$8*((B22*SIN(RADIANS(J23)))+(Insolation!$E$13*B22))*((1-COS(RADIANS(Insolation!$L$7)))/2)</f>
        <v>40.526744044718448</v>
      </c>
      <c r="AB23" s="46">
        <f t="shared" si="4"/>
        <v>852.1882622976857</v>
      </c>
      <c r="AC23" s="46">
        <f>Insolation!$E$13*B22*((1+COS(RADIANS(90-J23)))/2)</f>
        <v>37.887378561688699</v>
      </c>
      <c r="AD23" s="46">
        <f>Insolation!$L$8*((PSH!B22*SIN(RADIANS(PSH!J23)))+(Insolation!$E$13*PSH!B22))*((1-COS(RADIANS(90-PSH!J23)))/2)</f>
        <v>23.804786513036362</v>
      </c>
    </row>
    <row r="24" spans="1:30" x14ac:dyDescent="0.25">
      <c r="A24" s="178">
        <f>Graph!A24</f>
        <v>15.5</v>
      </c>
      <c r="B24" s="46">
        <f>Graph!D24</f>
        <v>721.27446990940007</v>
      </c>
      <c r="C24" s="232">
        <f t="shared" si="0"/>
        <v>327.9159611163156</v>
      </c>
      <c r="D24" s="182"/>
      <c r="E24" s="186">
        <f t="shared" si="1"/>
        <v>327.9159611163156</v>
      </c>
      <c r="F24" s="186"/>
      <c r="G24" s="44">
        <f t="shared" si="3"/>
        <v>409.43499999999403</v>
      </c>
      <c r="H24" s="44"/>
      <c r="I24" s="178">
        <v>16</v>
      </c>
      <c r="J24" s="202">
        <f>Graph!B23</f>
        <v>20.538772345784377</v>
      </c>
      <c r="K24" s="202">
        <f>IF(COS(RADIANS(Graph!H23))&gt;=((TAN(RADIANS(Angles!$F$10)))/(TAN(RADIANS(Time!$P$4)))),L24,IF(A23&lt;12,M24,N24))</f>
        <v>-47.297511279853147</v>
      </c>
      <c r="L24" s="202">
        <f>DEGREES(ASIN(COS(RADIANS(Angles!$F$10))*SIN(RADIANS(Graph!H23))/COS(RADIANS(J24))))</f>
        <v>-47.297511279853147</v>
      </c>
      <c r="M24" s="202">
        <f t="shared" si="5"/>
        <v>227.29751127985315</v>
      </c>
      <c r="N24" s="203">
        <f t="shared" si="6"/>
        <v>-132.70248872014685</v>
      </c>
      <c r="O24" s="204">
        <f>COS(RADIANS(J24))*COS(RADIANS(K24-Insolation!$L$6))*SIN(RADIANS(0))+(SIN(RADIANS(J24))*COS(RADIANS(0)))</f>
        <v>0.3508411518665156</v>
      </c>
      <c r="P24" s="204">
        <f>COS(RADIANS(J24))*COS(RADIANS(K24-Insolation!$L$6))*SIN(RADIANS(Insolation!$L$7))+SIN(RADIANS(J24))*COS(RADIANS(Insolation!$L$7))</f>
        <v>0.63508233439311457</v>
      </c>
      <c r="Q24" s="205">
        <f>COS(RADIANS(J24))*COS(RADIANS(K24-K24))*SIN(RADIANS(Insolation!$L$7))+SIN(RADIANS(J24))*COS(RADIANS(Insolation!$L$7))</f>
        <v>0.93643498768306199</v>
      </c>
      <c r="R24" s="207">
        <f t="shared" si="7"/>
        <v>0.99999999999999989</v>
      </c>
      <c r="S24" s="46">
        <f t="shared" si="8"/>
        <v>280.92950432000907</v>
      </c>
      <c r="T24" s="46">
        <f>B23*Insolation!$E$13</f>
        <v>50.402479541050567</v>
      </c>
      <c r="U24" s="46">
        <f>Insolation!$L$8*B23*(SIN(RADIANS(J24))+Insolation!$E$13)*((1-COS(RADIANS(0)))/2)</f>
        <v>0</v>
      </c>
      <c r="V24" s="46">
        <f t="shared" si="9"/>
        <v>508.53032620110883</v>
      </c>
      <c r="W24" s="48">
        <f>Insolation!$E$13*PSH!B23*((1+COS(RADIANS(Insolation!$L$7)))/2)</f>
        <v>25.201239770525284</v>
      </c>
      <c r="X24" s="46">
        <f>Insolation!$L$8*B23*((SIN(RADIANS(J24)))+Insolation!$E$13)*((1-COS(RADIANS(Insolation!$L$7)))/2)</f>
        <v>33.133198386105967</v>
      </c>
      <c r="Y24" s="46">
        <f>B23*(COS(RADIANS(Angles!$F$10)))</f>
        <v>779.28966844475565</v>
      </c>
      <c r="Z24" s="46">
        <f>Insolation!$E$13*PSH!B23*((1+COS(RADIANS(90-J24+Angles!$F$10)))/2)</f>
        <v>39.230785284949029</v>
      </c>
      <c r="AA24" s="46">
        <f>Insolation!$L$8*((B23*SIN(RADIANS(J24)))+(Insolation!$E$13*B23))*((1-COS(RADIANS(Insolation!$L$7)))/2)</f>
        <v>33.13319838610596</v>
      </c>
      <c r="AB24" s="46">
        <f t="shared" si="4"/>
        <v>800.73133617716041</v>
      </c>
      <c r="AC24" s="46">
        <f>Insolation!$E$13*B23*((1+COS(RADIANS(90-J24)))/2)</f>
        <v>34.042871760080622</v>
      </c>
      <c r="AD24" s="46">
        <f>Insolation!$L$8*((PSH!B23*SIN(RADIANS(PSH!J24)))+(Insolation!$E$13*PSH!B23))*((1-COS(RADIANS(90-PSH!J24)))/2)</f>
        <v>21.508708899302768</v>
      </c>
    </row>
    <row r="25" spans="1:30" x14ac:dyDescent="0.25">
      <c r="A25" s="178">
        <f>Graph!A25</f>
        <v>16</v>
      </c>
      <c r="B25" s="46">
        <f>Graph!D25</f>
        <v>590.38937455586233</v>
      </c>
      <c r="C25" s="232">
        <f t="shared" si="0"/>
        <v>236.12246738918037</v>
      </c>
      <c r="D25" s="182"/>
      <c r="E25" s="186">
        <f t="shared" si="1"/>
        <v>236.12246738918037</v>
      </c>
      <c r="F25" s="186">
        <f>B25+4*B26+B27</f>
        <v>2015.783048458987</v>
      </c>
      <c r="G25" s="44">
        <f t="shared" si="3"/>
        <v>385.39750000000276</v>
      </c>
      <c r="H25" s="44"/>
      <c r="I25" s="178">
        <v>16.5</v>
      </c>
      <c r="J25" s="202">
        <f>Graph!B24</f>
        <v>16.284148351568202</v>
      </c>
      <c r="K25" s="202">
        <f>IF(COS(RADIANS(Graph!H24))&gt;=((TAN(RADIANS(Angles!$F$10)))/(TAN(RADIANS(Time!$P$4)))),L25,IF(A24&lt;12,M25,N25))</f>
        <v>-53.550282895239135</v>
      </c>
      <c r="L25" s="202">
        <f>DEGREES(ASIN(COS(RADIANS(Angles!$F$10))*SIN(RADIANS(Graph!H24))/COS(RADIANS(J25))))</f>
        <v>-53.550282895239135</v>
      </c>
      <c r="M25" s="202">
        <f t="shared" si="5"/>
        <v>233.55028289523915</v>
      </c>
      <c r="N25" s="203">
        <f t="shared" si="6"/>
        <v>-126.44971710476085</v>
      </c>
      <c r="O25" s="204">
        <f>COS(RADIANS(J25))*COS(RADIANS(K25-Insolation!$L$6))*SIN(RADIANS(0))+(SIN(RADIANS(J25))*COS(RADIANS(0)))</f>
        <v>0.28040115513255792</v>
      </c>
      <c r="P25" s="204">
        <f>COS(RADIANS(J25))*COS(RADIANS(K25-Insolation!$L$6))*SIN(RADIANS(Insolation!$L$7))+SIN(RADIANS(J25))*COS(RADIANS(Insolation!$L$7))</f>
        <v>0.57028283980884864</v>
      </c>
      <c r="Q25" s="205">
        <f>COS(RADIANS(J25))*COS(RADIANS(K25-K25))*SIN(RADIANS(Insolation!$L$7))+SIN(RADIANS(J25))*COS(RADIANS(Insolation!$L$7))</f>
        <v>0.95988290546312327</v>
      </c>
      <c r="R25" s="207">
        <f t="shared" si="7"/>
        <v>1</v>
      </c>
      <c r="S25" s="46">
        <f t="shared" si="8"/>
        <v>202.24619453021916</v>
      </c>
      <c r="T25" s="46">
        <f>B24*Insolation!$E$13</f>
        <v>45.401022878224623</v>
      </c>
      <c r="U25" s="46">
        <f>Insolation!$L$8*B24*(SIN(RADIANS(J25))+Insolation!$E$13)*((1-COS(RADIANS(0)))/2)</f>
        <v>0</v>
      </c>
      <c r="V25" s="46">
        <f t="shared" si="9"/>
        <v>411.33045298155463</v>
      </c>
      <c r="W25" s="48">
        <f>Insolation!$E$13*PSH!B24*((1+COS(RADIANS(Insolation!$L$7)))/2)</f>
        <v>22.700511439112312</v>
      </c>
      <c r="X25" s="46">
        <f>Insolation!$L$8*B24*((SIN(RADIANS(J25)))+Insolation!$E$13)*((1-COS(RADIANS(Insolation!$L$7)))/2)</f>
        <v>24.764721740844376</v>
      </c>
      <c r="Y25" s="46">
        <f>B24*(COS(RADIANS(Angles!$F$10)))</f>
        <v>701.96046678633252</v>
      </c>
      <c r="Z25" s="46">
        <f>Insolation!$E$13*PSH!B24*((1+COS(RADIANS(90-J25+Angles!$F$10)))/2)</f>
        <v>33.904046821929562</v>
      </c>
      <c r="AA25" s="46">
        <f>Insolation!$L$8*((B24*SIN(RADIANS(J25)))+(Insolation!$E$13*B24))*((1-COS(RADIANS(Insolation!$L$7)))/2)</f>
        <v>24.764721740844376</v>
      </c>
      <c r="AB25" s="46">
        <f t="shared" si="4"/>
        <v>721.27446990940007</v>
      </c>
      <c r="AC25" s="46">
        <f>Insolation!$E$13*B24*((1+COS(RADIANS(90-J25)))/2)</f>
        <v>29.065761068739253</v>
      </c>
      <c r="AD25" s="46">
        <f>Insolation!$L$8*((PSH!B24*SIN(RADIANS(PSH!J25)))+(Insolation!$E$13*PSH!B24))*((1-COS(RADIANS(90-PSH!J25)))/2)</f>
        <v>17.820665158175242</v>
      </c>
    </row>
    <row r="26" spans="1:30" x14ac:dyDescent="0.25">
      <c r="A26" s="178">
        <f>Graph!A26</f>
        <v>16.5</v>
      </c>
      <c r="B26" s="46">
        <f>Graph!D26</f>
        <v>354.1004950008591</v>
      </c>
      <c r="C26" s="232">
        <f t="shared" si="0"/>
        <v>90.77304722513685</v>
      </c>
      <c r="D26" s="182"/>
      <c r="E26" s="183">
        <f t="shared" si="1"/>
        <v>90.77304722513685</v>
      </c>
      <c r="F26" s="183"/>
      <c r="G26" s="44">
        <f t="shared" si="3"/>
        <v>357.13749999999709</v>
      </c>
      <c r="H26" s="44"/>
      <c r="I26" s="178">
        <v>17</v>
      </c>
      <c r="J26" s="202">
        <f>Graph!B25</f>
        <v>11.68322721837877</v>
      </c>
      <c r="K26" s="202">
        <f>IF(COS(RADIANS(Graph!H25))&gt;=((TAN(RADIANS(Angles!$F$10)))/(TAN(RADIANS(Time!$P$4)))),L26,IF(A25&lt;12,M26,N26))</f>
        <v>-59.391499071010585</v>
      </c>
      <c r="L26" s="202">
        <f>DEGREES(ASIN(COS(RADIANS(Angles!$F$10))*SIN(RADIANS(Graph!H25))/COS(RADIANS(J26))))</f>
        <v>-59.391499071010585</v>
      </c>
      <c r="M26" s="202">
        <f t="shared" si="5"/>
        <v>239.39149907101057</v>
      </c>
      <c r="N26" s="203">
        <f t="shared" si="6"/>
        <v>-120.60850092898943</v>
      </c>
      <c r="O26" s="204">
        <f>COS(RADIANS(J26))*COS(RADIANS(K26-Insolation!$L$6))*SIN(RADIANS(0))+(SIN(RADIANS(J26))*COS(RADIANS(0)))</f>
        <v>0.20250062872738486</v>
      </c>
      <c r="P26" s="204">
        <f>COS(RADIANS(J26))*COS(RADIANS(K26-Insolation!$L$6))*SIN(RADIANS(Insolation!$L$7))+SIN(RADIANS(J26))*COS(RADIANS(Insolation!$L$7))</f>
        <v>0.49862021952269547</v>
      </c>
      <c r="Q26" s="205">
        <f>COS(RADIANS(J26))*COS(RADIANS(K26-K26))*SIN(RADIANS(Insolation!$L$7))+SIN(RADIANS(J26))*COS(RADIANS(Insolation!$L$7))</f>
        <v>0.97928213266913733</v>
      </c>
      <c r="R26" s="207">
        <f t="shared" si="7"/>
        <v>1</v>
      </c>
      <c r="S26" s="46">
        <f t="shared" si="8"/>
        <v>119.55421954152963</v>
      </c>
      <c r="T26" s="46">
        <f>B25*Insolation!$E$13</f>
        <v>37.162387717172827</v>
      </c>
      <c r="U26" s="46">
        <f>Insolation!$L$8*B25*(SIN(RADIANS(J26))+Insolation!$E$13)*((1-COS(RADIANS(0)))/2)</f>
        <v>0</v>
      </c>
      <c r="V26" s="46">
        <f>IF(P26&lt;0,0,B25*P26)</f>
        <v>294.38007954491098</v>
      </c>
      <c r="W26" s="48">
        <f>Insolation!$E$13*PSH!B25*((1+COS(RADIANS(Insolation!$L$7)))/2)</f>
        <v>18.581193858586413</v>
      </c>
      <c r="X26" s="46">
        <f>Insolation!$L$8*B25*((SIN(RADIANS(J26)))+Insolation!$E$13)*((1-COS(RADIANS(Insolation!$L$7)))/2)</f>
        <v>15.671660725870245</v>
      </c>
      <c r="Y26" s="46">
        <f>B25*(COS(RADIANS(Angles!$F$10)))</f>
        <v>574.58016086578095</v>
      </c>
      <c r="Z26" s="46">
        <f>Insolation!$E$13*PSH!B25*((1+COS(RADIANS(90-J26+Angles!$F$10)))/2)</f>
        <v>26.425827771926173</v>
      </c>
      <c r="AA26" s="46">
        <f>Insolation!$L$8*((B25*SIN(RADIANS(J26)))+(Insolation!$E$13*B25))*((1-COS(RADIANS(Insolation!$L$7)))/2)</f>
        <v>15.671660725870245</v>
      </c>
      <c r="AB26" s="46">
        <f t="shared" si="4"/>
        <v>590.38937455586233</v>
      </c>
      <c r="AC26" s="46">
        <f>Insolation!$E$13*B25*((1+COS(RADIANS(90-J26)))/2)</f>
        <v>22.343897297455587</v>
      </c>
      <c r="AD26" s="46">
        <f>Insolation!$L$8*((PSH!B25*SIN(RADIANS(PSH!J26)))+(Insolation!$E$13*PSH!B25))*((1-COS(RADIANS(90-PSH!J26)))/2)</f>
        <v>12.498139575679254</v>
      </c>
    </row>
    <row r="27" spans="1:30" x14ac:dyDescent="0.25">
      <c r="A27" s="178">
        <f>Graph!A27</f>
        <v>17</v>
      </c>
      <c r="B27" s="46">
        <f>Graph!D27</f>
        <v>8.9916938996882756</v>
      </c>
      <c r="C27" s="232">
        <f t="shared" si="0"/>
        <v>2.2479234749220689</v>
      </c>
      <c r="D27" s="182"/>
      <c r="E27" s="183">
        <f t="shared" si="1"/>
        <v>2.2479234749220689</v>
      </c>
      <c r="F27" s="183">
        <f t="shared" si="2"/>
        <v>8.9916938996882756</v>
      </c>
      <c r="G27" s="44">
        <f t="shared" si="3"/>
        <v>324.65500000000611</v>
      </c>
      <c r="H27" s="44"/>
      <c r="I27" s="178">
        <v>17.5</v>
      </c>
      <c r="J27" s="202">
        <f>Graph!B26</f>
        <v>6.8039528093331176</v>
      </c>
      <c r="K27" s="202">
        <f>IF(COS(RADIANS(Graph!H26))&gt;=((TAN(RADIANS(Angles!$F$10)))/(TAN(RADIANS(Time!$P$4)))),L27,IF(A26&lt;12,M27,N27))</f>
        <v>-64.893072781665865</v>
      </c>
      <c r="L27" s="202">
        <f>DEGREES(ASIN(COS(RADIANS(Angles!$F$10))*SIN(RADIANS(Graph!H26))/COS(RADIANS(J27))))</f>
        <v>-64.893072781665865</v>
      </c>
      <c r="M27" s="202">
        <f t="shared" si="5"/>
        <v>244.89307278166586</v>
      </c>
      <c r="N27" s="203">
        <f t="shared" si="6"/>
        <v>-115.10692721833414</v>
      </c>
      <c r="O27" s="204">
        <f>COS(RADIANS(J27))*COS(RADIANS(K27-Insolation!$L$6))*SIN(RADIANS(0))+(SIN(RADIANS(J27))*COS(RADIANS(0)))</f>
        <v>0.11847247225589515</v>
      </c>
      <c r="P27" s="204">
        <f>COS(RADIANS(J27))*COS(RADIANS(K27-Insolation!$L$6))*SIN(RADIANS(Insolation!$L$7))+SIN(RADIANS(J27))*COS(RADIANS(Insolation!$L$7))</f>
        <v>0.4213206408363826</v>
      </c>
      <c r="Q27" s="205">
        <f>COS(RADIANS(J27))*COS(RADIANS(K27-K27))*SIN(RADIANS(Insolation!$L$7))+SIN(RADIANS(J27))*COS(RADIANS(Insolation!$L$7))</f>
        <v>0.99295733710848633</v>
      </c>
      <c r="R27" s="207">
        <f t="shared" si="7"/>
        <v>1</v>
      </c>
      <c r="S27" s="46">
        <f t="shared" si="8"/>
        <v>41.951161069788014</v>
      </c>
      <c r="T27" s="46">
        <f>B26*Insolation!$E$13</f>
        <v>22.289052705198415</v>
      </c>
      <c r="U27" s="46">
        <f>Insolation!$L$8*B26*(SIN(RADIANS(J27))+Insolation!$E$13)*((1-COS(RADIANS(0)))/2)</f>
        <v>0</v>
      </c>
      <c r="V27" s="46">
        <f>IF(P27&lt;0,0,B26*P27)</f>
        <v>149.18984747424224</v>
      </c>
      <c r="W27" s="48">
        <f>Insolation!$E$13*PSH!B26*((1+COS(RADIANS(Insolation!$L$7)))/2)</f>
        <v>11.144526352599208</v>
      </c>
      <c r="X27" s="46">
        <f>Insolation!$L$8*B26*((SIN(RADIANS(J27)))+Insolation!$E$13)*((1-COS(RADIANS(Insolation!$L$7)))/2)</f>
        <v>6.4240213774986428</v>
      </c>
      <c r="Y27" s="46">
        <f>B26*(COS(RADIANS(Angles!$F$10)))</f>
        <v>344.61853168225525</v>
      </c>
      <c r="Z27" s="46">
        <f>Insolation!$E$13*PSH!B26*((1+COS(RADIANS(90-J27+Angles!$F$10)))/2)</f>
        <v>14.973192122790332</v>
      </c>
      <c r="AA27" s="46">
        <f>Insolation!$L$8*((B26*SIN(RADIANS(J27)))+(Insolation!$E$13*B26))*((1-COS(RADIANS(Insolation!$L$7)))/2)</f>
        <v>6.4240213774986428</v>
      </c>
      <c r="AB27" s="46">
        <f t="shared" si="4"/>
        <v>354.1004950008591</v>
      </c>
      <c r="AC27" s="46">
        <f>Insolation!$E$13*B26*((1+COS(RADIANS(90-J27)))/2)</f>
        <v>12.464845941712607</v>
      </c>
      <c r="AD27" s="46">
        <f>Insolation!$L$8*((PSH!B26*SIN(RADIANS(PSH!J27)))+(Insolation!$E$13*PSH!B26))*((1-COS(RADIANS(90-PSH!J27)))/2)</f>
        <v>5.6629516830816593</v>
      </c>
    </row>
    <row r="28" spans="1:30" x14ac:dyDescent="0.25">
      <c r="A28" s="178">
        <f>Graph!A28</f>
        <v>17.5</v>
      </c>
      <c r="B28" s="46">
        <f>Graph!D28</f>
        <v>0</v>
      </c>
      <c r="C28" s="232">
        <f t="shared" si="0"/>
        <v>0</v>
      </c>
      <c r="D28" s="182"/>
      <c r="E28" s="183">
        <f t="shared" si="1"/>
        <v>0</v>
      </c>
      <c r="F28" s="183"/>
      <c r="G28" s="44">
        <f t="shared" si="3"/>
        <v>0</v>
      </c>
      <c r="H28" s="44"/>
      <c r="I28" s="178">
        <v>18</v>
      </c>
      <c r="J28" s="202">
        <f>Graph!B27</f>
        <v>1.7050549564961923</v>
      </c>
      <c r="K28" s="202">
        <f>IF(COS(RADIANS(Graph!H27))&gt;=((TAN(RADIANS(Angles!$F$10)))/(TAN(RADIANS(Time!$P$4)))),L28,IF(A27&lt;12,M28,N28))</f>
        <v>-70.131826047998075</v>
      </c>
      <c r="L28" s="202">
        <f>DEGREES(ASIN(COS(RADIANS(Angles!$F$10))*SIN(RADIANS(Graph!H27))/COS(RADIANS(J28))))</f>
        <v>-70.131826047998075</v>
      </c>
      <c r="M28" s="202">
        <f t="shared" si="5"/>
        <v>250.13182604799806</v>
      </c>
      <c r="N28" s="203">
        <f t="shared" si="6"/>
        <v>-109.86817395200194</v>
      </c>
      <c r="O28" s="204">
        <f>COS(RADIANS(J28))*COS(RADIANS(K28-Insolation!$L$6))*SIN(RADIANS(0))+(SIN(RADIANS(J28))*COS(RADIANS(0)))</f>
        <v>2.9754430772322288E-2</v>
      </c>
      <c r="P28" s="204">
        <f>COS(RADIANS(J28))*COS(RADIANS(K28-Insolation!$L$6))*SIN(RADIANS(Insolation!$L$7))+SIN(RADIANS(J28))*COS(RADIANS(Insolation!$L$7))</f>
        <v>0.33970672097272581</v>
      </c>
      <c r="Q28" s="205">
        <f>COS(RADIANS(J28))*COS(RADIANS(K28-K28))*SIN(RADIANS(Insolation!$L$7))+SIN(RADIANS(J28))*COS(RADIANS(Insolation!$L$7))</f>
        <v>0.99955723890601433</v>
      </c>
      <c r="R28" s="207">
        <f t="shared" si="7"/>
        <v>0.99999999999999989</v>
      </c>
      <c r="S28" s="46">
        <f t="shared" si="8"/>
        <v>0.2675427336641874</v>
      </c>
      <c r="T28" s="46">
        <f>B27*Insolation!$E$13</f>
        <v>0.56598717615087435</v>
      </c>
      <c r="U28" s="46">
        <f>Insolation!$L$8*B27*(SIN(RADIANS(J28))+Insolation!$E$13)*((1-COS(RADIANS(0)))/2)</f>
        <v>0</v>
      </c>
      <c r="V28" s="46">
        <f t="shared" ref="V28:V33" si="10">IF(P28&lt;0,0,B27*P28)</f>
        <v>3.0545388506535658</v>
      </c>
      <c r="W28" s="48">
        <f>Insolation!$E$13*PSH!B27*((1+COS(RADIANS(Insolation!$L$7)))/2)</f>
        <v>0.28299358807543717</v>
      </c>
      <c r="X28" s="46">
        <f>Insolation!$L$8*B27*((SIN(RADIANS(J28)))+Insolation!$E$13)*((1-COS(RADIANS(Insolation!$L$7)))/2)</f>
        <v>8.335299098150617E-2</v>
      </c>
      <c r="Y28" s="46">
        <f>B27*(COS(RADIANS(Angles!$F$10)))</f>
        <v>8.7509178687800127</v>
      </c>
      <c r="Z28" s="46">
        <f>Insolation!$E$13*PSH!B27*((1+COS(RADIANS(90-J28+Angles!$F$10)))/2)</f>
        <v>0.35621010003614201</v>
      </c>
      <c r="AA28" s="46">
        <f>Insolation!$L$8*((B27*SIN(RADIANS(J28)))+(Insolation!$E$13*B27))*((1-COS(RADIANS(Insolation!$L$7)))/2)</f>
        <v>8.3352990981506156E-2</v>
      </c>
      <c r="AB28" s="46">
        <f t="shared" si="4"/>
        <v>8.9916938996882756</v>
      </c>
      <c r="AC28" s="46">
        <f>Insolation!$E$13*B27*((1+COS(RADIANS(90-J28)))/2)</f>
        <v>0.29141390120083888</v>
      </c>
      <c r="AD28" s="46">
        <f>Insolation!$L$8*((PSH!B27*SIN(RADIANS(PSH!J28)))+(Insolation!$E$13*PSH!B27))*((1-COS(RADIANS(90-PSH!J28)))/2)</f>
        <v>8.0872870181680934E-2</v>
      </c>
    </row>
    <row r="29" spans="1:30" x14ac:dyDescent="0.25">
      <c r="A29" s="178">
        <f>Graph!A29</f>
        <v>18</v>
      </c>
      <c r="B29" s="46">
        <f>Graph!D29</f>
        <v>0</v>
      </c>
      <c r="C29" s="232">
        <f t="shared" si="0"/>
        <v>0</v>
      </c>
      <c r="D29" s="182"/>
      <c r="E29" s="183">
        <f t="shared" si="1"/>
        <v>0</v>
      </c>
      <c r="F29" s="183">
        <f t="shared" si="2"/>
        <v>0</v>
      </c>
      <c r="G29" s="44">
        <f t="shared" si="3"/>
        <v>0</v>
      </c>
      <c r="H29" s="44"/>
      <c r="I29" s="178">
        <v>18.5</v>
      </c>
      <c r="J29" s="202">
        <f>Graph!B28</f>
        <v>-3.5623970281702753</v>
      </c>
      <c r="K29" s="202">
        <f>IF(COS(RADIANS(Graph!H28))&gt;=((TAN(RADIANS(Angles!$F$10)))/(TAN(RADIANS(Time!$P$4)))),L29,IF(A28&lt;12,M29,N29))</f>
        <v>-75.186774591572046</v>
      </c>
      <c r="L29" s="202">
        <f>DEGREES(ASIN(COS(RADIANS(Angles!$F$10))*SIN(RADIANS(Graph!H28))/COS(RADIANS(J29))))</f>
        <v>-75.186774591572046</v>
      </c>
      <c r="M29" s="202">
        <f t="shared" si="5"/>
        <v>255.18677459157203</v>
      </c>
      <c r="N29" s="203">
        <f t="shared" si="6"/>
        <v>-104.81322540842797</v>
      </c>
      <c r="O29" s="204">
        <f>COS(RADIANS(J29))*COS(RADIANS(K29-Insolation!$L$6))*SIN(RADIANS(0))+(SIN(RADIANS(J29))*COS(RADIANS(0)))</f>
        <v>-6.2135505436261562E-2</v>
      </c>
      <c r="P29" s="204">
        <f>COS(RADIANS(J29))*COS(RADIANS(K29-Insolation!$L$6))*SIN(RADIANS(Insolation!$L$7))+SIN(RADIANS(J29))*COS(RADIANS(Insolation!$L$7))</f>
        <v>0.25517489672824506</v>
      </c>
      <c r="Q29" s="205">
        <f>COS(RADIANS(J29))*COS(RADIANS(K29-K29))*SIN(RADIANS(Insolation!$L$7))+SIN(RADIANS(J29))*COS(RADIANS(Insolation!$L$7))</f>
        <v>0.99806772263418098</v>
      </c>
      <c r="R29" s="207">
        <f t="shared" si="7"/>
        <v>1</v>
      </c>
      <c r="S29" s="46">
        <f t="shared" si="8"/>
        <v>0</v>
      </c>
      <c r="T29" s="46">
        <f>B28*Insolation!$E$13</f>
        <v>0</v>
      </c>
      <c r="U29" s="46">
        <f>Insolation!$L$8*B28*(SIN(RADIANS(J29))+Insolation!$E$13)*((1-COS(RADIANS(0)))/2)</f>
        <v>0</v>
      </c>
      <c r="V29" s="46">
        <f t="shared" si="10"/>
        <v>0</v>
      </c>
      <c r="W29" s="48">
        <f>Insolation!$E$13*PSH!B28*((1+COS(RADIANS(Insolation!$L$7)))/2)</f>
        <v>0</v>
      </c>
      <c r="X29" s="46">
        <f>Insolation!$L$8*B28*((SIN(RADIANS(J29)))+Insolation!$E$13)*((1-COS(RADIANS(Insolation!$L$7)))/2)</f>
        <v>0</v>
      </c>
      <c r="Y29" s="46">
        <f>B28*(COS(RADIANS(Angles!$F$10)))</f>
        <v>0</v>
      </c>
      <c r="Z29" s="46">
        <f>Insolation!$E$13*PSH!B28*((1+COS(RADIANS(90-J29+Angles!$F$10)))/2)</f>
        <v>0</v>
      </c>
      <c r="AA29" s="46">
        <f>Insolation!$L$8*((B28*SIN(RADIANS(J29)))+(Insolation!$E$13*B28))*((1-COS(RADIANS(Insolation!$L$7)))/2)</f>
        <v>0</v>
      </c>
      <c r="AB29" s="46">
        <f t="shared" si="4"/>
        <v>0</v>
      </c>
      <c r="AC29" s="46">
        <f>Insolation!$E$13*B28*((1+COS(RADIANS(90-J29)))/2)</f>
        <v>0</v>
      </c>
      <c r="AD29" s="46">
        <f>Insolation!$L$8*((PSH!B28*SIN(RADIANS(PSH!J29)))+(Insolation!$E$13*PSH!B28))*((1-COS(RADIANS(90-PSH!J29)))/2)</f>
        <v>0</v>
      </c>
    </row>
    <row r="30" spans="1:30" x14ac:dyDescent="0.25">
      <c r="A30" s="178">
        <f>Graph!A30</f>
        <v>18.5</v>
      </c>
      <c r="B30" s="46">
        <f>Graph!D30</f>
        <v>0</v>
      </c>
      <c r="C30" s="232">
        <f t="shared" si="0"/>
        <v>0</v>
      </c>
      <c r="D30" s="182"/>
      <c r="E30" s="183">
        <f t="shared" si="1"/>
        <v>0</v>
      </c>
      <c r="F30" s="183">
        <f t="shared" si="2"/>
        <v>0</v>
      </c>
      <c r="G30" s="44">
        <f t="shared" si="3"/>
        <v>0</v>
      </c>
      <c r="H30" s="44"/>
      <c r="I30" s="178">
        <v>19</v>
      </c>
      <c r="J30" s="202">
        <f>Graph!B29</f>
        <v>-8.9530502893945059</v>
      </c>
      <c r="K30" s="202">
        <f>IF(COS(RADIANS(Graph!H29))&gt;=((TAN(RADIANS(Angles!$F$10)))/(TAN(RADIANS(Time!$P$4)))),L30,IF(A29&lt;12,M30,N30))</f>
        <v>-80.13902393275697</v>
      </c>
      <c r="L30" s="202">
        <f>DEGREES(ASIN(COS(RADIANS(Angles!$F$10))*SIN(RADIANS(Graph!H29))/COS(RADIANS(J30))))</f>
        <v>-80.13902393275697</v>
      </c>
      <c r="M30" s="202">
        <f t="shared" si="5"/>
        <v>260.13902393275697</v>
      </c>
      <c r="N30" s="203">
        <f t="shared" si="6"/>
        <v>-99.86097606724303</v>
      </c>
      <c r="O30" s="204">
        <f>COS(RADIANS(J30))*COS(RADIANS(K30-Insolation!$L$6))*SIN(RADIANS(0))+(SIN(RADIANS(J30))*COS(RADIANS(0)))</f>
        <v>-0.15562507408462434</v>
      </c>
      <c r="P30" s="204">
        <f>COS(RADIANS(J30))*COS(RADIANS(K30-Insolation!$L$6))*SIN(RADIANS(Insolation!$L$7))+SIN(RADIANS(J30))*COS(RADIANS(Insolation!$L$7))</f>
        <v>0.1691715310524132</v>
      </c>
      <c r="Q30" s="205">
        <f>COS(RADIANS(J30))*COS(RADIANS(K30-K30))*SIN(RADIANS(Insolation!$L$7))+SIN(RADIANS(J30))*COS(RADIANS(Insolation!$L$7))</f>
        <v>0.98781619561341227</v>
      </c>
      <c r="R30" s="207">
        <f t="shared" si="7"/>
        <v>1</v>
      </c>
      <c r="S30" s="46">
        <f t="shared" si="8"/>
        <v>0</v>
      </c>
      <c r="T30" s="46">
        <f>B29*Insolation!$E$13</f>
        <v>0</v>
      </c>
      <c r="U30" s="46">
        <f>Insolation!$L$8*B29*(SIN(RADIANS(J30))+Insolation!$E$13)*((1-COS(RADIANS(0)))/2)</f>
        <v>0</v>
      </c>
      <c r="V30" s="46">
        <f t="shared" si="10"/>
        <v>0</v>
      </c>
      <c r="W30" s="48">
        <f>Insolation!$E$13*PSH!B29*((1+COS(RADIANS(Insolation!$L$7)))/2)</f>
        <v>0</v>
      </c>
      <c r="X30" s="46">
        <f>Insolation!$L$8*B29*((SIN(RADIANS(J30)))+Insolation!$E$13)*((1-COS(RADIANS(Insolation!$L$7)))/2)</f>
        <v>0</v>
      </c>
      <c r="Y30" s="46">
        <f>B29*(COS(RADIANS(Angles!$F$10)))</f>
        <v>0</v>
      </c>
      <c r="Z30" s="46">
        <f>Insolation!$E$13*PSH!B29*((1+COS(RADIANS(90-J30+Angles!$F$10)))/2)</f>
        <v>0</v>
      </c>
      <c r="AA30" s="46">
        <f>Insolation!$L$8*((B29*SIN(RADIANS(J30)))+(Insolation!$E$13*B29))*((1-COS(RADIANS(Insolation!$L$7)))/2)</f>
        <v>0</v>
      </c>
      <c r="AB30" s="46">
        <f t="shared" si="4"/>
        <v>0</v>
      </c>
      <c r="AC30" s="46">
        <f>Insolation!$E$13*B29*((1+COS(RADIANS(90-J30)))/2)</f>
        <v>0</v>
      </c>
      <c r="AD30" s="46">
        <f>Insolation!$L$8*((PSH!B29*SIN(RADIANS(PSH!J30)))+(Insolation!$E$13*PSH!B29))*((1-COS(RADIANS(90-PSH!J30)))/2)</f>
        <v>0</v>
      </c>
    </row>
    <row r="31" spans="1:30" x14ac:dyDescent="0.25">
      <c r="A31" s="178">
        <f>Graph!A31</f>
        <v>19</v>
      </c>
      <c r="B31" s="46">
        <f>Graph!D31</f>
        <v>0</v>
      </c>
      <c r="C31" s="232">
        <f t="shared" si="0"/>
        <v>0</v>
      </c>
      <c r="D31" s="182"/>
      <c r="E31" s="183">
        <f t="shared" si="1"/>
        <v>0</v>
      </c>
      <c r="F31" s="183">
        <f t="shared" si="2"/>
        <v>0</v>
      </c>
      <c r="G31" s="44">
        <f t="shared" si="3"/>
        <v>0</v>
      </c>
      <c r="H31" s="44"/>
      <c r="I31" s="178">
        <v>19.5</v>
      </c>
      <c r="J31" s="202">
        <f>Graph!B30</f>
        <v>-14.425127499009745</v>
      </c>
      <c r="K31" s="202">
        <f>IF(COS(RADIANS(Graph!H30))&gt;=((TAN(RADIANS(Angles!$F$10)))/(TAN(RADIANS(Time!$P$4)))),L31,IF(A30&lt;12,M31,N31))</f>
        <v>-85.073630000199444</v>
      </c>
      <c r="L31" s="202">
        <f>DEGREES(ASIN(COS(RADIANS(Angles!$F$10))*SIN(RADIANS(Graph!H30))/COS(RADIANS(J31))))</f>
        <v>-85.073630000199444</v>
      </c>
      <c r="M31" s="202">
        <f t="shared" si="5"/>
        <v>265.07363000019944</v>
      </c>
      <c r="N31" s="203">
        <f t="shared" si="6"/>
        <v>-94.926369999800556</v>
      </c>
      <c r="O31" s="204">
        <f>COS(RADIANS(J31))*COS(RADIANS(K31-Insolation!$L$6))*SIN(RADIANS(0))+(SIN(RADIANS(J31))*COS(RADIANS(0)))</f>
        <v>-0.2491146427329872</v>
      </c>
      <c r="P31" s="204">
        <f>COS(RADIANS(J31))*COS(RADIANS(K31-Insolation!$L$6))*SIN(RADIANS(Insolation!$L$7))+SIN(RADIANS(J31))*COS(RADIANS(Insolation!$L$7))</f>
        <v>8.316816537658199E-2</v>
      </c>
      <c r="Q31" s="205">
        <f>COS(RADIANS(J31))*COS(RADIANS(K31-K31))*SIN(RADIANS(Insolation!$L$7))+SIN(RADIANS(J31))*COS(RADIANS(Insolation!$L$7))</f>
        <v>0.96847400314929266</v>
      </c>
      <c r="R31" s="207">
        <f t="shared" si="7"/>
        <v>1</v>
      </c>
      <c r="S31" s="46">
        <f t="shared" si="8"/>
        <v>0</v>
      </c>
      <c r="T31" s="46">
        <f>B30*Insolation!$E$13</f>
        <v>0</v>
      </c>
      <c r="U31" s="46">
        <f>Insolation!$L$8*B30*(SIN(RADIANS(J31))+Insolation!$E$13)*((1-COS(RADIANS(0)))/2)</f>
        <v>0</v>
      </c>
      <c r="V31" s="46">
        <f t="shared" si="10"/>
        <v>0</v>
      </c>
      <c r="W31" s="48">
        <f>Insolation!$E$13*PSH!B30*((1+COS(RADIANS(Insolation!$L$7)))/2)</f>
        <v>0</v>
      </c>
      <c r="X31" s="46">
        <f>Insolation!$L$8*B30*((SIN(RADIANS(J31)))+Insolation!$E$13)*((1-COS(RADIANS(Insolation!$L$7)))/2)</f>
        <v>0</v>
      </c>
      <c r="Y31" s="46">
        <f>B30*(COS(RADIANS(Angles!$F$10)))</f>
        <v>0</v>
      </c>
      <c r="Z31" s="46">
        <f>Insolation!$E$13*PSH!B30*((1+COS(RADIANS(90-J31+Angles!$F$10)))/2)</f>
        <v>0</v>
      </c>
      <c r="AA31" s="46">
        <f>Insolation!$L$8*((B30*SIN(RADIANS(J31)))+(Insolation!$E$13*B30))*((1-COS(RADIANS(Insolation!$L$7)))/2)</f>
        <v>0</v>
      </c>
      <c r="AB31" s="46">
        <f t="shared" si="4"/>
        <v>0</v>
      </c>
      <c r="AC31" s="46">
        <f>Insolation!$E$13*B30*((1+COS(RADIANS(90-J31)))/2)</f>
        <v>0</v>
      </c>
      <c r="AD31" s="46">
        <f>Insolation!$L$8*((PSH!B30*SIN(RADIANS(PSH!J31)))+(Insolation!$E$13*PSH!B30))*((1-COS(RADIANS(90-PSH!J31)))/2)</f>
        <v>0</v>
      </c>
    </row>
    <row r="32" spans="1:30" x14ac:dyDescent="0.25">
      <c r="A32" s="178">
        <f>Graph!A32</f>
        <v>19.5</v>
      </c>
      <c r="B32" s="46">
        <f>Graph!D32</f>
        <v>0</v>
      </c>
      <c r="C32" s="232">
        <f t="shared" si="0"/>
        <v>0</v>
      </c>
      <c r="D32" s="182"/>
      <c r="E32" s="183">
        <f t="shared" si="1"/>
        <v>0</v>
      </c>
      <c r="F32" s="183">
        <f t="shared" si="2"/>
        <v>0</v>
      </c>
      <c r="G32" s="44">
        <f t="shared" si="3"/>
        <v>0</v>
      </c>
      <c r="H32" s="44"/>
      <c r="I32" s="178">
        <v>20</v>
      </c>
      <c r="J32" s="202">
        <f>Graph!B31</f>
        <v>-19.938090261320426</v>
      </c>
      <c r="K32" s="202">
        <f>IF(COS(RADIANS(Graph!H31))&gt;=((TAN(RADIANS(Angles!$F$10)))/(TAN(RADIANS(Time!$P$4)))),L32,IF(A31&lt;12,M32,N32))</f>
        <v>-90.083113619723179</v>
      </c>
      <c r="L32" s="202">
        <f>DEGREES(ASIN(COS(RADIANS(Angles!$F$10))*SIN(RADIANS(Graph!H31))/COS(RADIANS(J32))))</f>
        <v>-89.916886380276836</v>
      </c>
      <c r="M32" s="202">
        <f t="shared" si="5"/>
        <v>269.91688638027682</v>
      </c>
      <c r="N32" s="203">
        <f t="shared" si="6"/>
        <v>-90.083113619723179</v>
      </c>
      <c r="O32" s="204">
        <f>COS(RADIANS(J32))*COS(RADIANS(K32-Insolation!$L$6))*SIN(RADIANS(0))+(SIN(RADIANS(J32))*COS(RADIANS(0)))</f>
        <v>-0.34100457894157121</v>
      </c>
      <c r="P32" s="204">
        <f>COS(RADIANS(J32))*COS(RADIANS(K32-Insolation!$L$6))*SIN(RADIANS(Insolation!$L$7))+SIN(RADIANS(J32))*COS(RADIANS(Insolation!$L$7))</f>
        <v>-1.3636588678931541E-3</v>
      </c>
      <c r="Q32" s="205">
        <f>COS(RADIANS(J32))*COS(RADIANS(K32-K32))*SIN(RADIANS(Insolation!$L$7))+SIN(RADIANS(J32))*COS(RADIANS(Insolation!$L$7))</f>
        <v>0.94006163475640347</v>
      </c>
      <c r="R32" s="207">
        <f t="shared" si="7"/>
        <v>1</v>
      </c>
      <c r="S32" s="46">
        <f t="shared" si="8"/>
        <v>0</v>
      </c>
      <c r="T32" s="46">
        <f>B31*Insolation!$E$13</f>
        <v>0</v>
      </c>
      <c r="U32" s="46">
        <f>Insolation!$L$8*B31*(SIN(RADIANS(J32))+Insolation!$E$13)*((1-COS(RADIANS(0)))/2)</f>
        <v>0</v>
      </c>
      <c r="V32" s="46">
        <f t="shared" si="10"/>
        <v>0</v>
      </c>
      <c r="W32" s="48">
        <f>Insolation!$E$13*PSH!B31*((1+COS(RADIANS(Insolation!$L$7)))/2)</f>
        <v>0</v>
      </c>
      <c r="X32" s="46">
        <f>Insolation!$L$8*B31*((SIN(RADIANS(J32)))+Insolation!$E$13)*((1-COS(RADIANS(Insolation!$L$7)))/2)</f>
        <v>0</v>
      </c>
      <c r="Y32" s="46">
        <f>B31*(COS(RADIANS(Angles!$F$10)))</f>
        <v>0</v>
      </c>
      <c r="Z32" s="46">
        <f>Insolation!$E$13*PSH!B31*((1+COS(RADIANS(90-J32+Angles!$F$10)))/2)</f>
        <v>0</v>
      </c>
      <c r="AA32" s="46">
        <f>Insolation!$L$8*((B31*SIN(RADIANS(J32)))+(Insolation!$E$13*B31))*((1-COS(RADIANS(Insolation!$L$7)))/2)</f>
        <v>0</v>
      </c>
      <c r="AB32" s="46">
        <f t="shared" si="4"/>
        <v>0</v>
      </c>
      <c r="AC32" s="46">
        <f>Insolation!$E$13*B31*((1+COS(RADIANS(90-J32)))/2)</f>
        <v>0</v>
      </c>
      <c r="AD32" s="46">
        <f>Insolation!$L$8*((PSH!B31*SIN(RADIANS(PSH!J32)))+(Insolation!$E$13*PSH!B31))*((1-COS(RADIANS(90-PSH!J32)))/2)</f>
        <v>0</v>
      </c>
    </row>
    <row r="33" spans="1:127" ht="16.2" thickBot="1" x14ac:dyDescent="0.35">
      <c r="A33" s="179"/>
      <c r="B33" s="44"/>
      <c r="C33" s="188">
        <f>SUM(C2:C32)/1000</f>
        <v>7.4493461473229692</v>
      </c>
      <c r="D33" s="187" t="s">
        <v>142</v>
      </c>
      <c r="E33" s="185">
        <f>SUM(E2:E32)/1000</f>
        <v>7.4493461473229692</v>
      </c>
      <c r="F33" s="185">
        <f>((1/3)*SUM(F2:F32)*(A3-A2))/1000</f>
        <v>7.4797056192703542</v>
      </c>
      <c r="G33" s="44">
        <f>SUM(G2:G32)/1000</f>
        <v>8.0231550000000009</v>
      </c>
      <c r="H33" s="44"/>
      <c r="I33" s="178">
        <v>20.5</v>
      </c>
      <c r="J33" s="202">
        <f>Graph!B32</f>
        <v>-25.449958228289965</v>
      </c>
      <c r="K33" s="202">
        <f>IF(COS(RADIANS(Graph!H32))&gt;=((TAN(RADIANS(Angles!$F$10)))/(TAN(RADIANS(Time!$P$4)))),L33,IF(A32&lt;12,M33,N33))</f>
        <v>-95.2726333459633</v>
      </c>
      <c r="L33" s="202">
        <f>DEGREES(ASIN(COS(RADIANS(Angles!$F$10))*SIN(RADIANS(Graph!H32))/COS(RADIANS(J33))))</f>
        <v>-84.727366654036686</v>
      </c>
      <c r="M33" s="202">
        <f t="shared" si="5"/>
        <v>264.7273666540367</v>
      </c>
      <c r="N33" s="203">
        <f t="shared" si="6"/>
        <v>-95.2726333459633</v>
      </c>
      <c r="O33" s="204">
        <f>COS(RADIANS(J33))*COS(RADIANS(K33-Insolation!$L$6))*SIN(RADIANS(0))+(SIN(RADIANS(J33))*COS(RADIANS(0)))</f>
        <v>-0.42972262042514398</v>
      </c>
      <c r="P33" s="204">
        <f>COS(RADIANS(J33))*COS(RADIANS(K33-Insolation!$L$6))*SIN(RADIANS(Insolation!$L$7))+SIN(RADIANS(J33))*COS(RADIANS(Insolation!$L$7))</f>
        <v>-8.297757873155534E-2</v>
      </c>
      <c r="Q33" s="205">
        <f>COS(RADIANS(J33))*COS(RADIANS(K33-K33))*SIN(RADIANS(Insolation!$L$7))+SIN(RADIANS(J33))*COS(RADIANS(Insolation!$L$7))</f>
        <v>0.90296094571966268</v>
      </c>
      <c r="R33" s="207">
        <f t="shared" si="7"/>
        <v>1</v>
      </c>
      <c r="S33" s="46">
        <f t="shared" si="8"/>
        <v>0</v>
      </c>
      <c r="T33" s="46">
        <f>B32*Insolation!$E$13</f>
        <v>0</v>
      </c>
      <c r="U33" s="46">
        <f>Insolation!$L$8*B32*(SIN(RADIANS(J33))+Insolation!$E$13)*((1-COS(RADIANS(0)))/2)</f>
        <v>0</v>
      </c>
      <c r="V33" s="46">
        <f t="shared" si="10"/>
        <v>0</v>
      </c>
      <c r="W33" s="48">
        <f>Insolation!$E$13*PSH!B32*((1+COS(RADIANS(Insolation!$L$7)))/2)</f>
        <v>0</v>
      </c>
      <c r="X33" s="46">
        <f>Insolation!$L$8*B32*((SIN(RADIANS(J33)))+Insolation!$E$13)*((1-COS(RADIANS(Insolation!$L$7)))/2)</f>
        <v>0</v>
      </c>
      <c r="Y33" s="46">
        <f>B32*(COS(RADIANS(Angles!$F$10)))</f>
        <v>0</v>
      </c>
      <c r="Z33" s="46">
        <f>Insolation!$E$13*PSH!B32*((1+COS(RADIANS(90-J33+Angles!$F$10)))/2)</f>
        <v>0</v>
      </c>
      <c r="AA33" s="46">
        <f>Insolation!$L$8*((B32*SIN(RADIANS(J33)))+(Insolation!$E$13*B32))*((1-COS(RADIANS(Insolation!$L$7)))/2)</f>
        <v>0</v>
      </c>
      <c r="AB33" s="46">
        <f t="shared" si="4"/>
        <v>0</v>
      </c>
      <c r="AC33" s="46">
        <f>Insolation!$E$13*B32*((1+COS(RADIANS(90-J33)))/2)</f>
        <v>0</v>
      </c>
      <c r="AD33" s="46">
        <f>Insolation!$L$8*((PSH!B32*SIN(RADIANS(PSH!J33)))+(Insolation!$E$13*PSH!B32))*((1-COS(RADIANS(90-PSH!J33)))/2)</f>
        <v>0</v>
      </c>
    </row>
    <row r="34" spans="1:127" ht="13.8" thickBot="1" x14ac:dyDescent="0.3">
      <c r="B34" s="44"/>
      <c r="I34" s="42"/>
    </row>
    <row r="35" spans="1:127" ht="13.8" thickBot="1" x14ac:dyDescent="0.3">
      <c r="A35" s="180" t="s">
        <v>146</v>
      </c>
      <c r="B35" s="189"/>
      <c r="C35" s="189" t="s">
        <v>147</v>
      </c>
      <c r="D35" s="189"/>
      <c r="E35" s="190" t="s">
        <v>148</v>
      </c>
      <c r="F35" s="191" t="s">
        <v>149</v>
      </c>
      <c r="G35" s="44"/>
      <c r="H35" s="44"/>
      <c r="I35" s="44"/>
      <c r="J35" s="44"/>
      <c r="K35" s="44"/>
      <c r="L35" s="44"/>
      <c r="M35" s="44"/>
      <c r="N35" s="44"/>
      <c r="O35" s="44"/>
      <c r="P35" s="44"/>
      <c r="Q35" s="44"/>
      <c r="S35" s="208" t="s">
        <v>162</v>
      </c>
      <c r="T35" s="209" t="s">
        <v>163</v>
      </c>
      <c r="U35" s="210" t="s">
        <v>164</v>
      </c>
      <c r="V35" s="208" t="s">
        <v>162</v>
      </c>
      <c r="W35" s="209" t="s">
        <v>163</v>
      </c>
      <c r="X35" s="210" t="s">
        <v>164</v>
      </c>
      <c r="Y35" s="208" t="s">
        <v>162</v>
      </c>
      <c r="Z35" s="209" t="s">
        <v>163</v>
      </c>
      <c r="AA35" s="210" t="s">
        <v>164</v>
      </c>
      <c r="AB35" s="208" t="s">
        <v>162</v>
      </c>
      <c r="AC35" s="209" t="s">
        <v>163</v>
      </c>
      <c r="AD35" s="210" t="s">
        <v>164</v>
      </c>
    </row>
    <row r="36" spans="1:127" ht="13.8" thickBot="1" x14ac:dyDescent="0.3">
      <c r="A36" s="192">
        <f>MAX(B2:B32)</f>
        <v>935.60595535953576</v>
      </c>
      <c r="B36" s="193"/>
      <c r="C36" s="193">
        <f>INDEX(A2:A32,F36)-INDEX(A2:A32,E36)</f>
        <v>10.5</v>
      </c>
      <c r="D36" s="193"/>
      <c r="E36" s="194">
        <f>MATCH(TRUE,INDEX(B2:B32&gt;0,0),0)</f>
        <v>6</v>
      </c>
      <c r="F36" s="182">
        <f>MATCH(TRUE,INDEX(B15:B32=0,0),0)+13</f>
        <v>27</v>
      </c>
      <c r="K36" s="373" t="s">
        <v>189</v>
      </c>
      <c r="L36" s="373"/>
      <c r="M36" s="373"/>
      <c r="N36" s="373"/>
      <c r="S36" s="46">
        <f>SUM(S4,S6,S8,S10,S12,S14,S16,S18,S20,S22,S24,S26,S28,S30,S32)/1000</f>
        <v>3.1415694180059135</v>
      </c>
      <c r="T36" s="46">
        <f>SUM(T4,T6,T8,T10,T12,T14,T16,T18,T20,T22,T24,T26,T28,T30,T32)/1000</f>
        <v>0.46317025703547432</v>
      </c>
      <c r="U36" s="46">
        <f t="shared" ref="U36:AD36" si="11">SUM(U4,U6,U8,U10,U12,U14,U16,U18,U20,U22,U24,U26,U28,U30,U32)/1000</f>
        <v>0</v>
      </c>
      <c r="V36" s="46">
        <f t="shared" si="11"/>
        <v>5.1882510827534274</v>
      </c>
      <c r="W36" s="46">
        <f t="shared" si="11"/>
        <v>0.23158512851773716</v>
      </c>
      <c r="X36" s="46">
        <f t="shared" si="11"/>
        <v>0.36047396750413874</v>
      </c>
      <c r="Y36" s="46">
        <f>SUM(Y4,Y6,Y8,Y10,Y12,Y14,Y16,Y18,Y20,Y22,Y24,Y26,Y28,Y30,Y32)/1000</f>
        <v>7.1612309419157532</v>
      </c>
      <c r="Z36" s="46">
        <f>SUM(Z4,Z6,Z8,Z10,Z12,Z14,Z16,Z18,Z20,Z22,Z24,Z26,Z28,Z30,Z32)/1000</f>
        <v>0.37541267951172386</v>
      </c>
      <c r="AA36" s="46">
        <f t="shared" si="11"/>
        <v>0.36047396750413874</v>
      </c>
      <c r="AB36" s="46">
        <f t="shared" si="11"/>
        <v>7.3582677314808116</v>
      </c>
      <c r="AC36" s="46">
        <f t="shared" si="11"/>
        <v>0.33045904612522803</v>
      </c>
      <c r="AD36" s="46">
        <f t="shared" si="11"/>
        <v>0.19527982285435283</v>
      </c>
    </row>
    <row r="37" spans="1:127" ht="13.8" thickBot="1" x14ac:dyDescent="0.3">
      <c r="A37" s="195"/>
      <c r="B37" s="193"/>
      <c r="C37" s="193"/>
      <c r="D37" s="193"/>
      <c r="E37" s="193"/>
      <c r="F37" s="182"/>
      <c r="T37" s="225">
        <f>S36+T36</f>
        <v>3.6047396750413876</v>
      </c>
      <c r="U37" s="44"/>
      <c r="V37" s="44"/>
      <c r="W37" s="225">
        <f>V36+W36</f>
        <v>5.4198362112711642</v>
      </c>
      <c r="X37" s="44"/>
      <c r="Y37" s="44"/>
      <c r="Z37" s="225">
        <f>Y36+Z36</f>
        <v>7.5366436214274772</v>
      </c>
      <c r="AA37" s="44"/>
      <c r="AB37" s="44"/>
      <c r="AC37" s="225">
        <f>AB36+AC36</f>
        <v>7.68872677760604</v>
      </c>
      <c r="AD37" s="44"/>
    </row>
    <row r="38" spans="1:127" ht="13.8" thickBot="1" x14ac:dyDescent="0.3">
      <c r="A38" s="196"/>
      <c r="B38" s="197"/>
      <c r="C38" s="197"/>
      <c r="D38" s="199">
        <f>0.637*A36*C36/1000</f>
        <v>6.2578004324222549</v>
      </c>
      <c r="E38" s="197"/>
      <c r="F38" s="198"/>
      <c r="R38" s="42" t="s">
        <v>165</v>
      </c>
      <c r="S38" s="206">
        <f>MAX(S3:S33)+MAX(T3:T33)</f>
        <v>583.41757201919745</v>
      </c>
      <c r="T38" s="44">
        <f>0.637*S38*C36/1000</f>
        <v>3.9021884304504018</v>
      </c>
      <c r="U38" s="206"/>
      <c r="V38" s="206">
        <f>MAX(V3:V33)+MAX(W3:W33)</f>
        <v>804.1923205160823</v>
      </c>
      <c r="W38" s="44">
        <f>0.637*V38*C36/1000</f>
        <v>5.378840335771816</v>
      </c>
      <c r="X38" s="206"/>
      <c r="Y38" s="206">
        <f>MAX(Y3:Y33)+MAX(Z3:Z33)</f>
        <v>961.66991182110621</v>
      </c>
      <c r="Z38" s="44">
        <f>0.637*Y38*C36/1000</f>
        <v>6.4321292052154693</v>
      </c>
      <c r="AA38" s="206"/>
      <c r="AB38" s="206">
        <f>MAX(AB3:AB33)+MAX(AC3:AC33)</f>
        <v>981.56034364208676</v>
      </c>
      <c r="AC38" s="44">
        <f>0.637*AB38*C36/1000</f>
        <v>6.5651663584500977</v>
      </c>
    </row>
    <row r="39" spans="1:127" s="230" customFormat="1" x14ac:dyDescent="0.25"/>
    <row r="40" spans="1:127" x14ac:dyDescent="0.25">
      <c r="A40" s="45" t="s">
        <v>41</v>
      </c>
      <c r="B40" s="229" t="s">
        <v>27</v>
      </c>
      <c r="C40" s="229" t="s">
        <v>28</v>
      </c>
      <c r="D40" s="229" t="s">
        <v>29</v>
      </c>
      <c r="E40" s="229" t="s">
        <v>30</v>
      </c>
      <c r="F40" s="229" t="s">
        <v>31</v>
      </c>
      <c r="G40" s="229" t="s">
        <v>43</v>
      </c>
      <c r="H40" s="229" t="s">
        <v>32</v>
      </c>
      <c r="I40" s="229" t="s">
        <v>33</v>
      </c>
      <c r="J40" s="229" t="s">
        <v>34</v>
      </c>
      <c r="K40" s="229" t="s">
        <v>35</v>
      </c>
      <c r="L40" s="229" t="s">
        <v>36</v>
      </c>
      <c r="M40" s="229" t="s">
        <v>37</v>
      </c>
      <c r="R40" s="228" t="s">
        <v>167</v>
      </c>
    </row>
    <row r="41" spans="1:127" x14ac:dyDescent="0.25">
      <c r="A41" s="233">
        <v>15</v>
      </c>
      <c r="B41" s="212">
        <f>A41+0</f>
        <v>15</v>
      </c>
      <c r="C41" s="212">
        <f>B41+31</f>
        <v>46</v>
      </c>
      <c r="D41" s="212">
        <f>C41+28</f>
        <v>74</v>
      </c>
      <c r="E41" s="212">
        <f>D41+31</f>
        <v>105</v>
      </c>
      <c r="F41" s="212">
        <f>E41+30</f>
        <v>135</v>
      </c>
      <c r="G41" s="212">
        <f>F41+31</f>
        <v>166</v>
      </c>
      <c r="H41" s="212">
        <f>G41+30</f>
        <v>196</v>
      </c>
      <c r="I41" s="212">
        <f>H41+31</f>
        <v>227</v>
      </c>
      <c r="J41" s="212">
        <f>I41+31</f>
        <v>258</v>
      </c>
      <c r="K41" s="212">
        <f>J41+30</f>
        <v>288</v>
      </c>
      <c r="L41" s="212">
        <f>K41+31</f>
        <v>319</v>
      </c>
      <c r="M41" s="212">
        <f>L41+30</f>
        <v>349</v>
      </c>
      <c r="T41" s="42"/>
    </row>
    <row r="42" spans="1:127" x14ac:dyDescent="0.25">
      <c r="A42" s="45" t="s">
        <v>55</v>
      </c>
      <c r="O42" s="371" t="s">
        <v>152</v>
      </c>
      <c r="P42" s="372"/>
      <c r="Q42" s="371" t="s">
        <v>153</v>
      </c>
      <c r="R42" s="372"/>
      <c r="S42" s="371" t="s">
        <v>173</v>
      </c>
      <c r="T42" s="372"/>
      <c r="U42" s="371" t="s">
        <v>174</v>
      </c>
      <c r="V42" s="372"/>
      <c r="AJ42" s="371" t="s">
        <v>152</v>
      </c>
      <c r="AK42" s="372"/>
      <c r="AL42" s="371" t="s">
        <v>153</v>
      </c>
      <c r="AM42" s="372"/>
      <c r="AN42" s="371" t="s">
        <v>173</v>
      </c>
      <c r="AO42" s="372"/>
      <c r="AP42" s="371" t="s">
        <v>174</v>
      </c>
      <c r="AQ42" s="372"/>
      <c r="BE42" s="371" t="s">
        <v>152</v>
      </c>
      <c r="BF42" s="372"/>
      <c r="BG42" s="371" t="s">
        <v>153</v>
      </c>
      <c r="BH42" s="372"/>
      <c r="BI42" s="371" t="s">
        <v>173</v>
      </c>
      <c r="BJ42" s="372"/>
      <c r="BK42" s="371" t="s">
        <v>174</v>
      </c>
      <c r="BL42" s="372"/>
      <c r="BZ42" s="371" t="s">
        <v>152</v>
      </c>
      <c r="CA42" s="372"/>
      <c r="CB42" s="371" t="s">
        <v>153</v>
      </c>
      <c r="CC42" s="372"/>
      <c r="CD42" s="371" t="s">
        <v>173</v>
      </c>
      <c r="CE42" s="372"/>
      <c r="CF42" s="371" t="s">
        <v>174</v>
      </c>
      <c r="CG42" s="372"/>
      <c r="CU42" s="371" t="s">
        <v>152</v>
      </c>
      <c r="CV42" s="372"/>
      <c r="CW42" s="371" t="s">
        <v>153</v>
      </c>
      <c r="CX42" s="372"/>
      <c r="CY42" s="371" t="s">
        <v>173</v>
      </c>
      <c r="CZ42" s="372"/>
      <c r="DA42" s="371" t="s">
        <v>174</v>
      </c>
      <c r="DB42" s="372"/>
      <c r="DP42" s="371" t="s">
        <v>152</v>
      </c>
      <c r="DQ42" s="372"/>
      <c r="DR42" s="371" t="s">
        <v>153</v>
      </c>
      <c r="DS42" s="372"/>
      <c r="DT42" s="371" t="s">
        <v>173</v>
      </c>
      <c r="DU42" s="372"/>
      <c r="DV42" s="371" t="s">
        <v>174</v>
      </c>
      <c r="DW42" s="372"/>
    </row>
    <row r="43" spans="1:127" x14ac:dyDescent="0.25">
      <c r="A43" s="45">
        <f>Time!P4</f>
        <v>42.611719999999998</v>
      </c>
      <c r="C43" s="229" t="s">
        <v>178</v>
      </c>
      <c r="D43" s="45" t="s">
        <v>82</v>
      </c>
      <c r="E43" s="45" t="s">
        <v>83</v>
      </c>
      <c r="F43" s="45" t="s">
        <v>179</v>
      </c>
      <c r="G43" s="45" t="s">
        <v>60</v>
      </c>
      <c r="H43" s="234">
        <v>1</v>
      </c>
      <c r="I43" s="234">
        <v>2</v>
      </c>
      <c r="J43" s="234">
        <v>3</v>
      </c>
      <c r="K43" s="45" t="s">
        <v>185</v>
      </c>
      <c r="L43" s="45" t="s">
        <v>183</v>
      </c>
      <c r="M43" s="45" t="s">
        <v>186</v>
      </c>
      <c r="N43" s="45" t="s">
        <v>187</v>
      </c>
      <c r="O43" s="45" t="s">
        <v>150</v>
      </c>
      <c r="P43" s="45" t="s">
        <v>188</v>
      </c>
      <c r="Q43" s="45" t="s">
        <v>150</v>
      </c>
      <c r="R43" s="45" t="s">
        <v>188</v>
      </c>
      <c r="S43" s="45" t="s">
        <v>150</v>
      </c>
      <c r="T43" s="45" t="s">
        <v>188</v>
      </c>
      <c r="U43" s="45" t="s">
        <v>150</v>
      </c>
      <c r="V43" s="45" t="s">
        <v>188</v>
      </c>
      <c r="X43" s="229" t="s">
        <v>190</v>
      </c>
      <c r="Y43" s="45" t="s">
        <v>82</v>
      </c>
      <c r="Z43" s="45" t="s">
        <v>83</v>
      </c>
      <c r="AA43" s="45" t="s">
        <v>179</v>
      </c>
      <c r="AB43" s="45" t="s">
        <v>60</v>
      </c>
      <c r="AC43" s="234">
        <v>1</v>
      </c>
      <c r="AD43" s="234">
        <v>2</v>
      </c>
      <c r="AE43" s="234">
        <v>3</v>
      </c>
      <c r="AF43" s="45" t="s">
        <v>185</v>
      </c>
      <c r="AG43" s="45" t="s">
        <v>183</v>
      </c>
      <c r="AH43" s="45" t="s">
        <v>186</v>
      </c>
      <c r="AI43" s="45" t="s">
        <v>187</v>
      </c>
      <c r="AJ43" s="45" t="s">
        <v>150</v>
      </c>
      <c r="AK43" s="45" t="s">
        <v>188</v>
      </c>
      <c r="AL43" s="45" t="s">
        <v>150</v>
      </c>
      <c r="AM43" s="45" t="s">
        <v>188</v>
      </c>
      <c r="AN43" s="45" t="s">
        <v>150</v>
      </c>
      <c r="AO43" s="45" t="s">
        <v>188</v>
      </c>
      <c r="AP43" s="45" t="s">
        <v>150</v>
      </c>
      <c r="AQ43" s="45" t="s">
        <v>188</v>
      </c>
      <c r="AS43" s="229" t="s">
        <v>191</v>
      </c>
      <c r="AT43" s="45" t="s">
        <v>82</v>
      </c>
      <c r="AU43" s="45" t="s">
        <v>83</v>
      </c>
      <c r="AV43" s="45" t="s">
        <v>179</v>
      </c>
      <c r="AW43" s="45" t="s">
        <v>60</v>
      </c>
      <c r="AX43" s="234">
        <v>1</v>
      </c>
      <c r="AY43" s="234">
        <v>2</v>
      </c>
      <c r="AZ43" s="234">
        <v>3</v>
      </c>
      <c r="BA43" s="45" t="s">
        <v>185</v>
      </c>
      <c r="BB43" s="45" t="s">
        <v>183</v>
      </c>
      <c r="BC43" s="45" t="s">
        <v>186</v>
      </c>
      <c r="BD43" s="45" t="s">
        <v>187</v>
      </c>
      <c r="BE43" s="45" t="s">
        <v>150</v>
      </c>
      <c r="BF43" s="45" t="s">
        <v>188</v>
      </c>
      <c r="BG43" s="45" t="s">
        <v>150</v>
      </c>
      <c r="BH43" s="45" t="s">
        <v>188</v>
      </c>
      <c r="BI43" s="45" t="s">
        <v>150</v>
      </c>
      <c r="BJ43" s="45" t="s">
        <v>188</v>
      </c>
      <c r="BK43" s="45" t="s">
        <v>150</v>
      </c>
      <c r="BL43" s="45" t="s">
        <v>188</v>
      </c>
      <c r="BN43" s="229" t="s">
        <v>192</v>
      </c>
      <c r="BO43" s="45" t="s">
        <v>82</v>
      </c>
      <c r="BP43" s="45" t="s">
        <v>83</v>
      </c>
      <c r="BQ43" s="45" t="s">
        <v>179</v>
      </c>
      <c r="BR43" s="45" t="s">
        <v>60</v>
      </c>
      <c r="BS43" s="234">
        <v>1</v>
      </c>
      <c r="BT43" s="234">
        <v>2</v>
      </c>
      <c r="BU43" s="234">
        <v>3</v>
      </c>
      <c r="BV43" s="45" t="s">
        <v>185</v>
      </c>
      <c r="BW43" s="45" t="s">
        <v>183</v>
      </c>
      <c r="BX43" s="45" t="s">
        <v>186</v>
      </c>
      <c r="BY43" s="45" t="s">
        <v>187</v>
      </c>
      <c r="BZ43" s="45" t="s">
        <v>150</v>
      </c>
      <c r="CA43" s="45" t="s">
        <v>188</v>
      </c>
      <c r="CB43" s="45" t="s">
        <v>150</v>
      </c>
      <c r="CC43" s="45" t="s">
        <v>188</v>
      </c>
      <c r="CD43" s="45" t="s">
        <v>150</v>
      </c>
      <c r="CE43" s="45" t="s">
        <v>188</v>
      </c>
      <c r="CF43" s="45" t="s">
        <v>150</v>
      </c>
      <c r="CG43" s="45" t="s">
        <v>188</v>
      </c>
      <c r="CI43" s="229" t="s">
        <v>193</v>
      </c>
      <c r="CJ43" s="45" t="s">
        <v>82</v>
      </c>
      <c r="CK43" s="45" t="s">
        <v>83</v>
      </c>
      <c r="CL43" s="45" t="s">
        <v>179</v>
      </c>
      <c r="CM43" s="45" t="s">
        <v>60</v>
      </c>
      <c r="CN43" s="234">
        <v>1</v>
      </c>
      <c r="CO43" s="234">
        <v>2</v>
      </c>
      <c r="CP43" s="234">
        <v>3</v>
      </c>
      <c r="CQ43" s="45" t="s">
        <v>185</v>
      </c>
      <c r="CR43" s="45" t="s">
        <v>183</v>
      </c>
      <c r="CS43" s="45" t="s">
        <v>186</v>
      </c>
      <c r="CT43" s="45" t="s">
        <v>187</v>
      </c>
      <c r="CU43" s="45" t="s">
        <v>150</v>
      </c>
      <c r="CV43" s="45" t="s">
        <v>188</v>
      </c>
      <c r="CW43" s="45" t="s">
        <v>150</v>
      </c>
      <c r="CX43" s="45" t="s">
        <v>188</v>
      </c>
      <c r="CY43" s="45" t="s">
        <v>150</v>
      </c>
      <c r="CZ43" s="45" t="s">
        <v>188</v>
      </c>
      <c r="DA43" s="45" t="s">
        <v>150</v>
      </c>
      <c r="DB43" s="45" t="s">
        <v>188</v>
      </c>
      <c r="DD43" s="229" t="s">
        <v>194</v>
      </c>
      <c r="DE43" s="45" t="s">
        <v>82</v>
      </c>
      <c r="DF43" s="45" t="s">
        <v>83</v>
      </c>
      <c r="DG43" s="45" t="s">
        <v>179</v>
      </c>
      <c r="DH43" s="45" t="s">
        <v>60</v>
      </c>
      <c r="DI43" s="234">
        <v>1</v>
      </c>
      <c r="DJ43" s="234">
        <v>2</v>
      </c>
      <c r="DK43" s="234">
        <v>3</v>
      </c>
      <c r="DL43" s="45" t="s">
        <v>185</v>
      </c>
      <c r="DM43" s="45" t="s">
        <v>183</v>
      </c>
      <c r="DN43" s="45" t="s">
        <v>186</v>
      </c>
      <c r="DO43" s="45" t="s">
        <v>187</v>
      </c>
      <c r="DP43" s="45" t="s">
        <v>150</v>
      </c>
      <c r="DQ43" s="45" t="s">
        <v>188</v>
      </c>
      <c r="DR43" s="45" t="s">
        <v>150</v>
      </c>
      <c r="DS43" s="45" t="s">
        <v>188</v>
      </c>
      <c r="DT43" s="45" t="s">
        <v>150</v>
      </c>
      <c r="DU43" s="45" t="s">
        <v>188</v>
      </c>
      <c r="DV43" s="45" t="s">
        <v>150</v>
      </c>
      <c r="DW43" s="45" t="s">
        <v>188</v>
      </c>
    </row>
    <row r="44" spans="1:127" x14ac:dyDescent="0.25">
      <c r="A44" s="45" t="s">
        <v>74</v>
      </c>
      <c r="B44" s="42"/>
      <c r="C44" s="236" t="s">
        <v>41</v>
      </c>
      <c r="D44" s="212">
        <v>5.5</v>
      </c>
      <c r="E44" s="46">
        <f t="shared" ref="E44:E74" si="12">DEGREES(ASIN(COS(RADIANS($A$43))*COS(RADIANS($C$47))*COS(RADIANS(F44))+SIN(RADIANS($A$43))*SIN(RADIANS($C$47))))</f>
        <v>-19.579421832378088</v>
      </c>
      <c r="F44" s="207">
        <f t="shared" ref="F44:F74" si="13">15*(12-D44)</f>
        <v>97.5</v>
      </c>
      <c r="G44" s="46">
        <f>IF(COS(RADIANS(F44))&gt;=((TAN(RADIANS($C$47)))/(TAN(RADIANS($A$43)))),H44,IF(D44&lt;12,I44,J44))</f>
        <v>78.699625864775442</v>
      </c>
      <c r="H44" s="46">
        <f>DEGREES(ASIN(COS(RADIANS($C$47))*SIN(RADIANS(F44))/COS(RADIANS(E44))))</f>
        <v>78.699625864775442</v>
      </c>
      <c r="I44" s="46">
        <f>180-H44</f>
        <v>101.30037413522456</v>
      </c>
      <c r="J44" s="46">
        <f>180-H44-360</f>
        <v>-258.69962586477544</v>
      </c>
      <c r="K44" s="46">
        <f>ABS(1/SIN(RADIANS(E44)))</f>
        <v>2.9840662636505639</v>
      </c>
      <c r="L44" s="46">
        <f>IF(E44&gt;0,$C$51*EXP(-$C$53*K44),0)</f>
        <v>0</v>
      </c>
      <c r="M44" s="47">
        <f>COS(RADIANS(E44))*COS(RADIANS(G44-Insolation!$L$6))*SIN(RADIANS(0))+(SIN(RADIANS(E44))*COS(RADIANS(0)))</f>
        <v>-0.33511320180157389</v>
      </c>
      <c r="N44" s="47">
        <f>COS(RADIANS(E44))*COS(RADIANS(G44-Insolation!$L$6))*SIN(RADIANS(Insolation!$L$7))+SIN(RADIANS(E44))*COS(RADIANS(Insolation!$L$7))</f>
        <v>0.18462215420672504</v>
      </c>
      <c r="O44" s="46">
        <f>L44*M44</f>
        <v>0</v>
      </c>
      <c r="P44" s="46">
        <f>$C$55*L44</f>
        <v>0</v>
      </c>
      <c r="Q44" s="46">
        <f>IF(N44&lt;0,0,L44*N44)</f>
        <v>0</v>
      </c>
      <c r="R44" s="46">
        <f>$C$55*L44*((1+COS(RADIANS(Insolation!$L$7)))/2)</f>
        <v>0</v>
      </c>
      <c r="S44" s="46">
        <f>L44*COS(RADIANS($C$47))</f>
        <v>0</v>
      </c>
      <c r="T44" s="46">
        <f>$C$55*L44*((1+COS(RADIANS(90-E44+$C$47)))/2)</f>
        <v>0</v>
      </c>
      <c r="U44" s="46">
        <f>L44</f>
        <v>0</v>
      </c>
      <c r="V44" s="46">
        <f>$C$55*L44*((1+COS(RADIANS(90-E44)))/2)</f>
        <v>0</v>
      </c>
      <c r="X44" s="236" t="s">
        <v>41</v>
      </c>
      <c r="Y44" s="212">
        <v>5.5</v>
      </c>
      <c r="Z44" s="46">
        <f>DEGREES(ASIN(COS(RADIANS($A$43))*COS(RADIANS($X$47))*COS(RADIANS(AA44))+SIN(RADIANS($A$43))*SIN(RADIANS($X$47))))</f>
        <v>-14.425127499009745</v>
      </c>
      <c r="AA44" s="207">
        <f t="shared" ref="AA44:AA74" si="14">15*(12-Y44)</f>
        <v>97.5</v>
      </c>
      <c r="AB44" s="46">
        <f>IF(COS(RADIANS(AA44))&gt;=((TAN(RADIANS($X$47)))/(TAN(RADIANS($A$43)))),AC44,IF(Y44&lt;12,AD44,AE44))</f>
        <v>85.073630000199515</v>
      </c>
      <c r="AC44" s="46">
        <f>DEGREES(ASIN(COS(RADIANS($X$47))*SIN(RADIANS(AA44))/COS(RADIANS(Z44))))</f>
        <v>85.073630000199515</v>
      </c>
      <c r="AD44" s="46">
        <f>180-AC44</f>
        <v>94.926369999800485</v>
      </c>
      <c r="AE44" s="46">
        <f>180-AC44-360</f>
        <v>-265.0736300001995</v>
      </c>
      <c r="AF44" s="46">
        <f>ABS(1/SIN(RADIANS(Z44)))</f>
        <v>4.014216061445441</v>
      </c>
      <c r="AG44" s="46">
        <f>IF(Z44&gt;0,$X$51*EXP(-$X$53*AF44),0)</f>
        <v>0</v>
      </c>
      <c r="AH44" s="47">
        <f>COS(RADIANS(Z44))*COS(RADIANS(AB44-Insolation!$L$6))*SIN(RADIANS(0))+(SIN(RADIANS(Z44))*COS(RADIANS(0)))</f>
        <v>-0.2491146427329872</v>
      </c>
      <c r="AI44" s="47">
        <f>COS(RADIANS(Z44))*COS(RADIANS(AB44-Insolation!$L$6))*SIN(RADIANS(Insolation!$L$7))+SIN(RADIANS(Z44))*COS(RADIANS(Insolation!$L$7))</f>
        <v>8.3168165376580921E-2</v>
      </c>
      <c r="AJ44" s="46">
        <f>AG44*AH44</f>
        <v>0</v>
      </c>
      <c r="AK44" s="46">
        <f>$X$55*AG44</f>
        <v>0</v>
      </c>
      <c r="AL44" s="46">
        <f>IF(AI44&lt;0,0,AG44*AI44)</f>
        <v>0</v>
      </c>
      <c r="AM44" s="46">
        <f>$X$55*AG44*((1+COS(RADIANS(Insolation!$L$7)))/2)</f>
        <v>0</v>
      </c>
      <c r="AN44" s="46">
        <f>AG44*COS(RADIANS($X$47))</f>
        <v>0</v>
      </c>
      <c r="AO44" s="46">
        <f>$X$55*AG44*((1+COS(RADIANS(90-Z44+$X$47)))/2)</f>
        <v>0</v>
      </c>
      <c r="AP44" s="46">
        <f>AG44</f>
        <v>0</v>
      </c>
      <c r="AQ44" s="46">
        <f>$X$55*AG44*((1+COS(RADIANS(90-Z44)))/2)</f>
        <v>0</v>
      </c>
      <c r="AS44" s="236" t="s">
        <v>41</v>
      </c>
      <c r="AT44" s="212">
        <v>5.5</v>
      </c>
      <c r="AU44" s="46">
        <f>DEGREES(ASIN(COS(RADIANS($A$43))*COS(RADIANS($AS$47))*COS(RADIANS(AV44))+SIN(RADIANS($A$43))*SIN(RADIANS($AS$47))))</f>
        <v>-7.4257370187068297</v>
      </c>
      <c r="AV44" s="207">
        <f t="shared" ref="AV44:AV74" si="15">15*(12-AT44)</f>
        <v>97.5</v>
      </c>
      <c r="AW44" s="46">
        <f>IF(COS(RADIANS(AV44))&gt;=((TAN(RADIANS($AS$47)))/(TAN(RADIANS($A$43)))),AX44,IF(AT44&lt;12,AY44,AZ44))</f>
        <v>93.009959353968682</v>
      </c>
      <c r="AX44" s="46">
        <f>DEGREES(ASIN(COS(RADIANS($AS$47))*SIN(RADIANS(AV44))/COS(RADIANS(AU44))))</f>
        <v>86.990040646031318</v>
      </c>
      <c r="AY44" s="46">
        <f>180-AX44</f>
        <v>93.009959353968682</v>
      </c>
      <c r="AZ44" s="46">
        <f>180-AX44-360</f>
        <v>-266.99004064603133</v>
      </c>
      <c r="BA44" s="46">
        <f>ABS(1/SIN(RADIANS(AU44)))</f>
        <v>7.7374804119854179</v>
      </c>
      <c r="BB44" s="46">
        <f>IF(AU44&gt;0,$AS$51*EXP(-$AS$53*BA44),0)</f>
        <v>0</v>
      </c>
      <c r="BC44" s="47">
        <f>COS(RADIANS(AU44))*COS(RADIANS(AW44-Insolation!$L$6))*SIN(RADIANS(0))+(SIN(RADIANS(AU44))*COS(RADIANS(0)))</f>
        <v>-0.1292410380065056</v>
      </c>
      <c r="BD44" s="47">
        <f>COS(RADIANS(AU44))*COS(RADIANS(AW44-Insolation!$L$6))*SIN(RADIANS(Insolation!$L$7))+SIN(RADIANS(AU44))*COS(RADIANS(Insolation!$L$7))</f>
        <v>-5.2069154149259812E-2</v>
      </c>
      <c r="BE44" s="46">
        <f>BB44*BC44</f>
        <v>0</v>
      </c>
      <c r="BF44" s="46">
        <f>$AS$55*BB44</f>
        <v>0</v>
      </c>
      <c r="BG44" s="46">
        <f>IF(BD44&lt;0,0,BB44*BD44)</f>
        <v>0</v>
      </c>
      <c r="BH44" s="46">
        <f>$AS$55*BB44*((1+COS(RADIANS(Insolation!$L$7)))/2)</f>
        <v>0</v>
      </c>
      <c r="BI44" s="46">
        <f>BB44*COS(RADIANS($AS$47))</f>
        <v>0</v>
      </c>
      <c r="BJ44" s="46">
        <f>$AS$55*BB44*((1+COS(RADIANS(90-AU44+$AS$47)))/2)</f>
        <v>0</v>
      </c>
      <c r="BK44" s="46">
        <f>BB44</f>
        <v>0</v>
      </c>
      <c r="BL44" s="46">
        <f>$AS$55*BB44*((1+COS(RADIANS(90-AU44)))/2)</f>
        <v>0</v>
      </c>
      <c r="BN44" s="236" t="s">
        <v>41</v>
      </c>
      <c r="BO44" s="212">
        <v>5.5</v>
      </c>
      <c r="BP44" s="46">
        <f>DEGREES(ASIN(COS(RADIANS($A$43))*COS(RADIANS($BN$47))*COS(RADIANS(BQ44))+SIN(RADIANS($A$43))*SIN(RADIANS($BN$47))))</f>
        <v>0.91572500953558134</v>
      </c>
      <c r="BQ44" s="207">
        <f t="shared" ref="BQ44:BQ74" si="16">15*(12-BO44)</f>
        <v>97.5</v>
      </c>
      <c r="BR44" s="46">
        <f>IF(COS(RADIANS(BQ44))&gt;=((TAN(RADIANS($BN$47)))/(TAN(RADIANS($A$43)))),BS44,IF(BO44&lt;12,BT44,BU44))</f>
        <v>101.98149232368051</v>
      </c>
      <c r="BS44" s="46">
        <f>DEGREES(ASIN(COS(RADIANS($BN$47))*SIN(RADIANS(BQ44))/COS(RADIANS(BP44))))</f>
        <v>78.018507676319487</v>
      </c>
      <c r="BT44" s="46">
        <f>180-BS44</f>
        <v>101.98149232368051</v>
      </c>
      <c r="BU44" s="46">
        <f>180-BS44-360</f>
        <v>-258.01850767631947</v>
      </c>
      <c r="BV44" s="46">
        <f>ABS(1/SIN(RADIANS(BP44)))</f>
        <v>62.571425088171324</v>
      </c>
      <c r="BW44" s="46">
        <f>IF(BP44&gt;0,$BN$51*EXP(-$BN$53*BV44),0)</f>
        <v>1.7713698892625376E-2</v>
      </c>
      <c r="BX44" s="47">
        <f>COS(RADIANS(BP44))*COS(RADIANS(BR44-Insolation!$L$6))*SIN(RADIANS(0))+(SIN(RADIANS(BP44))*COS(RADIANS(0)))</f>
        <v>1.5981736049496542E-2</v>
      </c>
      <c r="BY44" s="47">
        <f>COS(RADIANS(BP44))*COS(RADIANS(BR44-Insolation!$L$6))*SIN(RADIANS(Insolation!$L$7))+SIN(RADIANS(BP44))*COS(RADIANS(Insolation!$L$7))</f>
        <v>-0.2075692055317804</v>
      </c>
      <c r="BZ44" s="46">
        <f>BW44*BX44</f>
        <v>2.8309566016219794E-4</v>
      </c>
      <c r="CA44" s="46">
        <f>$BN$55*BW44</f>
        <v>1.7437115772074216E-3</v>
      </c>
      <c r="CB44" s="46">
        <f>IF(BY44&lt;0,0,BW44*BY44)</f>
        <v>0</v>
      </c>
      <c r="CC44" s="46">
        <f>$BN$55*BW44*((1+COS(RADIANS(Insolation!$L$7)))/2)</f>
        <v>8.7185578860371081E-4</v>
      </c>
      <c r="CD44" s="46">
        <f>BW44*COS(RADIANS($BN$47))</f>
        <v>1.7475089587908152E-2</v>
      </c>
      <c r="CE44" s="46">
        <f>$BN$55*BW44*((1+COS(RADIANS(90-BP44+$BN$47)))/2)</f>
        <v>7.4299981411345053E-4</v>
      </c>
      <c r="CF44" s="46">
        <f>BW44</f>
        <v>1.7713698892625376E-2</v>
      </c>
      <c r="CG44" s="46">
        <f>$BN$55*BW44*((1+COS(RADIANS(90-BP44)))/2)</f>
        <v>8.8578955769040091E-4</v>
      </c>
      <c r="CI44" s="236" t="s">
        <v>41</v>
      </c>
      <c r="CJ44" s="212">
        <v>5.5</v>
      </c>
      <c r="CK44" s="46">
        <f>DEGREES(ASIN(COS(RADIANS($A$43))*COS(RADIANS($CI$47))*COS(RADIANS(CL44))+SIN(RADIANS($A$43))*SIN(RADIANS($CI$47))))</f>
        <v>7.3049754486719989</v>
      </c>
      <c r="CL44" s="207">
        <f t="shared" ref="CL44:CL74" si="17">15*(12-CJ44)</f>
        <v>97.5</v>
      </c>
      <c r="CM44" s="46">
        <f>IF(COS(RADIANS(CL44))&gt;=((TAN(RADIANS($CI$47)))/(TAN(RADIANS($A$43)))),CN44,IF(CJ44&lt;12,CO44,CP44))</f>
        <v>108.86622350302551</v>
      </c>
      <c r="CN44" s="46">
        <f>DEGREES(ASIN(COS(RADIANS($CI$47))*SIN(RADIANS(CL44))/COS(RADIANS(CK44))))</f>
        <v>71.133776496974491</v>
      </c>
      <c r="CO44" s="46">
        <f>180-CN44</f>
        <v>108.86622350302551</v>
      </c>
      <c r="CP44" s="46">
        <f>180-CN44-360</f>
        <v>-251.13377649697449</v>
      </c>
      <c r="CQ44" s="46">
        <f>ABS(1/SIN(RADIANS(CK44)))</f>
        <v>7.8646807922167525</v>
      </c>
      <c r="CR44" s="46">
        <f>IF(CK44&gt;0,$CI$51*EXP(-$CI$53*CQ44),0)</f>
        <v>241.67018679963061</v>
      </c>
      <c r="CS44" s="47">
        <f>COS(RADIANS(CK44))*COS(RADIANS(CM44-Insolation!$L$6))*SIN(RADIANS(0))+(SIN(RADIANS(CK44))*COS(RADIANS(0)))</f>
        <v>0.12715074221316722</v>
      </c>
      <c r="CT44" s="47">
        <f>COS(RADIANS(CK44))*COS(RADIANS(CM44-Insolation!$L$6))*SIN(RADIANS(Insolation!$L$7))+SIN(RADIANS(CK44))*COS(RADIANS(Insolation!$L$7))</f>
        <v>-0.32073505489416188</v>
      </c>
      <c r="CU44" s="46">
        <f>CR44*CS44</f>
        <v>30.728543622367798</v>
      </c>
      <c r="CV44" s="46">
        <f>$CI$55*CR44</f>
        <v>28.436864518067033</v>
      </c>
      <c r="CW44" s="46">
        <f>IF(CT44&lt;0,0,CR44*CT44)</f>
        <v>0</v>
      </c>
      <c r="CX44" s="46">
        <f>$CI$55*CR44*((1+COS(RADIANS(Insolation!$L$7)))/2)</f>
        <v>14.218432259033516</v>
      </c>
      <c r="CY44" s="46">
        <f>CR44*COS(RADIANS($CI$47))</f>
        <v>228.78788774769021</v>
      </c>
      <c r="CZ44" s="46">
        <f>$CI$55*CR44*((1+COS(RADIANS(90-CK44+$CI$47)))/2)</f>
        <v>11.386908245786756</v>
      </c>
      <c r="DA44" s="46">
        <f>CR44</f>
        <v>241.67018679963061</v>
      </c>
      <c r="DB44" s="46">
        <f>$CI$55*CR44*((1+COS(RADIANS(90-CK44)))/2)</f>
        <v>16.026316473877266</v>
      </c>
      <c r="DD44" s="236" t="s">
        <v>41</v>
      </c>
      <c r="DE44" s="212">
        <v>5.5</v>
      </c>
      <c r="DF44" s="46">
        <f>DEGREES(ASIN(COS(RADIANS($A$43))*COS(RADIANS($DD$47))*COS(RADIANS(DG44))+SIN(RADIANS($A$43))*SIN(RADIANS($DD$47))))</f>
        <v>10.354211238811722</v>
      </c>
      <c r="DG44" s="207">
        <f t="shared" ref="DG44:DG74" si="18">15*(12-DE44)</f>
        <v>97.5</v>
      </c>
      <c r="DH44" s="46">
        <f>IF(COS(RADIANS(DG44))&gt;=((TAN(RADIANS($DD$47)))/(TAN(RADIANS($A$43)))),DI44,IF(DE44&lt;12,DJ44,DK44))</f>
        <v>112.24664324838785</v>
      </c>
      <c r="DI44" s="46">
        <f>DEGREES(ASIN(COS(RADIANS($DD$47))*SIN(RADIANS(DG44))/COS(RADIANS(DF44))))</f>
        <v>67.753356751612145</v>
      </c>
      <c r="DJ44" s="46">
        <f>180-DI44</f>
        <v>112.24664324838785</v>
      </c>
      <c r="DK44" s="46">
        <f>180-DI44-360</f>
        <v>-247.75335675161216</v>
      </c>
      <c r="DL44" s="46">
        <f>ABS(1/SIN(RADIANS(DF44)))</f>
        <v>5.5638069240160215</v>
      </c>
      <c r="DM44" s="46">
        <f>IF(DF44&gt;0,$DD$51*EXP(-$DD$53*DL44),0)</f>
        <v>346.4726142809904</v>
      </c>
      <c r="DN44" s="47">
        <f>COS(RADIANS(DF44))*COS(RADIANS(DH44-Insolation!$L$6))*SIN(RADIANS(0))+(SIN(RADIANS(DF44))*COS(RADIANS(0)))</f>
        <v>0.17973305214520063</v>
      </c>
      <c r="DO44" s="47">
        <f>COS(RADIANS(DF44))*COS(RADIANS(DH44-Insolation!$L$6))*SIN(RADIANS(Insolation!$L$7))+SIN(RADIANS(DF44))*COS(RADIANS(Insolation!$L$7))</f>
        <v>-0.37242914243748515</v>
      </c>
      <c r="DP44" s="46">
        <f>DM44*DN44</f>
        <v>62.272580449449237</v>
      </c>
      <c r="DQ44" s="46">
        <f>$DD$55*DM44</f>
        <v>45.485116233122014</v>
      </c>
      <c r="DR44" s="46">
        <f>IF(DO44&lt;0,0,DM44*DO44)</f>
        <v>0</v>
      </c>
      <c r="DS44" s="46">
        <f>$DD$55*DM44*((1+COS(RADIANS(Insolation!$L$7)))/2)</f>
        <v>22.742558116561007</v>
      </c>
      <c r="DT44" s="46">
        <f>DM44*COS(RADIANS($DD$47))</f>
        <v>318.18204170036233</v>
      </c>
      <c r="DU44" s="46">
        <f>$DD$55*DM44*((1+COS(RADIANS(90-DF44+$DD$47)))/2)</f>
        <v>17.641990449008997</v>
      </c>
      <c r="DV44" s="46">
        <f>DM44</f>
        <v>346.4726142809904</v>
      </c>
      <c r="DW44" s="46">
        <f>$DD$55*DM44*((1+COS(RADIANS(90-DF44)))/2)</f>
        <v>26.830147500440123</v>
      </c>
    </row>
    <row r="45" spans="1:127" x14ac:dyDescent="0.25">
      <c r="A45" s="212">
        <f>Time!P5</f>
        <v>70.883610000000004</v>
      </c>
      <c r="B45" s="42"/>
      <c r="C45" s="212">
        <f>B41</f>
        <v>15</v>
      </c>
      <c r="D45" s="212">
        <v>6</v>
      </c>
      <c r="E45" s="46">
        <f t="shared" si="12"/>
        <v>-14.216976427830033</v>
      </c>
      <c r="F45" s="207">
        <f t="shared" si="13"/>
        <v>90</v>
      </c>
      <c r="G45" s="46">
        <f t="shared" ref="G45:G74" si="19">IF(COS(RADIANS(F45))&gt;=((TAN(RADIANS($C$47)))/(TAN(RADIANS($A$43)))),H45,IF(D45&lt;12,I45,J45))</f>
        <v>74.013698609031238</v>
      </c>
      <c r="H45" s="46">
        <f t="shared" ref="H45:H74" si="20">DEGREES(ASIN(COS(RADIANS($C$47))*SIN(RADIANS(F45))/COS(RADIANS(E45))))</f>
        <v>74.013698609031238</v>
      </c>
      <c r="I45" s="46">
        <f t="shared" ref="I45:I74" si="21">180-H45</f>
        <v>105.98630139096876</v>
      </c>
      <c r="J45" s="46">
        <f t="shared" ref="J45:J74" si="22">180-H45-360</f>
        <v>-254.01369860903122</v>
      </c>
      <c r="K45" s="46">
        <f t="shared" ref="K45:K74" si="23">ABS(1/SIN(RADIANS(E45)))</f>
        <v>4.0717504898428478</v>
      </c>
      <c r="L45" s="46">
        <f t="shared" ref="L45:L74" si="24">IF(E45&gt;0,$C$51*EXP(-$C$53*K45),0)</f>
        <v>0</v>
      </c>
      <c r="M45" s="47">
        <f>COS(RADIANS(E45))*COS(RADIANS(G45-Insolation!$L$6))*SIN(RADIANS(0))+(SIN(RADIANS(E45))*COS(RADIANS(0)))</f>
        <v>-0.24559461649100106</v>
      </c>
      <c r="N45" s="47">
        <f>COS(RADIANS(E45))*COS(RADIANS(G45-Insolation!$L$6))*SIN(RADIANS(Insolation!$L$7))+SIN(RADIANS(E45))*COS(RADIANS(Insolation!$L$7))</f>
        <v>0.26697251412982798</v>
      </c>
      <c r="O45" s="46">
        <f t="shared" ref="O45:O74" si="25">L45*M45</f>
        <v>0</v>
      </c>
      <c r="P45" s="46">
        <f t="shared" ref="P45:P74" si="26">$C$55*L45</f>
        <v>0</v>
      </c>
      <c r="Q45" s="46">
        <f t="shared" ref="Q45:Q74" si="27">IF(N45&lt;0,0,L45*N45)</f>
        <v>0</v>
      </c>
      <c r="R45" s="46">
        <f>$C$55*L45*((1+COS(RADIANS(Insolation!$L$7)))/2)</f>
        <v>0</v>
      </c>
      <c r="S45" s="46">
        <f t="shared" ref="S45:S74" si="28">L45*COS(RADIANS($C$47))</f>
        <v>0</v>
      </c>
      <c r="T45" s="46">
        <f t="shared" ref="T45:T74" si="29">$C$55*L45*((1+COS(RADIANS(90-E45+$C$47)))/2)</f>
        <v>0</v>
      </c>
      <c r="U45" s="46">
        <f t="shared" ref="U45:U74" si="30">L45</f>
        <v>0</v>
      </c>
      <c r="V45" s="46">
        <f t="shared" ref="V45:V74" si="31">$C$55*L45*((1+COS(RADIANS(90-E45)))/2)</f>
        <v>0</v>
      </c>
      <c r="X45" s="212">
        <f>C41</f>
        <v>46</v>
      </c>
      <c r="Y45" s="212">
        <v>6</v>
      </c>
      <c r="Z45" s="46">
        <f t="shared" ref="Z45:Z73" si="32">DEGREES(ASIN(COS(RADIANS($A$43))*COS(RADIANS($X$47))*COS(RADIANS(AA45))+SIN(RADIANS($A$43))*SIN(RADIANS($X$47))))</f>
        <v>-8.9530502893945059</v>
      </c>
      <c r="AA45" s="207">
        <f t="shared" si="14"/>
        <v>90</v>
      </c>
      <c r="AB45" s="46">
        <f t="shared" ref="AB45:AB74" si="33">IF(COS(RADIANS(AA45))&gt;=((TAN(RADIANS($X$47)))/(TAN(RADIANS($A$43)))),AC45,IF(Y45&lt;12,AD45,AE45))</f>
        <v>80.13902393275697</v>
      </c>
      <c r="AC45" s="46">
        <f t="shared" ref="AC45:AC74" si="34">DEGREES(ASIN(COS(RADIANS($X$47))*SIN(RADIANS(AA45))/COS(RADIANS(Z45))))</f>
        <v>80.13902393275697</v>
      </c>
      <c r="AD45" s="46">
        <f t="shared" ref="AD45:AD74" si="35">180-AC45</f>
        <v>99.86097606724303</v>
      </c>
      <c r="AE45" s="46">
        <f t="shared" ref="AE45:AE54" si="36">180-AC45-360</f>
        <v>-260.13902393275697</v>
      </c>
      <c r="AF45" s="46">
        <f t="shared" ref="AF45:AF74" si="37">ABS(1/SIN(RADIANS(Z45)))</f>
        <v>6.4256997523177368</v>
      </c>
      <c r="AG45" s="46">
        <f t="shared" ref="AG45:AG73" si="38">IF(Z45&gt;0,$X$51*EXP(-$X$53*AF45),0)</f>
        <v>0</v>
      </c>
      <c r="AH45" s="47">
        <f>COS(RADIANS(Z45))*COS(RADIANS(AB45-Insolation!$L$6))*SIN(RADIANS(0))+(SIN(RADIANS(Z45))*COS(RADIANS(0)))</f>
        <v>-0.15562507408462434</v>
      </c>
      <c r="AI45" s="47">
        <f>COS(RADIANS(Z45))*COS(RADIANS(AB45-Insolation!$L$6))*SIN(RADIANS(Insolation!$L$7))+SIN(RADIANS(Z45))*COS(RADIANS(Insolation!$L$7))</f>
        <v>0.1691715310524132</v>
      </c>
      <c r="AJ45" s="46">
        <f t="shared" ref="AJ45:AJ74" si="39">AG45*AH45</f>
        <v>0</v>
      </c>
      <c r="AK45" s="46">
        <f t="shared" ref="AK45:AK74" si="40">$X$55*AG45</f>
        <v>0</v>
      </c>
      <c r="AL45" s="46">
        <f t="shared" ref="AL45:AL74" si="41">IF(AI45&lt;0,0,AG45*AI45)</f>
        <v>0</v>
      </c>
      <c r="AM45" s="46">
        <f>$X$55*AG45*((1+COS(RADIANS(Insolation!$L$7)))/2)</f>
        <v>0</v>
      </c>
      <c r="AN45" s="46">
        <f t="shared" ref="AN45:AN74" si="42">AG45*COS(RADIANS($X$47))</f>
        <v>0</v>
      </c>
      <c r="AO45" s="46">
        <f t="shared" ref="AO45:AO74" si="43">$X$55*AG45*((1+COS(RADIANS(90-Z45+$X$47)))/2)</f>
        <v>0</v>
      </c>
      <c r="AP45" s="46">
        <f t="shared" ref="AP45:AP74" si="44">AG45</f>
        <v>0</v>
      </c>
      <c r="AQ45" s="46">
        <f t="shared" ref="AQ45:AQ74" si="45">$X$55*AG45*((1+COS(RADIANS(90-Z45)))/2)</f>
        <v>0</v>
      </c>
      <c r="AS45" s="212">
        <f>D41</f>
        <v>74</v>
      </c>
      <c r="AT45" s="212">
        <v>6</v>
      </c>
      <c r="AU45" s="46">
        <f t="shared" ref="AU45:AU74" si="46">DEGREES(ASIN(COS(RADIANS($A$43))*COS(RADIANS($AS$47))*COS(RADIANS(AV45))+SIN(RADIANS($A$43))*SIN(RADIANS($AS$47))))</f>
        <v>-1.9080384553884138</v>
      </c>
      <c r="AV45" s="207">
        <f t="shared" si="15"/>
        <v>90</v>
      </c>
      <c r="AW45" s="46">
        <f t="shared" ref="AW45:AW73" si="47">IF(COS(RADIANS(AV45))&gt;=((TAN(RADIANS($AS$47)))/(TAN(RADIANS($A$43)))),AX45,IF(AT45&lt;12,AY45,AZ45))</f>
        <v>87.924654598380059</v>
      </c>
      <c r="AX45" s="46">
        <f t="shared" ref="AX45:AX74" si="48">DEGREES(ASIN(COS(RADIANS($AS$47))*SIN(RADIANS(AV45))/COS(RADIANS(AU45))))</f>
        <v>87.924654598380059</v>
      </c>
      <c r="AY45" s="46">
        <f t="shared" ref="AY45:AY74" si="49">180-AX45</f>
        <v>92.075345401619941</v>
      </c>
      <c r="AZ45" s="46">
        <f t="shared" ref="AZ45:AZ54" si="50">180-AX45-360</f>
        <v>-267.92465459838007</v>
      </c>
      <c r="BA45" s="46">
        <f t="shared" ref="BA45:BA67" si="51">ABS(1/SIN(RADIANS(AU45)))</f>
        <v>30.034180301224229</v>
      </c>
      <c r="BB45" s="46">
        <f t="shared" ref="BB45:BB74" si="52">IF(AU45&gt;0,$AS$51*EXP(-$AS$53*BA45),0)</f>
        <v>0</v>
      </c>
      <c r="BC45" s="47">
        <f>COS(RADIANS(AU45))*COS(RADIANS(AW45-Insolation!$L$6))*SIN(RADIANS(0))+(SIN(RADIANS(AU45))*COS(RADIANS(0)))</f>
        <v>-3.3295398441729365E-2</v>
      </c>
      <c r="BD45" s="47">
        <f>COS(RADIANS(AU45))*COS(RADIANS(AW45-Insolation!$L$6))*SIN(RADIANS(Insolation!$L$7))+SIN(RADIANS(AU45))*COS(RADIANS(Insolation!$L$7))</f>
        <v>3.6193611887535428E-2</v>
      </c>
      <c r="BE45" s="46">
        <f t="shared" ref="BE45:BE74" si="53">BB45*BC45</f>
        <v>0</v>
      </c>
      <c r="BF45" s="46">
        <f t="shared" ref="BF45:BF74" si="54">$AS$55*BB45</f>
        <v>0</v>
      </c>
      <c r="BG45" s="46">
        <f t="shared" ref="BG45:BG74" si="55">IF(BD45&lt;0,0,BB45*BD45)</f>
        <v>0</v>
      </c>
      <c r="BH45" s="46">
        <f>$AS$55*BB45*((1+COS(RADIANS(Insolation!$L$7)))/2)</f>
        <v>0</v>
      </c>
      <c r="BI45" s="46">
        <f t="shared" ref="BI45:BI74" si="56">BB45*COS(RADIANS($AS$47))</f>
        <v>0</v>
      </c>
      <c r="BJ45" s="46">
        <f t="shared" ref="BJ45:BJ74" si="57">$AS$55*BB45*((1+COS(RADIANS(90-AU45+$AS$47)))/2)</f>
        <v>0</v>
      </c>
      <c r="BK45" s="46">
        <f t="shared" ref="BK45:BK74" si="58">BB45</f>
        <v>0</v>
      </c>
      <c r="BL45" s="46">
        <f t="shared" ref="BL45:BL74" si="59">$AS$55*BB45*((1+COS(RADIANS(90-AU45)))/2)</f>
        <v>0</v>
      </c>
      <c r="BN45" s="212">
        <f>E41</f>
        <v>105</v>
      </c>
      <c r="BO45" s="212">
        <v>6</v>
      </c>
      <c r="BP45" s="46">
        <f t="shared" ref="BP45:BP74" si="60">DEGREES(ASIN(COS(RADIANS($A$43))*COS(RADIANS($BN$47))*COS(RADIANS(BQ45))+SIN(RADIANS($A$43))*SIN(RADIANS($BN$47))))</f>
        <v>6.3585300660539854</v>
      </c>
      <c r="BQ45" s="207">
        <f t="shared" si="16"/>
        <v>90</v>
      </c>
      <c r="BR45" s="46">
        <f t="shared" ref="BR45:BR74" si="61">IF(COS(RADIANS(BQ45))&gt;=((TAN(RADIANS($BN$47)))/(TAN(RADIANS($A$43)))),BS45,IF(BO45&lt;12,BT45,BU45))</f>
        <v>96.957614722340182</v>
      </c>
      <c r="BS45" s="46">
        <f t="shared" ref="BS45:BS74" si="62">DEGREES(ASIN(COS(RADIANS($BN$47))*SIN(RADIANS(BQ45))/COS(RADIANS(BP45))))</f>
        <v>83.042385277659818</v>
      </c>
      <c r="BT45" s="46">
        <f t="shared" ref="BT45:BT74" si="63">180-BS45</f>
        <v>96.957614722340182</v>
      </c>
      <c r="BU45" s="46">
        <f t="shared" ref="BU45:BU54" si="64">180-BS45-360</f>
        <v>-263.04238527765983</v>
      </c>
      <c r="BV45" s="46">
        <f t="shared" ref="BV45:BV67" si="65">ABS(1/SIN(RADIANS(BP45)))</f>
        <v>9.0293757925206375</v>
      </c>
      <c r="BW45" s="46">
        <f t="shared" ref="BW45:BW74" si="66">IF(BP45&gt;0,$BN$51*EXP(-$BN$53*BV45),0)</f>
        <v>231.36468524283646</v>
      </c>
      <c r="BX45" s="47">
        <f>COS(RADIANS(BP45))*COS(RADIANS(BR45-Insolation!$L$6))*SIN(RADIANS(0))+(SIN(RADIANS(BP45))*COS(RADIANS(0)))</f>
        <v>0.11074962688210814</v>
      </c>
      <c r="BY45" s="47">
        <f>COS(RADIANS(BP45))*COS(RADIANS(BR45-Insolation!$L$6))*SIN(RADIANS(Insolation!$L$7))+SIN(RADIANS(BP45))*COS(RADIANS(Insolation!$L$7))</f>
        <v>-0.12038987967287257</v>
      </c>
      <c r="BZ45" s="46">
        <f t="shared" ref="BZ45:BZ74" si="67">BW45*BX45</f>
        <v>25.623552564340528</v>
      </c>
      <c r="CA45" s="46">
        <f t="shared" ref="CA45:CA74" si="68">$BN$55*BW45</f>
        <v>22.775213842143586</v>
      </c>
      <c r="CB45" s="46">
        <f t="shared" ref="CB45:CB74" si="69">IF(BY45&lt;0,0,BW45*BY45)</f>
        <v>0</v>
      </c>
      <c r="CC45" s="46">
        <f>$BN$55*BW45*((1+COS(RADIANS(Insolation!$L$7)))/2)</f>
        <v>11.387606921071793</v>
      </c>
      <c r="CD45" s="46">
        <f t="shared" ref="CD45:CD74" si="70">BW45*COS(RADIANS($BN$47))</f>
        <v>228.24812742978159</v>
      </c>
      <c r="CE45" s="46">
        <f t="shared" ref="CE45:CE74" si="71">$BN$55*BW45*((1+COS(RADIANS(90-BP45+$BN$47)))/2)</f>
        <v>10.780438994381182</v>
      </c>
      <c r="CF45" s="46">
        <f t="shared" ref="CF45:CF74" si="72">BW45</f>
        <v>231.36468524283646</v>
      </c>
      <c r="CG45" s="46">
        <f t="shared" ref="CG45:CG74" si="73">$BN$55*BW45*((1+COS(RADIANS(90-BP45)))/2)</f>
        <v>12.648780138660607</v>
      </c>
      <c r="CI45" s="212">
        <f>F41</f>
        <v>135</v>
      </c>
      <c r="CJ45" s="212">
        <v>6</v>
      </c>
      <c r="CK45" s="46">
        <f t="shared" ref="CK45:CK74" si="74">DEGREES(ASIN(COS(RADIANS($A$43))*COS(RADIANS($CI$47))*COS(RADIANS(CL45))+SIN(RADIANS($A$43))*SIN(RADIANS($CI$47))))</f>
        <v>12.596992346674851</v>
      </c>
      <c r="CL45" s="207">
        <f t="shared" si="17"/>
        <v>90</v>
      </c>
      <c r="CM45" s="46">
        <f t="shared" ref="CM45:CM73" si="75">IF(COS(RADIANS(CL45))&gt;=((TAN(RADIANS($CI$47)))/(TAN(RADIANS($A$43)))),CN45,IF(CJ45&lt;12,CO45,CP45))</f>
        <v>104.05915432582222</v>
      </c>
      <c r="CN45" s="46">
        <f t="shared" ref="CN45:CN74" si="76">DEGREES(ASIN(COS(RADIANS($CI$47))*SIN(RADIANS(CL45))/COS(RADIANS(CK45))))</f>
        <v>75.94084567417778</v>
      </c>
      <c r="CO45" s="46">
        <f t="shared" ref="CO45:CO74" si="77">180-CN45</f>
        <v>104.05915432582222</v>
      </c>
      <c r="CP45" s="46">
        <f t="shared" ref="CP45:CP54" si="78">180-CN45-360</f>
        <v>-255.94084567417778</v>
      </c>
      <c r="CQ45" s="46">
        <f t="shared" ref="CQ45:CQ67" si="79">ABS(1/SIN(RADIANS(CK45)))</f>
        <v>4.5852206666999455</v>
      </c>
      <c r="CR45" s="46">
        <f t="shared" ref="CR45:CR74" si="80">IF(CK45&gt;0,$CI$51*EXP(-$CI$53*CQ45),0)</f>
        <v>456.3438796909474</v>
      </c>
      <c r="CS45" s="47">
        <f>COS(RADIANS(CK45))*COS(RADIANS(CM45-Insolation!$L$6))*SIN(RADIANS(0))+(SIN(RADIANS(CK45))*COS(RADIANS(0)))</f>
        <v>0.21809201185506205</v>
      </c>
      <c r="CT45" s="47">
        <f>COS(RADIANS(CK45))*COS(RADIANS(CM45-Insolation!$L$6))*SIN(RADIANS(Insolation!$L$7))+SIN(RADIANS(CK45))*COS(RADIANS(Insolation!$L$7))</f>
        <v>-0.23707593247961781</v>
      </c>
      <c r="CU45" s="46">
        <f t="shared" ref="CU45:CU74" si="81">CR45*CS45</f>
        <v>99.524954819543112</v>
      </c>
      <c r="CV45" s="46">
        <f t="shared" ref="CV45:CV74" si="82">$CI$55*CR45</f>
        <v>53.697103694382498</v>
      </c>
      <c r="CW45" s="46">
        <f t="shared" ref="CW45:CW74" si="83">IF(CT45&lt;0,0,CR45*CT45)</f>
        <v>0</v>
      </c>
      <c r="CX45" s="46">
        <f>$CI$55*CR45*((1+COS(RADIANS(Insolation!$L$7)))/2)</f>
        <v>26.848551847191249</v>
      </c>
      <c r="CY45" s="46">
        <f t="shared" ref="CY45:CY74" si="84">CR45*COS(RADIANS($CI$47))</f>
        <v>432.01833748587762</v>
      </c>
      <c r="CZ45" s="46">
        <f>$CI$55*CR45*((1+COS(RADIANS(90-CK45+$CI$47)))/2)</f>
        <v>23.951289690846334</v>
      </c>
      <c r="DA45" s="46">
        <f t="shared" ref="DA45:DA74" si="85">CR45</f>
        <v>456.3438796909474</v>
      </c>
      <c r="DB45" s="46">
        <f t="shared" ref="DB45:DB74" si="86">$CI$55*CR45*((1+COS(RADIANS(90-CK45)))/2)</f>
        <v>32.704006534940135</v>
      </c>
      <c r="DD45" s="212">
        <f>G41</f>
        <v>166</v>
      </c>
      <c r="DE45" s="212">
        <v>6</v>
      </c>
      <c r="DF45" s="46">
        <f t="shared" ref="DF45:DF74" si="87">DEGREES(ASIN(COS(RADIANS($A$43))*COS(RADIANS($DD$47))*COS(RADIANS(DG45))+SIN(RADIANS($A$43))*SIN(RADIANS($DD$47))))</f>
        <v>15.542386139684645</v>
      </c>
      <c r="DG45" s="207">
        <f t="shared" si="18"/>
        <v>90</v>
      </c>
      <c r="DH45" s="46">
        <f t="shared" ref="DH45:DH74" si="88">IF(COS(RADIANS(DG45))&gt;=((TAN(RADIANS($DD$47)))/(TAN(RADIANS($A$43)))),DI45,IF(DE45&lt;12,DJ45,DK45))</f>
        <v>107.59763741858691</v>
      </c>
      <c r="DI45" s="46">
        <f t="shared" ref="DI45:DI74" si="89">DEGREES(ASIN(COS(RADIANS($DD$47))*SIN(RADIANS(DG45))/COS(RADIANS(DF45))))</f>
        <v>72.402362581413087</v>
      </c>
      <c r="DJ45" s="46">
        <f t="shared" ref="DJ45:DJ74" si="90">180-DI45</f>
        <v>107.59763741858691</v>
      </c>
      <c r="DK45" s="46">
        <f t="shared" ref="DK45:DK54" si="91">180-DI45-360</f>
        <v>-252.40236258141309</v>
      </c>
      <c r="DL45" s="46">
        <f t="shared" ref="DL45:DL67" si="92">ABS(1/SIN(RADIANS(DF45)))</f>
        <v>3.7320231913298265</v>
      </c>
      <c r="DM45" s="46">
        <f t="shared" ref="DM45:DM74" si="93">IF(DF45&gt;0,$DD$51*EXP(-$DD$53*DL45),0)</f>
        <v>505.06392725945642</v>
      </c>
      <c r="DN45" s="47">
        <f>COS(RADIANS(DF45))*COS(RADIANS(DH45-Insolation!$L$6))*SIN(RADIANS(0))+(SIN(RADIANS(DF45))*COS(RADIANS(0)))</f>
        <v>0.26795117520255052</v>
      </c>
      <c r="DO45" s="47">
        <f>COS(RADIANS(DF45))*COS(RADIANS(DH45-Insolation!$L$6))*SIN(RADIANS(Insolation!$L$7))+SIN(RADIANS(DF45))*COS(RADIANS(Insolation!$L$7))</f>
        <v>-0.29127510989430816</v>
      </c>
      <c r="DP45" s="46">
        <f t="shared" ref="DP45:DP74" si="94">DM45*DN45</f>
        <v>135.33247286158684</v>
      </c>
      <c r="DQ45" s="46">
        <f t="shared" ref="DQ45:DQ74" si="95">$DD$55*DM45</f>
        <v>66.305071424555265</v>
      </c>
      <c r="DR45" s="46">
        <f t="shared" ref="DR45:DR74" si="96">IF(DO45&lt;0,0,DM45*DO45)</f>
        <v>0</v>
      </c>
      <c r="DS45" s="46">
        <f>$DD$55*DM45*((1+COS(RADIANS(Insolation!$L$7)))/2)</f>
        <v>33.152535712277633</v>
      </c>
      <c r="DT45" s="46">
        <f t="shared" ref="DT45:DT74" si="97">DM45*COS(RADIANS($DD$47))</f>
        <v>463.82387796539405</v>
      </c>
      <c r="DU45" s="46">
        <f t="shared" ref="DU45:DU74" si="98">$DD$55*DM45*((1+COS(RADIANS(90-DF45+$DD$47)))/2)</f>
        <v>28.669258743082686</v>
      </c>
      <c r="DV45" s="46">
        <f t="shared" ref="DV45:DV74" si="99">DM45</f>
        <v>505.06392725945642</v>
      </c>
      <c r="DW45" s="46">
        <f t="shared" ref="DW45:DW74" si="100">$DD$55*DM45*((1+COS(RADIANS(90-DF45)))/2)</f>
        <v>42.035796617326959</v>
      </c>
    </row>
    <row r="46" spans="1:127" x14ac:dyDescent="0.25">
      <c r="A46" s="231"/>
      <c r="C46" s="236" t="s">
        <v>177</v>
      </c>
      <c r="D46" s="212">
        <v>6.5</v>
      </c>
      <c r="E46" s="46">
        <f t="shared" si="12"/>
        <v>-8.9792078565309392</v>
      </c>
      <c r="F46" s="207">
        <f t="shared" si="13"/>
        <v>82.5</v>
      </c>
      <c r="G46" s="46">
        <f t="shared" si="19"/>
        <v>69.288847208938606</v>
      </c>
      <c r="H46" s="46">
        <f t="shared" si="20"/>
        <v>69.288847208938606</v>
      </c>
      <c r="I46" s="46">
        <f t="shared" si="21"/>
        <v>110.71115279106139</v>
      </c>
      <c r="J46" s="46">
        <f t="shared" si="22"/>
        <v>-249.28884720893859</v>
      </c>
      <c r="K46" s="46">
        <f t="shared" si="23"/>
        <v>6.4071337055205637</v>
      </c>
      <c r="L46" s="46">
        <f t="shared" si="24"/>
        <v>0</v>
      </c>
      <c r="M46" s="47">
        <f>COS(RADIANS(E46))*COS(RADIANS(G46-Insolation!$L$6))*SIN(RADIANS(0))+(SIN(RADIANS(E46))*COS(RADIANS(0)))</f>
        <v>-0.1560760311804282</v>
      </c>
      <c r="N46" s="47">
        <f>COS(RADIANS(E46))*COS(RADIANS(G46-Insolation!$L$6))*SIN(RADIANS(Insolation!$L$7))+SIN(RADIANS(E46))*COS(RADIANS(Insolation!$L$7))</f>
        <v>0.34932287405293166</v>
      </c>
      <c r="O46" s="46">
        <f t="shared" si="25"/>
        <v>0</v>
      </c>
      <c r="P46" s="46">
        <f t="shared" si="26"/>
        <v>0</v>
      </c>
      <c r="Q46" s="46">
        <f t="shared" si="27"/>
        <v>0</v>
      </c>
      <c r="R46" s="46">
        <f>$C$55*L46*((1+COS(RADIANS(Insolation!$L$7)))/2)</f>
        <v>0</v>
      </c>
      <c r="S46" s="46">
        <f t="shared" si="28"/>
        <v>0</v>
      </c>
      <c r="T46" s="46">
        <f t="shared" si="29"/>
        <v>0</v>
      </c>
      <c r="U46" s="46">
        <f t="shared" si="30"/>
        <v>0</v>
      </c>
      <c r="V46" s="46">
        <f t="shared" si="31"/>
        <v>0</v>
      </c>
      <c r="X46" s="236" t="s">
        <v>177</v>
      </c>
      <c r="Y46" s="212">
        <v>6.5</v>
      </c>
      <c r="Z46" s="46">
        <f t="shared" si="32"/>
        <v>-3.5623970281702753</v>
      </c>
      <c r="AA46" s="207">
        <f t="shared" si="14"/>
        <v>82.5</v>
      </c>
      <c r="AB46" s="46">
        <f t="shared" si="33"/>
        <v>75.186774591572046</v>
      </c>
      <c r="AC46" s="46">
        <f t="shared" si="34"/>
        <v>75.186774591572046</v>
      </c>
      <c r="AD46" s="46">
        <f t="shared" si="35"/>
        <v>104.81322540842795</v>
      </c>
      <c r="AE46" s="46">
        <f t="shared" si="36"/>
        <v>-255.18677459157203</v>
      </c>
      <c r="AF46" s="46">
        <f t="shared" si="37"/>
        <v>16.093857979891986</v>
      </c>
      <c r="AG46" s="46">
        <f t="shared" si="38"/>
        <v>0</v>
      </c>
      <c r="AH46" s="47">
        <f>COS(RADIANS(Z46))*COS(RADIANS(AB46-Insolation!$L$6))*SIN(RADIANS(0))+(SIN(RADIANS(Z46))*COS(RADIANS(0)))</f>
        <v>-6.2135505436261562E-2</v>
      </c>
      <c r="AI46" s="47">
        <f>COS(RADIANS(Z46))*COS(RADIANS(AB46-Insolation!$L$6))*SIN(RADIANS(Insolation!$L$7))+SIN(RADIANS(Z46))*COS(RADIANS(Insolation!$L$7))</f>
        <v>0.25517489672824506</v>
      </c>
      <c r="AJ46" s="46">
        <f t="shared" si="39"/>
        <v>0</v>
      </c>
      <c r="AK46" s="46">
        <f t="shared" si="40"/>
        <v>0</v>
      </c>
      <c r="AL46" s="46">
        <f t="shared" si="41"/>
        <v>0</v>
      </c>
      <c r="AM46" s="46">
        <f>$X$55*AG46*((1+COS(RADIANS(Insolation!$L$7)))/2)</f>
        <v>0</v>
      </c>
      <c r="AN46" s="46">
        <f t="shared" si="42"/>
        <v>0</v>
      </c>
      <c r="AO46" s="46">
        <f t="shared" si="43"/>
        <v>0</v>
      </c>
      <c r="AP46" s="46">
        <f t="shared" si="44"/>
        <v>0</v>
      </c>
      <c r="AQ46" s="46">
        <f t="shared" si="45"/>
        <v>0</v>
      </c>
      <c r="AS46" s="236" t="s">
        <v>177</v>
      </c>
      <c r="AT46" s="212">
        <v>6.5</v>
      </c>
      <c r="AU46" s="46">
        <f t="shared" si="46"/>
        <v>3.5919467836917938</v>
      </c>
      <c r="AV46" s="207">
        <f t="shared" si="15"/>
        <v>82.5</v>
      </c>
      <c r="AW46" s="46">
        <f t="shared" si="47"/>
        <v>82.836490648886709</v>
      </c>
      <c r="AX46" s="46">
        <f t="shared" si="48"/>
        <v>82.836490648886709</v>
      </c>
      <c r="AY46" s="46">
        <f t="shared" si="49"/>
        <v>97.163509351113291</v>
      </c>
      <c r="AZ46" s="46">
        <f t="shared" si="50"/>
        <v>-262.83649064888669</v>
      </c>
      <c r="BA46" s="46">
        <f t="shared" si="51"/>
        <v>15.961630507310762</v>
      </c>
      <c r="BB46" s="46">
        <f t="shared" si="52"/>
        <v>93.753268069745261</v>
      </c>
      <c r="BC46" s="47">
        <f>COS(RADIANS(AU46))*COS(RADIANS(AW46-Insolation!$L$6))*SIN(RADIANS(0))+(SIN(RADIANS(AU46))*COS(RADIANS(0)))</f>
        <v>6.265024112304686E-2</v>
      </c>
      <c r="BD46" s="47">
        <f>COS(RADIANS(AU46))*COS(RADIANS(AW46-Insolation!$L$6))*SIN(RADIANS(Insolation!$L$7))+SIN(RADIANS(AU46))*COS(RADIANS(Insolation!$L$7))</f>
        <v>0.12445637792432476</v>
      </c>
      <c r="BE46" s="46">
        <f t="shared" si="53"/>
        <v>5.8736648506431903</v>
      </c>
      <c r="BF46" s="46">
        <f t="shared" si="54"/>
        <v>7.2835954209288634</v>
      </c>
      <c r="BG46" s="46">
        <f t="shared" si="55"/>
        <v>11.668192162528745</v>
      </c>
      <c r="BH46" s="46">
        <f>$AS$55*BB46*((1+COS(RADIANS(Insolation!$L$7)))/2)</f>
        <v>3.6417977104644317</v>
      </c>
      <c r="BI46" s="46">
        <f t="shared" si="56"/>
        <v>93.639825432712144</v>
      </c>
      <c r="BJ46" s="46">
        <f t="shared" si="57"/>
        <v>4.0484287966242745</v>
      </c>
      <c r="BK46" s="46">
        <f t="shared" si="58"/>
        <v>93.753268069745261</v>
      </c>
      <c r="BL46" s="46">
        <f t="shared" si="59"/>
        <v>3.8699572151463886</v>
      </c>
      <c r="BN46" s="236" t="s">
        <v>177</v>
      </c>
      <c r="BO46" s="212">
        <v>6.5</v>
      </c>
      <c r="BP46" s="46">
        <f t="shared" si="60"/>
        <v>11.859795714406513</v>
      </c>
      <c r="BQ46" s="207">
        <f t="shared" si="16"/>
        <v>82.5</v>
      </c>
      <c r="BR46" s="46">
        <f t="shared" si="61"/>
        <v>91.944702685804018</v>
      </c>
      <c r="BS46" s="46">
        <f t="shared" si="62"/>
        <v>88.055297314195982</v>
      </c>
      <c r="BT46" s="46">
        <f t="shared" si="63"/>
        <v>91.944702685804018</v>
      </c>
      <c r="BU46" s="46">
        <f t="shared" si="64"/>
        <v>-268.05529731419597</v>
      </c>
      <c r="BV46" s="46">
        <f t="shared" si="65"/>
        <v>4.86576526964532</v>
      </c>
      <c r="BW46" s="46">
        <f t="shared" si="66"/>
        <v>483.47072189162287</v>
      </c>
      <c r="BX46" s="47">
        <f>COS(RADIANS(BP46))*COS(RADIANS(BR46-Insolation!$L$6))*SIN(RADIANS(0))+(SIN(RADIANS(BP46))*COS(RADIANS(0)))</f>
        <v>0.20551751771471971</v>
      </c>
      <c r="BY46" s="47">
        <f>COS(RADIANS(BP46))*COS(RADIANS(BR46-Insolation!$L$6))*SIN(RADIANS(Insolation!$L$7))+SIN(RADIANS(BP46))*COS(RADIANS(Insolation!$L$7))</f>
        <v>-3.3210553813961749E-2</v>
      </c>
      <c r="BZ46" s="46">
        <f t="shared" si="67"/>
        <v>99.361702650909933</v>
      </c>
      <c r="CA46" s="46">
        <f t="shared" si="68"/>
        <v>47.592177111818629</v>
      </c>
      <c r="CB46" s="46">
        <f t="shared" si="69"/>
        <v>0</v>
      </c>
      <c r="CC46" s="46">
        <f>$BN$55*BW46*((1+COS(RADIANS(Insolation!$L$7)))/2)</f>
        <v>23.796088555909314</v>
      </c>
      <c r="CD46" s="46">
        <f t="shared" si="70"/>
        <v>476.95821349340673</v>
      </c>
      <c r="CE46" s="46">
        <f t="shared" si="71"/>
        <v>24.811197509777337</v>
      </c>
      <c r="CF46" s="46">
        <f t="shared" si="72"/>
        <v>483.47072189162287</v>
      </c>
      <c r="CG46" s="46">
        <f t="shared" si="73"/>
        <v>28.686601607239446</v>
      </c>
      <c r="CI46" s="236" t="s">
        <v>177</v>
      </c>
      <c r="CJ46" s="212">
        <v>6.5</v>
      </c>
      <c r="CK46" s="46">
        <f t="shared" si="74"/>
        <v>18.000981209772402</v>
      </c>
      <c r="CL46" s="207">
        <f t="shared" si="17"/>
        <v>82.5</v>
      </c>
      <c r="CM46" s="46">
        <f t="shared" si="75"/>
        <v>99.283108562860804</v>
      </c>
      <c r="CN46" s="46">
        <f t="shared" si="76"/>
        <v>80.716891437139196</v>
      </c>
      <c r="CO46" s="46">
        <f t="shared" si="77"/>
        <v>99.283108562860804</v>
      </c>
      <c r="CP46" s="46">
        <f t="shared" si="78"/>
        <v>-260.71689143713922</v>
      </c>
      <c r="CQ46" s="46">
        <f t="shared" si="79"/>
        <v>3.2358974255329427</v>
      </c>
      <c r="CR46" s="46">
        <f t="shared" si="80"/>
        <v>592.76150018712292</v>
      </c>
      <c r="CS46" s="47">
        <f>COS(RADIANS(CK46))*COS(RADIANS(CM46-Insolation!$L$6))*SIN(RADIANS(0))+(SIN(RADIANS(CK46))*COS(RADIANS(0)))</f>
        <v>0.30903328149695691</v>
      </c>
      <c r="CT46" s="47">
        <f>COS(RADIANS(CK46))*COS(RADIANS(CM46-Insolation!$L$6))*SIN(RADIANS(Insolation!$L$7))+SIN(RADIANS(CK46))*COS(RADIANS(Insolation!$L$7))</f>
        <v>-0.15341681006507388</v>
      </c>
      <c r="CU46" s="46">
        <f t="shared" si="81"/>
        <v>183.18303154788563</v>
      </c>
      <c r="CV46" s="46">
        <f t="shared" si="82"/>
        <v>69.749101846488685</v>
      </c>
      <c r="CW46" s="46">
        <f t="shared" si="83"/>
        <v>0</v>
      </c>
      <c r="CX46" s="46">
        <f>$CI$55*CR46*((1+COS(RADIANS(Insolation!$L$7)))/2)</f>
        <v>34.874550923244342</v>
      </c>
      <c r="CY46" s="46">
        <f t="shared" si="84"/>
        <v>561.16417735218636</v>
      </c>
      <c r="CZ46" s="46">
        <f t="shared" ref="CZ46:CZ74" si="101">$CI$55*CR46*((1+COS(RADIANS(90-CK46+$CI$47)))/2)</f>
        <v>34.393142471786888</v>
      </c>
      <c r="DA46" s="46">
        <f t="shared" si="85"/>
        <v>592.76150018712292</v>
      </c>
      <c r="DB46" s="46">
        <f t="shared" si="86"/>
        <v>45.651947835787269</v>
      </c>
      <c r="DD46" s="236" t="s">
        <v>177</v>
      </c>
      <c r="DE46" s="212">
        <v>6.5</v>
      </c>
      <c r="DF46" s="46">
        <f t="shared" si="87"/>
        <v>20.8651249945332</v>
      </c>
      <c r="DG46" s="207">
        <f t="shared" si="18"/>
        <v>82.5</v>
      </c>
      <c r="DH46" s="46">
        <f t="shared" si="88"/>
        <v>102.99509082482635</v>
      </c>
      <c r="DI46" s="46">
        <f t="shared" si="89"/>
        <v>77.004909175173651</v>
      </c>
      <c r="DJ46" s="46">
        <f t="shared" si="90"/>
        <v>102.99509082482635</v>
      </c>
      <c r="DK46" s="46">
        <f t="shared" si="91"/>
        <v>-257.00490917517368</v>
      </c>
      <c r="DL46" s="46">
        <f t="shared" si="92"/>
        <v>2.8076535649916958</v>
      </c>
      <c r="DM46" s="46">
        <f t="shared" si="93"/>
        <v>610.86127376952822</v>
      </c>
      <c r="DN46" s="47">
        <f>COS(RADIANS(DF46))*COS(RADIANS(DH46-Insolation!$L$6))*SIN(RADIANS(0))+(SIN(RADIANS(DF46))*COS(RADIANS(0)))</f>
        <v>0.3561692982599004</v>
      </c>
      <c r="DO46" s="47">
        <f>COS(RADIANS(DF46))*COS(RADIANS(DH46-Insolation!$L$6))*SIN(RADIANS(Insolation!$L$7))+SIN(RADIANS(DF46))*COS(RADIANS(Insolation!$L$7))</f>
        <v>-0.21012107735113181</v>
      </c>
      <c r="DP46" s="46">
        <f t="shared" si="94"/>
        <v>217.57003121264177</v>
      </c>
      <c r="DQ46" s="46">
        <f t="shared" si="95"/>
        <v>80.19420552871216</v>
      </c>
      <c r="DR46" s="46">
        <f t="shared" si="96"/>
        <v>0</v>
      </c>
      <c r="DS46" s="46">
        <f>$DD$55*DM46*((1+COS(RADIANS(Insolation!$L$7)))/2)</f>
        <v>40.09710276435608</v>
      </c>
      <c r="DT46" s="46">
        <f t="shared" si="97"/>
        <v>560.98254024210348</v>
      </c>
      <c r="DU46" s="46">
        <f t="shared" si="98"/>
        <v>38.383550360498397</v>
      </c>
      <c r="DV46" s="46">
        <f t="shared" si="99"/>
        <v>610.86127376952822</v>
      </c>
      <c r="DW46" s="46">
        <f t="shared" si="100"/>
        <v>54.378459718191891</v>
      </c>
    </row>
    <row r="47" spans="1:127" x14ac:dyDescent="0.25">
      <c r="A47" s="212"/>
      <c r="C47" s="46">
        <f>23.45*SIN(RADIANS(360/365*(C45-81)))</f>
        <v>-21.269473910221812</v>
      </c>
      <c r="D47" s="212">
        <v>7</v>
      </c>
      <c r="E47" s="46">
        <f t="shared" si="12"/>
        <v>-3.9042407243203359</v>
      </c>
      <c r="F47" s="207">
        <f t="shared" si="13"/>
        <v>75</v>
      </c>
      <c r="G47" s="46">
        <f t="shared" si="19"/>
        <v>64.452129257763744</v>
      </c>
      <c r="H47" s="46">
        <f t="shared" si="20"/>
        <v>64.452129257763744</v>
      </c>
      <c r="I47" s="46">
        <f t="shared" si="21"/>
        <v>115.54787074223626</v>
      </c>
      <c r="J47" s="46">
        <f t="shared" si="22"/>
        <v>-244.45212925776374</v>
      </c>
      <c r="K47" s="46">
        <f t="shared" si="23"/>
        <v>14.686631271364059</v>
      </c>
      <c r="L47" s="46">
        <f t="shared" si="24"/>
        <v>0</v>
      </c>
      <c r="M47" s="47">
        <f>COS(RADIANS(E47))*COS(RADIANS(G47-Insolation!$L$6))*SIN(RADIANS(0))+(SIN(RADIANS(E47))*COS(RADIANS(0)))</f>
        <v>-6.808913368376017E-2</v>
      </c>
      <c r="N47" s="47">
        <f>COS(RADIANS(E47))*COS(RADIANS(G47-Insolation!$L$6))*SIN(RADIANS(Insolation!$L$7))+SIN(RADIANS(E47))*COS(RADIANS(Insolation!$L$7))</f>
        <v>0.43026419648591713</v>
      </c>
      <c r="O47" s="46">
        <f t="shared" si="25"/>
        <v>0</v>
      </c>
      <c r="P47" s="46">
        <f t="shared" si="26"/>
        <v>0</v>
      </c>
      <c r="Q47" s="46">
        <f t="shared" si="27"/>
        <v>0</v>
      </c>
      <c r="R47" s="46">
        <f>$C$55*L47*((1+COS(RADIANS(Insolation!$L$7)))/2)</f>
        <v>0</v>
      </c>
      <c r="S47" s="46">
        <f t="shared" si="28"/>
        <v>0</v>
      </c>
      <c r="T47" s="46">
        <f t="shared" si="29"/>
        <v>0</v>
      </c>
      <c r="U47" s="46">
        <f t="shared" si="30"/>
        <v>0</v>
      </c>
      <c r="V47" s="46">
        <f t="shared" si="31"/>
        <v>0</v>
      </c>
      <c r="X47" s="46">
        <f>23.45*SIN(RADIANS(360/365*(X45-81)))</f>
        <v>-13.289156185026709</v>
      </c>
      <c r="Y47" s="212">
        <v>7</v>
      </c>
      <c r="Z47" s="46">
        <f t="shared" si="32"/>
        <v>1.7050549564961923</v>
      </c>
      <c r="AA47" s="207">
        <f t="shared" si="14"/>
        <v>75</v>
      </c>
      <c r="AB47" s="46">
        <f t="shared" si="33"/>
        <v>70.131826047998103</v>
      </c>
      <c r="AC47" s="46">
        <f t="shared" si="34"/>
        <v>70.131826047998103</v>
      </c>
      <c r="AD47" s="46">
        <f t="shared" si="35"/>
        <v>109.8681739520019</v>
      </c>
      <c r="AE47" s="46">
        <f t="shared" si="36"/>
        <v>-250.13182604799812</v>
      </c>
      <c r="AF47" s="46">
        <f t="shared" si="37"/>
        <v>33.608439954771534</v>
      </c>
      <c r="AG47" s="46">
        <f t="shared" si="38"/>
        <v>8.9916938996882756</v>
      </c>
      <c r="AH47" s="47">
        <f>COS(RADIANS(Z47))*COS(RADIANS(AB47-Insolation!$L$6))*SIN(RADIANS(0))+(SIN(RADIANS(Z47))*COS(RADIANS(0)))</f>
        <v>2.9754430772322288E-2</v>
      </c>
      <c r="AI47" s="47">
        <f>COS(RADIANS(Z47))*COS(RADIANS(AB47-Insolation!$L$6))*SIN(RADIANS(Insolation!$L$7))+SIN(RADIANS(Z47))*COS(RADIANS(Insolation!$L$7))</f>
        <v>0.33970672097272536</v>
      </c>
      <c r="AJ47" s="46">
        <f t="shared" si="39"/>
        <v>0.2675427336641874</v>
      </c>
      <c r="AK47" s="46">
        <f t="shared" si="40"/>
        <v>0.56598717615087435</v>
      </c>
      <c r="AL47" s="46">
        <f t="shared" si="41"/>
        <v>3.0545388506535618</v>
      </c>
      <c r="AM47" s="46">
        <f>$X$55*AG47*((1+COS(RADIANS(Insolation!$L$7)))/2)</f>
        <v>0.28299358807543717</v>
      </c>
      <c r="AN47" s="46">
        <f t="shared" si="42"/>
        <v>8.7509178687800127</v>
      </c>
      <c r="AO47" s="46">
        <f t="shared" si="43"/>
        <v>0.35621010003614201</v>
      </c>
      <c r="AP47" s="46">
        <f t="shared" si="44"/>
        <v>8.9916938996882756</v>
      </c>
      <c r="AQ47" s="46">
        <f t="shared" si="45"/>
        <v>0.29141390120083888</v>
      </c>
      <c r="AS47" s="46">
        <f>23.45*SIN(RADIANS(360/365*(AS45-81)))</f>
        <v>-2.8188786528898206</v>
      </c>
      <c r="AT47" s="212">
        <v>7</v>
      </c>
      <c r="AU47" s="46">
        <f t="shared" si="46"/>
        <v>9.0301524753939368</v>
      </c>
      <c r="AV47" s="207">
        <f t="shared" si="15"/>
        <v>75</v>
      </c>
      <c r="AW47" s="46">
        <f t="shared" si="47"/>
        <v>77.651372093381738</v>
      </c>
      <c r="AX47" s="46">
        <f t="shared" si="48"/>
        <v>77.651372093381738</v>
      </c>
      <c r="AY47" s="46">
        <f t="shared" si="49"/>
        <v>102.34862790661826</v>
      </c>
      <c r="AZ47" s="46">
        <f t="shared" si="50"/>
        <v>-257.65137209338172</v>
      </c>
      <c r="BA47" s="46">
        <f t="shared" si="51"/>
        <v>6.3712843992385997</v>
      </c>
      <c r="BB47" s="46">
        <f t="shared" si="52"/>
        <v>430.14414621528459</v>
      </c>
      <c r="BC47" s="47">
        <f>COS(RADIANS(AU47))*COS(RADIANS(AW47-Insolation!$L$6))*SIN(RADIANS(0))+(SIN(RADIANS(AU47))*COS(RADIANS(0)))</f>
        <v>0.1569542241937128</v>
      </c>
      <c r="BD47" s="47">
        <f>COS(RADIANS(AU47))*COS(RADIANS(AW47-Insolation!$L$6))*SIN(RADIANS(Insolation!$L$7))+SIN(RADIANS(AU47))*COS(RADIANS(Insolation!$L$7))</f>
        <v>0.21120894356316455</v>
      </c>
      <c r="BE47" s="46">
        <f t="shared" si="53"/>
        <v>67.512940760686959</v>
      </c>
      <c r="BF47" s="46">
        <f t="shared" si="54"/>
        <v>33.417458380035271</v>
      </c>
      <c r="BG47" s="46">
        <f t="shared" si="55"/>
        <v>90.850290702009644</v>
      </c>
      <c r="BH47" s="46">
        <f>$AS$55*BB47*((1+COS(RADIANS(Insolation!$L$7)))/2)</f>
        <v>16.708729190017635</v>
      </c>
      <c r="BI47" s="46">
        <f t="shared" si="56"/>
        <v>429.6236663722276</v>
      </c>
      <c r="BJ47" s="46">
        <f t="shared" si="57"/>
        <v>20.139593493952827</v>
      </c>
      <c r="BK47" s="46">
        <f t="shared" si="58"/>
        <v>430.14414621528459</v>
      </c>
      <c r="BL47" s="46">
        <f t="shared" si="59"/>
        <v>19.331234817299695</v>
      </c>
      <c r="BN47" s="46">
        <f>23.45*SIN(RADIANS(360/365*(BN45-81)))</f>
        <v>9.4148933468800671</v>
      </c>
      <c r="BO47" s="212">
        <v>7</v>
      </c>
      <c r="BP47" s="46">
        <f t="shared" si="60"/>
        <v>17.377371748436321</v>
      </c>
      <c r="BQ47" s="207">
        <f t="shared" si="16"/>
        <v>75</v>
      </c>
      <c r="BR47" s="46">
        <f t="shared" si="61"/>
        <v>86.847898794944768</v>
      </c>
      <c r="BS47" s="46">
        <f t="shared" si="62"/>
        <v>86.847898794944768</v>
      </c>
      <c r="BT47" s="46">
        <f t="shared" si="63"/>
        <v>93.152101205055232</v>
      </c>
      <c r="BU47" s="46">
        <f t="shared" si="64"/>
        <v>-266.84789879494474</v>
      </c>
      <c r="BV47" s="46">
        <f t="shared" si="65"/>
        <v>3.3482452607882669</v>
      </c>
      <c r="BW47" s="46">
        <f t="shared" si="66"/>
        <v>632.45249158380568</v>
      </c>
      <c r="BX47" s="47">
        <f>COS(RADIANS(BP47))*COS(RADIANS(BR47-Insolation!$L$6))*SIN(RADIANS(0))+(SIN(RADIANS(BP47))*COS(RADIANS(0)))</f>
        <v>0.29866390366056195</v>
      </c>
      <c r="BY47" s="47">
        <f>COS(RADIANS(BP47))*COS(RADIANS(BR47-Insolation!$L$6))*SIN(RADIANS(Insolation!$L$7))+SIN(RADIANS(BP47))*COS(RADIANS(Insolation!$L$7))</f>
        <v>5.2477109608824714E-2</v>
      </c>
      <c r="BZ47" s="46">
        <f t="shared" si="67"/>
        <v>188.89073001626809</v>
      </c>
      <c r="CA47" s="46">
        <f t="shared" si="68"/>
        <v>62.257732746461478</v>
      </c>
      <c r="CB47" s="46">
        <f t="shared" si="69"/>
        <v>33.189278723217662</v>
      </c>
      <c r="CC47" s="46">
        <f>$BN$55*BW47*((1+COS(RADIANS(Insolation!$L$7)))/2)</f>
        <v>31.128866373230739</v>
      </c>
      <c r="CD47" s="46">
        <f>BW47*COS(RADIANS($BN$47))</f>
        <v>623.93315012958715</v>
      </c>
      <c r="CE47" s="46">
        <f t="shared" si="71"/>
        <v>35.440979168944608</v>
      </c>
      <c r="CF47" s="46">
        <f t="shared" si="72"/>
        <v>632.45249158380568</v>
      </c>
      <c r="CG47" s="46">
        <f t="shared" si="73"/>
        <v>40.425935120787834</v>
      </c>
      <c r="CI47" s="46">
        <f>23.45*SIN(RADIANS(360/365*(CI45-81)))</f>
        <v>18.791917517696163</v>
      </c>
      <c r="CJ47" s="212">
        <v>7</v>
      </c>
      <c r="CK47" s="46">
        <f t="shared" si="74"/>
        <v>23.479349740030724</v>
      </c>
      <c r="CL47" s="207">
        <f t="shared" si="17"/>
        <v>75</v>
      </c>
      <c r="CM47" s="46">
        <f t="shared" si="75"/>
        <v>94.45151092742266</v>
      </c>
      <c r="CN47" s="46">
        <f t="shared" si="76"/>
        <v>85.54848907257734</v>
      </c>
      <c r="CO47" s="46">
        <f t="shared" si="77"/>
        <v>94.45151092742266</v>
      </c>
      <c r="CP47" s="46">
        <f t="shared" si="78"/>
        <v>-265.54848907257735</v>
      </c>
      <c r="CQ47" s="46">
        <f t="shared" si="79"/>
        <v>2.5099234794307677</v>
      </c>
      <c r="CR47" s="46">
        <f t="shared" si="80"/>
        <v>682.32833229723269</v>
      </c>
      <c r="CS47" s="47">
        <f>COS(RADIANS(CK47))*COS(RADIANS(CM47-Insolation!$L$6))*SIN(RADIANS(0))+(SIN(RADIANS(CK47))*COS(RADIANS(0)))</f>
        <v>0.3984185208015954</v>
      </c>
      <c r="CT47" s="47">
        <f>COS(RADIANS(CK47))*COS(RADIANS(CM47-Insolation!$L$6))*SIN(RADIANS(Insolation!$L$7))+SIN(RADIANS(CK47))*COS(RADIANS(Insolation!$L$7))</f>
        <v>-7.1189118429733966E-2</v>
      </c>
      <c r="CU47" s="46">
        <f t="shared" si="81"/>
        <v>271.85224485488288</v>
      </c>
      <c r="CV47" s="46">
        <f t="shared" si="82"/>
        <v>80.288258139438355</v>
      </c>
      <c r="CW47" s="46">
        <f t="shared" si="83"/>
        <v>0</v>
      </c>
      <c r="CX47" s="46">
        <f>$CI$55*CR47*((1+COS(RADIANS(Insolation!$L$7)))/2)</f>
        <v>40.144129069719177</v>
      </c>
      <c r="CY47" s="46">
        <f t="shared" si="84"/>
        <v>645.95662362820883</v>
      </c>
      <c r="CZ47" s="46">
        <f t="shared" si="101"/>
        <v>43.424703088058344</v>
      </c>
      <c r="DA47" s="46">
        <f t="shared" si="85"/>
        <v>682.32833229723269</v>
      </c>
      <c r="DB47" s="46">
        <f t="shared" si="86"/>
        <v>56.138293592545025</v>
      </c>
      <c r="DD47" s="46">
        <f>23.45*SIN(RADIANS(360/365*(DD45-81)))</f>
        <v>23.31440991666317</v>
      </c>
      <c r="DE47" s="212">
        <v>7</v>
      </c>
      <c r="DF47" s="46">
        <f t="shared" si="87"/>
        <v>26.287652571717953</v>
      </c>
      <c r="DG47" s="207">
        <f t="shared" si="18"/>
        <v>75</v>
      </c>
      <c r="DH47" s="46">
        <f t="shared" si="88"/>
        <v>98.359965370074846</v>
      </c>
      <c r="DI47" s="46">
        <f t="shared" si="89"/>
        <v>81.640034629925154</v>
      </c>
      <c r="DJ47" s="46">
        <f t="shared" si="90"/>
        <v>98.359965370074846</v>
      </c>
      <c r="DK47" s="46">
        <f t="shared" si="91"/>
        <v>-261.64003462992514</v>
      </c>
      <c r="DL47" s="46">
        <f t="shared" si="92"/>
        <v>2.2579582512154759</v>
      </c>
      <c r="DM47" s="46">
        <f t="shared" si="93"/>
        <v>684.00635850138042</v>
      </c>
      <c r="DN47" s="47">
        <f>COS(RADIANS(DF47))*COS(RADIANS(DH47-Insolation!$L$6))*SIN(RADIANS(0))+(SIN(RADIANS(DF47))*COS(RADIANS(0)))</f>
        <v>0.4428779847730544</v>
      </c>
      <c r="DO47" s="47">
        <f>COS(RADIANS(DF47))*COS(RADIANS(DH47-Insolation!$L$6))*SIN(RADIANS(Insolation!$L$7))+SIN(RADIANS(DF47))*COS(RADIANS(Insolation!$L$7))</f>
        <v>-0.13035561280491681</v>
      </c>
      <c r="DP47" s="46">
        <f t="shared" si="94"/>
        <v>302.93135762504676</v>
      </c>
      <c r="DQ47" s="46">
        <f t="shared" si="95"/>
        <v>89.796732665854492</v>
      </c>
      <c r="DR47" s="46">
        <f t="shared" si="96"/>
        <v>0</v>
      </c>
      <c r="DS47" s="46">
        <f>$DD$55*DM47*((1+COS(RADIANS(Insolation!$L$7)))/2)</f>
        <v>44.898366332927246</v>
      </c>
      <c r="DT47" s="46">
        <f t="shared" si="97"/>
        <v>628.15510003770066</v>
      </c>
      <c r="DU47" s="46">
        <f t="shared" si="98"/>
        <v>47.227226042472196</v>
      </c>
      <c r="DV47" s="46">
        <f t="shared" si="99"/>
        <v>684.00635850138042</v>
      </c>
      <c r="DW47" s="46">
        <f t="shared" si="100"/>
        <v>64.782864334056413</v>
      </c>
    </row>
    <row r="48" spans="1:127" x14ac:dyDescent="0.25">
      <c r="A48" s="212"/>
      <c r="C48" s="236" t="s">
        <v>180</v>
      </c>
      <c r="D48" s="212">
        <v>7.5</v>
      </c>
      <c r="E48" s="46">
        <f t="shared" si="12"/>
        <v>0.96608675557127077</v>
      </c>
      <c r="F48" s="207">
        <f t="shared" si="13"/>
        <v>67.5</v>
      </c>
      <c r="G48" s="46">
        <f t="shared" si="19"/>
        <v>59.437108645976807</v>
      </c>
      <c r="H48" s="46">
        <f t="shared" si="20"/>
        <v>59.437108645976807</v>
      </c>
      <c r="I48" s="46">
        <f t="shared" si="21"/>
        <v>120.56289135402319</v>
      </c>
      <c r="J48" s="46">
        <f t="shared" si="22"/>
        <v>-239.43710864597682</v>
      </c>
      <c r="K48" s="46">
        <f t="shared" si="23"/>
        <v>59.309885164104102</v>
      </c>
      <c r="L48" s="46">
        <f t="shared" si="24"/>
        <v>0.32015654952926664</v>
      </c>
      <c r="M48" s="47">
        <f>COS(RADIANS(E48))*COS(RADIANS(G48-Insolation!$L$6))*SIN(RADIANS(0))+(SIN(RADIANS(E48))*COS(RADIANS(0)))</f>
        <v>1.6860595788258687E-2</v>
      </c>
      <c r="N48" s="47">
        <f>COS(RADIANS(E48))*COS(RADIANS(G48-Insolation!$L$6))*SIN(RADIANS(Insolation!$L$7))+SIN(RADIANS(E48))*COS(RADIANS(Insolation!$L$7))</f>
        <v>0.50841155296078244</v>
      </c>
      <c r="O48" s="46">
        <f t="shared" si="25"/>
        <v>5.3980301705765866E-3</v>
      </c>
      <c r="P48" s="46">
        <f t="shared" si="26"/>
        <v>1.7682657223225241E-2</v>
      </c>
      <c r="Q48" s="46">
        <f t="shared" si="27"/>
        <v>0.16277128853674011</v>
      </c>
      <c r="R48" s="46">
        <f>$C$55*L48*((1+COS(RADIANS(Insolation!$L$7)))/2)</f>
        <v>8.8413286116126207E-3</v>
      </c>
      <c r="S48" s="46">
        <f t="shared" si="28"/>
        <v>0.29834896725689858</v>
      </c>
      <c r="T48" s="46">
        <f t="shared" si="29"/>
        <v>1.2187023127782233E-2</v>
      </c>
      <c r="U48" s="46">
        <f t="shared" si="30"/>
        <v>0.32015654952926664</v>
      </c>
      <c r="V48" s="46">
        <f t="shared" si="31"/>
        <v>8.990398679564188E-3</v>
      </c>
      <c r="X48" s="236" t="s">
        <v>180</v>
      </c>
      <c r="Y48" s="212">
        <v>7.5</v>
      </c>
      <c r="Z48" s="46">
        <f t="shared" si="32"/>
        <v>6.8039528093331176</v>
      </c>
      <c r="AA48" s="207">
        <f t="shared" si="14"/>
        <v>67.5</v>
      </c>
      <c r="AB48" s="46">
        <f t="shared" si="33"/>
        <v>64.893072781665865</v>
      </c>
      <c r="AC48" s="46">
        <f t="shared" si="34"/>
        <v>64.893072781665865</v>
      </c>
      <c r="AD48" s="46">
        <f t="shared" si="35"/>
        <v>115.10692721833414</v>
      </c>
      <c r="AE48" s="46">
        <f t="shared" si="36"/>
        <v>-244.89307278166586</v>
      </c>
      <c r="AF48" s="46">
        <f t="shared" si="37"/>
        <v>8.4407793722751521</v>
      </c>
      <c r="AG48" s="46">
        <f t="shared" si="38"/>
        <v>354.1004950008591</v>
      </c>
      <c r="AH48" s="47">
        <f>COS(RADIANS(Z48))*COS(RADIANS(AB48-Insolation!$L$6))*SIN(RADIANS(0))+(SIN(RADIANS(Z48))*COS(RADIANS(0)))</f>
        <v>0.11847247225589515</v>
      </c>
      <c r="AI48" s="47">
        <f>COS(RADIANS(Z48))*COS(RADIANS(AB48-Insolation!$L$6))*SIN(RADIANS(Insolation!$L$7))+SIN(RADIANS(Z48))*COS(RADIANS(Insolation!$L$7))</f>
        <v>0.4213206408363826</v>
      </c>
      <c r="AJ48" s="46">
        <f t="shared" si="39"/>
        <v>41.951161069788014</v>
      </c>
      <c r="AK48" s="46">
        <f t="shared" si="40"/>
        <v>22.289052705198415</v>
      </c>
      <c r="AL48" s="46">
        <f t="shared" si="41"/>
        <v>149.18984747424224</v>
      </c>
      <c r="AM48" s="46">
        <f>$X$55*AG48*((1+COS(RADIANS(Insolation!$L$7)))/2)</f>
        <v>11.144526352599208</v>
      </c>
      <c r="AN48" s="46">
        <f t="shared" si="42"/>
        <v>344.61853168225525</v>
      </c>
      <c r="AO48" s="46">
        <f t="shared" si="43"/>
        <v>14.973192122790332</v>
      </c>
      <c r="AP48" s="46">
        <f t="shared" si="44"/>
        <v>354.1004950008591</v>
      </c>
      <c r="AQ48" s="46">
        <f t="shared" si="45"/>
        <v>12.464845941712607</v>
      </c>
      <c r="AS48" s="236" t="s">
        <v>180</v>
      </c>
      <c r="AT48" s="212">
        <v>7.5</v>
      </c>
      <c r="AU48" s="46">
        <f t="shared" si="46"/>
        <v>14.359370444612894</v>
      </c>
      <c r="AV48" s="207">
        <f t="shared" si="15"/>
        <v>67.5</v>
      </c>
      <c r="AW48" s="46">
        <f t="shared" si="47"/>
        <v>72.273172044834979</v>
      </c>
      <c r="AX48" s="46">
        <f t="shared" si="48"/>
        <v>72.273172044834979</v>
      </c>
      <c r="AY48" s="46">
        <f t="shared" si="49"/>
        <v>107.72682795516502</v>
      </c>
      <c r="AZ48" s="46">
        <f t="shared" si="50"/>
        <v>-252.27317204483498</v>
      </c>
      <c r="BA48" s="46">
        <f t="shared" si="51"/>
        <v>4.0322095564835658</v>
      </c>
      <c r="BB48" s="46">
        <f t="shared" si="52"/>
        <v>623.71222952857875</v>
      </c>
      <c r="BC48" s="47">
        <f>COS(RADIANS(AU48))*COS(RADIANS(AW48-Insolation!$L$6))*SIN(RADIANS(0))+(SIN(RADIANS(AU48))*COS(RADIANS(0)))</f>
        <v>0.24800298347392594</v>
      </c>
      <c r="BD48" s="47">
        <f>COS(RADIANS(AU48))*COS(RADIANS(AW48-Insolation!$L$6))*SIN(RADIANS(Insolation!$L$7))+SIN(RADIANS(AU48))*COS(RADIANS(Insolation!$L$7))</f>
        <v>0.29496694835361831</v>
      </c>
      <c r="BE48" s="46">
        <f t="shared" si="53"/>
        <v>154.68249375226162</v>
      </c>
      <c r="BF48" s="46">
        <f t="shared" si="54"/>
        <v>48.455564616607738</v>
      </c>
      <c r="BG48" s="46">
        <f t="shared" si="55"/>
        <v>183.97449299487641</v>
      </c>
      <c r="BH48" s="46">
        <f>$AS$55*BB48*((1+COS(RADIANS(Insolation!$L$7)))/2)</f>
        <v>24.227782308303869</v>
      </c>
      <c r="BI48" s="46">
        <f t="shared" si="56"/>
        <v>622.95752986291063</v>
      </c>
      <c r="BJ48" s="46">
        <f t="shared" si="57"/>
        <v>31.383345912847776</v>
      </c>
      <c r="BK48" s="46">
        <f t="shared" si="58"/>
        <v>623.71222952857875</v>
      </c>
      <c r="BL48" s="46">
        <f t="shared" si="59"/>
        <v>30.236344603720028</v>
      </c>
      <c r="BN48" s="236" t="s">
        <v>180</v>
      </c>
      <c r="BO48" s="212">
        <v>7.5</v>
      </c>
      <c r="BP48" s="46">
        <f t="shared" si="60"/>
        <v>22.86710591648222</v>
      </c>
      <c r="BQ48" s="207">
        <f t="shared" si="16"/>
        <v>67.5</v>
      </c>
      <c r="BR48" s="46">
        <f t="shared" si="61"/>
        <v>81.561981881696127</v>
      </c>
      <c r="BS48" s="46">
        <f t="shared" si="62"/>
        <v>81.561981881696127</v>
      </c>
      <c r="BT48" s="46">
        <f t="shared" si="63"/>
        <v>98.438018118303873</v>
      </c>
      <c r="BU48" s="46">
        <f t="shared" si="64"/>
        <v>-261.56198188169611</v>
      </c>
      <c r="BV48" s="46">
        <f t="shared" si="65"/>
        <v>2.5733731459346627</v>
      </c>
      <c r="BW48" s="46">
        <f t="shared" si="66"/>
        <v>725.42976898474069</v>
      </c>
      <c r="BX48" s="47">
        <f>COS(RADIANS(BP48))*COS(RADIANS(BR48-Insolation!$L$6))*SIN(RADIANS(0))+(SIN(RADIANS(BP48))*COS(RADIANS(0)))</f>
        <v>0.38859502423104469</v>
      </c>
      <c r="BY48" s="47">
        <f>COS(RADIANS(BP48))*COS(RADIANS(BR48-Insolation!$L$6))*SIN(RADIANS(Insolation!$L$7))+SIN(RADIANS(BP48))*COS(RADIANS(Insolation!$L$7))</f>
        <v>0.13520697091721712</v>
      </c>
      <c r="BZ48" s="46">
        <f t="shared" si="67"/>
        <v>281.89839865654648</v>
      </c>
      <c r="CA48" s="46">
        <f t="shared" si="68"/>
        <v>71.410285017107384</v>
      </c>
      <c r="CB48" s="46">
        <f t="shared" si="69"/>
        <v>98.083161677603371</v>
      </c>
      <c r="CC48" s="46">
        <f>$BN$55*BW48*((1+COS(RADIANS(Insolation!$L$7)))/2)</f>
        <v>35.705142508553692</v>
      </c>
      <c r="CD48" s="46">
        <f t="shared" si="70"/>
        <v>715.65799326201522</v>
      </c>
      <c r="CE48" s="46">
        <f t="shared" si="71"/>
        <v>44.011382612782221</v>
      </c>
      <c r="CF48" s="46">
        <f t="shared" si="72"/>
        <v>725.42976898474069</v>
      </c>
      <c r="CG48" s="46">
        <f t="shared" si="73"/>
        <v>49.579983226838017</v>
      </c>
      <c r="CI48" s="236" t="s">
        <v>180</v>
      </c>
      <c r="CJ48" s="212">
        <v>7.5</v>
      </c>
      <c r="CK48" s="46">
        <f t="shared" si="74"/>
        <v>28.994019384113916</v>
      </c>
      <c r="CL48" s="207">
        <f t="shared" si="17"/>
        <v>67.5</v>
      </c>
      <c r="CM48" s="46">
        <f t="shared" si="75"/>
        <v>89.462833082122955</v>
      </c>
      <c r="CN48" s="46">
        <f t="shared" si="76"/>
        <v>89.462833082122955</v>
      </c>
      <c r="CO48" s="46">
        <f t="shared" si="77"/>
        <v>90.537166917877045</v>
      </c>
      <c r="CP48" s="46">
        <f t="shared" si="78"/>
        <v>-269.46283308212298</v>
      </c>
      <c r="CQ48" s="46">
        <f t="shared" si="79"/>
        <v>2.0630538426776197</v>
      </c>
      <c r="CR48" s="46">
        <f t="shared" si="80"/>
        <v>744.066005319645</v>
      </c>
      <c r="CS48" s="47">
        <f>COS(RADIANS(CK48))*COS(RADIANS(CM48-Insolation!$L$6))*SIN(RADIANS(0))+(SIN(RADIANS(CK48))*COS(RADIANS(0)))</f>
        <v>0.48471832354220512</v>
      </c>
      <c r="CT48" s="47">
        <f>COS(RADIANS(CK48))*COS(RADIANS(CM48-Insolation!$L$6))*SIN(RADIANS(Insolation!$L$7))+SIN(RADIANS(CK48))*COS(RADIANS(Insolation!$L$7))</f>
        <v>8.200203824700698E-3</v>
      </c>
      <c r="CU48" s="46">
        <f t="shared" si="81"/>
        <v>360.66242670328381</v>
      </c>
      <c r="CV48" s="46">
        <f t="shared" si="82"/>
        <v>87.552810985812627</v>
      </c>
      <c r="CW48" s="46">
        <f t="shared" si="83"/>
        <v>6.1014929026519225</v>
      </c>
      <c r="CX48" s="46">
        <f>$CI$55*CR48*((1+COS(RADIANS(Insolation!$L$7)))/2)</f>
        <v>43.776405492906314</v>
      </c>
      <c r="CY48" s="46">
        <f t="shared" si="84"/>
        <v>704.40335217303436</v>
      </c>
      <c r="CZ48" s="46">
        <f t="shared" si="101"/>
        <v>51.530119421098725</v>
      </c>
      <c r="DA48" s="46">
        <f t="shared" si="85"/>
        <v>744.066005319645</v>
      </c>
      <c r="DB48" s="46">
        <f t="shared" si="86"/>
        <v>64.995631374131648</v>
      </c>
      <c r="DD48" s="236" t="s">
        <v>180</v>
      </c>
      <c r="DE48" s="212">
        <v>7.5</v>
      </c>
      <c r="DF48" s="46">
        <f t="shared" si="87"/>
        <v>31.775587392660867</v>
      </c>
      <c r="DG48" s="207">
        <f t="shared" si="18"/>
        <v>67.5</v>
      </c>
      <c r="DH48" s="46">
        <f t="shared" si="88"/>
        <v>93.597584326522593</v>
      </c>
      <c r="DI48" s="46">
        <f t="shared" si="89"/>
        <v>86.402415673477407</v>
      </c>
      <c r="DJ48" s="46">
        <f t="shared" si="90"/>
        <v>93.597584326522593</v>
      </c>
      <c r="DK48" s="46">
        <f t="shared" si="91"/>
        <v>-266.40241567347744</v>
      </c>
      <c r="DL48" s="46">
        <f t="shared" si="92"/>
        <v>1.8989975426619872</v>
      </c>
      <c r="DM48" s="46">
        <f t="shared" si="93"/>
        <v>736.43557545613851</v>
      </c>
      <c r="DN48" s="47">
        <f>COS(RADIANS(DF48))*COS(RADIANS(DH48-Insolation!$L$6))*SIN(RADIANS(0))+(SIN(RADIANS(DF48))*COS(RADIANS(0)))</f>
        <v>0.52659362507558305</v>
      </c>
      <c r="DO48" s="47">
        <f>COS(RADIANS(DF48))*COS(RADIANS(DH48-Insolation!$L$6))*SIN(RADIANS(Insolation!$L$7))+SIN(RADIANS(DF48))*COS(RADIANS(Insolation!$L$7))</f>
        <v>-5.3343525469214753E-2</v>
      </c>
      <c r="DP48" s="46">
        <f t="shared" si="94"/>
        <v>387.80227931407103</v>
      </c>
      <c r="DQ48" s="46">
        <f t="shared" si="95"/>
        <v>96.679669235452181</v>
      </c>
      <c r="DR48" s="46">
        <f t="shared" si="96"/>
        <v>0</v>
      </c>
      <c r="DS48" s="46">
        <f>$DD$55*DM48*((1+COS(RADIANS(Insolation!$L$7)))/2)</f>
        <v>48.33983461772609</v>
      </c>
      <c r="DT48" s="46">
        <f t="shared" si="97"/>
        <v>676.30330745096251</v>
      </c>
      <c r="DU48" s="46">
        <f t="shared" si="98"/>
        <v>55.452521097882276</v>
      </c>
      <c r="DV48" s="46">
        <f t="shared" si="99"/>
        <v>736.43557545613851</v>
      </c>
      <c r="DW48" s="46">
        <f t="shared" si="100"/>
        <v>73.795283364628631</v>
      </c>
    </row>
    <row r="49" spans="1:127" x14ac:dyDescent="0.25">
      <c r="A49" s="212"/>
      <c r="C49" s="47">
        <f>1370*(1+0.034*COS(RADIANS(360*C45)/365))</f>
        <v>1415.0357711577337</v>
      </c>
      <c r="D49" s="212">
        <v>8</v>
      </c>
      <c r="E49" s="46">
        <f t="shared" si="12"/>
        <v>5.5848444091378457</v>
      </c>
      <c r="F49" s="207">
        <f t="shared" si="13"/>
        <v>60</v>
      </c>
      <c r="G49" s="46">
        <f t="shared" si="19"/>
        <v>54.1824777326621</v>
      </c>
      <c r="H49" s="46">
        <f t="shared" si="20"/>
        <v>54.1824777326621</v>
      </c>
      <c r="I49" s="46">
        <f t="shared" si="21"/>
        <v>125.81752226733789</v>
      </c>
      <c r="J49" s="46">
        <f t="shared" si="22"/>
        <v>-234.18247773266211</v>
      </c>
      <c r="K49" s="46">
        <f t="shared" si="23"/>
        <v>10.275417796774382</v>
      </c>
      <c r="L49" s="46">
        <f t="shared" si="24"/>
        <v>294.93914398189366</v>
      </c>
      <c r="M49" s="47">
        <f>COS(RADIANS(E49))*COS(RADIANS(G49-Insolation!$L$6))*SIN(RADIANS(0))+(SIN(RADIANS(E49))*COS(RADIANS(0)))</f>
        <v>9.7319643811847337E-2</v>
      </c>
      <c r="N49" s="47">
        <f>COS(RADIANS(E49))*COS(RADIANS(G49-Insolation!$L$6))*SIN(RADIANS(Insolation!$L$7))+SIN(RADIANS(E49))*COS(RADIANS(Insolation!$L$7))</f>
        <v>0.58242782054170228</v>
      </c>
      <c r="O49" s="46">
        <f t="shared" si="25"/>
        <v>28.703372438489048</v>
      </c>
      <c r="P49" s="46">
        <f t="shared" si="26"/>
        <v>16.289867542649009</v>
      </c>
      <c r="Q49" s="46">
        <f t="shared" si="27"/>
        <v>171.78076282180965</v>
      </c>
      <c r="R49" s="46">
        <f>$C$55*L49*((1+COS(RADIANS(Insolation!$L$7)))/2)</f>
        <v>8.1449337713245047</v>
      </c>
      <c r="S49" s="46">
        <f t="shared" si="28"/>
        <v>274.84925465373863</v>
      </c>
      <c r="T49" s="46">
        <f t="shared" si="29"/>
        <v>11.824192081205933</v>
      </c>
      <c r="U49" s="46">
        <f t="shared" si="30"/>
        <v>294.93914398189366</v>
      </c>
      <c r="V49" s="46">
        <f t="shared" si="31"/>
        <v>8.9375958248208924</v>
      </c>
      <c r="X49" s="47">
        <f>1370*(1+0.034*COS(RADIANS(360*X45)/365))</f>
        <v>1402.7237297467996</v>
      </c>
      <c r="Y49" s="212">
        <v>8</v>
      </c>
      <c r="Z49" s="46">
        <f t="shared" si="32"/>
        <v>11.68322721837877</v>
      </c>
      <c r="AA49" s="207">
        <f t="shared" si="14"/>
        <v>60</v>
      </c>
      <c r="AB49" s="46">
        <f t="shared" si="33"/>
        <v>59.3914990710106</v>
      </c>
      <c r="AC49" s="46">
        <f t="shared" si="34"/>
        <v>59.3914990710106</v>
      </c>
      <c r="AD49" s="46">
        <f t="shared" si="35"/>
        <v>120.6085009289894</v>
      </c>
      <c r="AE49" s="46">
        <f t="shared" si="36"/>
        <v>-239.3914990710106</v>
      </c>
      <c r="AF49" s="46">
        <f t="shared" si="37"/>
        <v>4.9382562725088794</v>
      </c>
      <c r="AG49" s="46">
        <f t="shared" si="38"/>
        <v>590.38937455586233</v>
      </c>
      <c r="AH49" s="47">
        <f>COS(RADIANS(Z49))*COS(RADIANS(AB49-Insolation!$L$6))*SIN(RADIANS(0))+(SIN(RADIANS(Z49))*COS(RADIANS(0)))</f>
        <v>0.20250062872738486</v>
      </c>
      <c r="AI49" s="47">
        <f>COS(RADIANS(Z49))*COS(RADIANS(AB49-Insolation!$L$6))*SIN(RADIANS(Insolation!$L$7))+SIN(RADIANS(Z49))*COS(RADIANS(Insolation!$L$7))</f>
        <v>0.49862021952269525</v>
      </c>
      <c r="AJ49" s="46">
        <f t="shared" si="39"/>
        <v>119.55421954152963</v>
      </c>
      <c r="AK49" s="46">
        <f t="shared" si="40"/>
        <v>37.162387717172827</v>
      </c>
      <c r="AL49" s="46">
        <f t="shared" si="41"/>
        <v>294.38007954491081</v>
      </c>
      <c r="AM49" s="46">
        <f>$X$55*AG49*((1+COS(RADIANS(Insolation!$L$7)))/2)</f>
        <v>18.581193858586413</v>
      </c>
      <c r="AN49" s="46">
        <f t="shared" si="42"/>
        <v>574.58016086578095</v>
      </c>
      <c r="AO49" s="46">
        <f t="shared" si="43"/>
        <v>26.425827771926173</v>
      </c>
      <c r="AP49" s="46">
        <f t="shared" si="44"/>
        <v>590.38937455586233</v>
      </c>
      <c r="AQ49" s="46">
        <f t="shared" si="45"/>
        <v>22.343897297455587</v>
      </c>
      <c r="AS49" s="47">
        <f>1370*(1+0.034*COS(RADIANS(360*AS45)/365))</f>
        <v>1383.6293236338013</v>
      </c>
      <c r="AT49" s="212">
        <v>8</v>
      </c>
      <c r="AU49" s="46">
        <f t="shared" si="46"/>
        <v>19.526247268864513</v>
      </c>
      <c r="AV49" s="207">
        <f t="shared" si="15"/>
        <v>60</v>
      </c>
      <c r="AW49" s="46">
        <f t="shared" si="47"/>
        <v>66.600665055415135</v>
      </c>
      <c r="AX49" s="46">
        <f t="shared" si="48"/>
        <v>66.600665055415135</v>
      </c>
      <c r="AY49" s="46">
        <f t="shared" si="49"/>
        <v>113.39933494458487</v>
      </c>
      <c r="AZ49" s="46">
        <f t="shared" si="50"/>
        <v>-246.60066505541513</v>
      </c>
      <c r="BA49" s="46">
        <f t="shared" si="51"/>
        <v>2.991874224147244</v>
      </c>
      <c r="BB49" s="46">
        <f t="shared" si="52"/>
        <v>735.79336725609005</v>
      </c>
      <c r="BC49" s="47">
        <f>COS(RADIANS(AU49))*COS(RADIANS(AW49-Insolation!$L$6))*SIN(RADIANS(0))+(SIN(RADIANS(AU49))*COS(RADIANS(0)))</f>
        <v>0.33423864944891657</v>
      </c>
      <c r="BD49" s="47">
        <f>COS(RADIANS(AU49))*COS(RADIANS(AW49-Insolation!$L$6))*SIN(RADIANS(Insolation!$L$7))+SIN(RADIANS(AU49))*COS(RADIANS(Insolation!$L$7))</f>
        <v>0.37429726961161325</v>
      </c>
      <c r="BE49" s="46">
        <f t="shared" si="53"/>
        <v>245.93058134514621</v>
      </c>
      <c r="BF49" s="46">
        <f t="shared" si="54"/>
        <v>57.1630334689713</v>
      </c>
      <c r="BG49" s="46">
        <f t="shared" si="55"/>
        <v>275.40544836228952</v>
      </c>
      <c r="BH49" s="46">
        <f>$AS$55*BB49*((1+COS(RADIANS(Insolation!$L$7)))/2)</f>
        <v>28.58151673448565</v>
      </c>
      <c r="BI49" s="46">
        <f t="shared" si="56"/>
        <v>734.90304799990247</v>
      </c>
      <c r="BJ49" s="46">
        <f t="shared" si="57"/>
        <v>39.44777304739317</v>
      </c>
      <c r="BK49" s="46">
        <f t="shared" si="58"/>
        <v>735.79336725609005</v>
      </c>
      <c r="BL49" s="46">
        <f t="shared" si="59"/>
        <v>38.134564287021739</v>
      </c>
      <c r="BN49" s="47">
        <f>1370*(1+0.034*COS(RADIANS(360*BN45)/365))</f>
        <v>1359.0773910738103</v>
      </c>
      <c r="BO49" s="212">
        <v>8</v>
      </c>
      <c r="BP49" s="46">
        <f t="shared" si="60"/>
        <v>28.279433800547316</v>
      </c>
      <c r="BQ49" s="207">
        <f t="shared" si="16"/>
        <v>60</v>
      </c>
      <c r="BR49" s="46">
        <f t="shared" si="61"/>
        <v>75.965425414328465</v>
      </c>
      <c r="BS49" s="46">
        <f t="shared" si="62"/>
        <v>75.965425414328465</v>
      </c>
      <c r="BT49" s="46">
        <f t="shared" si="63"/>
        <v>104.03457458567154</v>
      </c>
      <c r="BU49" s="46">
        <f t="shared" si="64"/>
        <v>-255.96542541432848</v>
      </c>
      <c r="BV49" s="46">
        <f t="shared" si="65"/>
        <v>2.1107193317312558</v>
      </c>
      <c r="BW49" s="46">
        <f t="shared" si="66"/>
        <v>787.33832314241215</v>
      </c>
      <c r="BX49" s="47">
        <f>COS(RADIANS(BP49))*COS(RADIANS(BR49-Insolation!$L$6))*SIN(RADIANS(0))+(SIN(RADIANS(BP49))*COS(RADIANS(0)))</f>
        <v>0.47377213301958965</v>
      </c>
      <c r="BY49" s="47">
        <f>COS(RADIANS(BP49))*COS(RADIANS(BR49-Insolation!$L$6))*SIN(RADIANS(Insolation!$L$7))+SIN(RADIANS(BP49))*COS(RADIANS(Insolation!$L$7))</f>
        <v>0.21356349924717827</v>
      </c>
      <c r="BZ49" s="46">
        <f t="shared" si="67"/>
        <v>373.01895676324756</v>
      </c>
      <c r="CA49" s="46">
        <f t="shared" si="68"/>
        <v>77.504475918017803</v>
      </c>
      <c r="CB49" s="46">
        <f t="shared" si="69"/>
        <v>168.14672738169915</v>
      </c>
      <c r="CC49" s="46">
        <f>$BN$55*BW49*((1+COS(RADIANS(Insolation!$L$7)))/2)</f>
        <v>38.752237959008902</v>
      </c>
      <c r="CD49" s="46">
        <f t="shared" si="70"/>
        <v>776.7326189921373</v>
      </c>
      <c r="CE49" s="46">
        <f t="shared" si="71"/>
        <v>51.282070260692144</v>
      </c>
      <c r="CF49" s="46">
        <f t="shared" si="72"/>
        <v>787.33832314241215</v>
      </c>
      <c r="CG49" s="46">
        <f t="shared" si="73"/>
        <v>57.11196839613126</v>
      </c>
      <c r="CI49" s="47">
        <f>1370*(1+0.034*COS(RADIANS(360*CI45)/365))</f>
        <v>1338.1430333407257</v>
      </c>
      <c r="CJ49" s="212">
        <v>8</v>
      </c>
      <c r="CK49" s="46">
        <f t="shared" si="74"/>
        <v>34.503465048947334</v>
      </c>
      <c r="CL49" s="207">
        <f t="shared" si="17"/>
        <v>60</v>
      </c>
      <c r="CM49" s="46">
        <f t="shared" si="75"/>
        <v>84.192095809480847</v>
      </c>
      <c r="CN49" s="46">
        <f t="shared" si="76"/>
        <v>84.192095809480847</v>
      </c>
      <c r="CO49" s="46">
        <f t="shared" si="77"/>
        <v>95.807904190519153</v>
      </c>
      <c r="CP49" s="46">
        <f t="shared" si="78"/>
        <v>-264.19209580948086</v>
      </c>
      <c r="CQ49" s="46">
        <f t="shared" si="79"/>
        <v>1.7653619443302841</v>
      </c>
      <c r="CR49" s="46">
        <f t="shared" si="80"/>
        <v>788.26373763798404</v>
      </c>
      <c r="CS49" s="47">
        <f>COS(RADIANS(CK49))*COS(RADIANS(CM49-Insolation!$L$6))*SIN(RADIANS(0))+(SIN(RADIANS(CK49))*COS(RADIANS(0)))</f>
        <v>0.56645607616706872</v>
      </c>
      <c r="CT49" s="47">
        <f>COS(RADIANS(CK49))*COS(RADIANS(CM49-Insolation!$L$6))*SIN(RADIANS(Insolation!$L$7))+SIN(RADIANS(CK49))*COS(RADIANS(Insolation!$L$7))</f>
        <v>8.3392783383574365E-2</v>
      </c>
      <c r="CU49" s="46">
        <f t="shared" si="81"/>
        <v>446.51678380720017</v>
      </c>
      <c r="CV49" s="46">
        <f t="shared" si="82"/>
        <v>92.75347285721034</v>
      </c>
      <c r="CW49" s="46">
        <f t="shared" si="83"/>
        <v>65.735507121971096</v>
      </c>
      <c r="CX49" s="46">
        <f>$CI$55*CR49*((1+COS(RADIANS(Insolation!$L$7)))/2)</f>
        <v>46.37673642860517</v>
      </c>
      <c r="CY49" s="46">
        <f t="shared" si="84"/>
        <v>746.24511161494024</v>
      </c>
      <c r="CZ49" s="46">
        <f t="shared" si="101"/>
        <v>58.93529989901522</v>
      </c>
      <c r="DA49" s="46">
        <f t="shared" si="85"/>
        <v>788.26373763798404</v>
      </c>
      <c r="DB49" s="46">
        <f t="shared" si="86"/>
        <v>72.647120571387205</v>
      </c>
      <c r="DD49" s="47">
        <f>1370*(1+0.034*COS(RADIANS(360*DD45)/365))</f>
        <v>1325.286335315649</v>
      </c>
      <c r="DE49" s="212">
        <v>8</v>
      </c>
      <c r="DF49" s="46">
        <f t="shared" si="87"/>
        <v>37.292467843933316</v>
      </c>
      <c r="DG49" s="207">
        <f t="shared" si="18"/>
        <v>60</v>
      </c>
      <c r="DH49" s="46">
        <f t="shared" si="88"/>
        <v>88.588445189997373</v>
      </c>
      <c r="DI49" s="46">
        <f t="shared" si="89"/>
        <v>88.588445189997373</v>
      </c>
      <c r="DJ49" s="46">
        <f t="shared" si="90"/>
        <v>91.411554810002627</v>
      </c>
      <c r="DK49" s="46">
        <f t="shared" si="91"/>
        <v>-268.5884451899974</v>
      </c>
      <c r="DL49" s="46">
        <f t="shared" si="92"/>
        <v>1.6504814368030041</v>
      </c>
      <c r="DM49" s="46">
        <f t="shared" si="93"/>
        <v>775.06959436229204</v>
      </c>
      <c r="DN49" s="47">
        <f>COS(RADIANS(DF49))*COS(RADIANS(DH49-Insolation!$L$6))*SIN(RADIANS(0))+(SIN(RADIANS(DF49))*COS(RADIANS(0)))</f>
        <v>0.6058838213515495</v>
      </c>
      <c r="DO49" s="47">
        <f>COS(RADIANS(DF49))*COS(RADIANS(DH49-Insolation!$L$6))*SIN(RADIANS(Insolation!$L$7))+SIN(RADIANS(DF49))*COS(RADIANS(Insolation!$L$7))</f>
        <v>1.959748648987239E-2</v>
      </c>
      <c r="DP49" s="46">
        <f t="shared" si="94"/>
        <v>469.6021276456209</v>
      </c>
      <c r="DQ49" s="46">
        <f t="shared" si="95"/>
        <v>101.75156458321514</v>
      </c>
      <c r="DR49" s="46">
        <f t="shared" si="96"/>
        <v>15.189415904225891</v>
      </c>
      <c r="DS49" s="46">
        <f>$DD$55*DM49*((1+COS(RADIANS(Insolation!$L$7)))/2)</f>
        <v>50.875782291607571</v>
      </c>
      <c r="DT49" s="46">
        <f t="shared" si="97"/>
        <v>711.78273788202387</v>
      </c>
      <c r="DU49" s="46">
        <f t="shared" si="98"/>
        <v>63.164842362188651</v>
      </c>
      <c r="DV49" s="46">
        <f t="shared" si="99"/>
        <v>775.06959436229204</v>
      </c>
      <c r="DW49" s="46">
        <f t="shared" si="100"/>
        <v>81.700595680696253</v>
      </c>
    </row>
    <row r="50" spans="1:127" x14ac:dyDescent="0.25">
      <c r="A50" s="212"/>
      <c r="C50" s="236" t="s">
        <v>181</v>
      </c>
      <c r="D50" s="212">
        <v>8.5</v>
      </c>
      <c r="E50" s="46">
        <f t="shared" si="12"/>
        <v>9.8989666684707416</v>
      </c>
      <c r="F50" s="207">
        <f t="shared" si="13"/>
        <v>52.5</v>
      </c>
      <c r="G50" s="46">
        <f t="shared" si="19"/>
        <v>48.632555705391482</v>
      </c>
      <c r="H50" s="46">
        <f t="shared" si="20"/>
        <v>48.632555705391482</v>
      </c>
      <c r="I50" s="46">
        <f t="shared" si="21"/>
        <v>131.3674442946085</v>
      </c>
      <c r="J50" s="46">
        <f t="shared" si="22"/>
        <v>-228.6325557053915</v>
      </c>
      <c r="K50" s="46">
        <f t="shared" si="23"/>
        <v>5.8169521350485773</v>
      </c>
      <c r="L50" s="46">
        <f t="shared" si="24"/>
        <v>548.61561676488236</v>
      </c>
      <c r="M50" s="47">
        <f>COS(RADIANS(E50))*COS(RADIANS(G50-Insolation!$L$6))*SIN(RADIANS(0))+(SIN(RADIANS(E50))*COS(RADIANS(0)))</f>
        <v>0.17191133376785969</v>
      </c>
      <c r="N50" s="47">
        <f>COS(RADIANS(E50))*COS(RADIANS(G50-Insolation!$L$6))*SIN(RADIANS(Insolation!$L$7))+SIN(RADIANS(E50))*COS(RADIANS(Insolation!$L$7))</f>
        <v>0.65104656036918096</v>
      </c>
      <c r="O50" s="46">
        <f t="shared" si="25"/>
        <v>94.313242403927887</v>
      </c>
      <c r="P50" s="46">
        <f t="shared" si="26"/>
        <v>30.300744785091194</v>
      </c>
      <c r="Q50" s="46">
        <f t="shared" si="27"/>
        <v>357.17431025959343</v>
      </c>
      <c r="R50" s="46">
        <f>$C$55*L50*((1+COS(RADIANS(Insolation!$L$7)))/2)</f>
        <v>15.150372392545597</v>
      </c>
      <c r="S50" s="46">
        <f t="shared" si="28"/>
        <v>511.24646028160248</v>
      </c>
      <c r="T50" s="46">
        <f t="shared" si="29"/>
        <v>22.99153523365975</v>
      </c>
      <c r="U50" s="46">
        <f t="shared" si="30"/>
        <v>548.61561676488236</v>
      </c>
      <c r="V50" s="46">
        <f t="shared" si="31"/>
        <v>17.754893117627866</v>
      </c>
      <c r="X50" s="236" t="s">
        <v>181</v>
      </c>
      <c r="Y50" s="212">
        <v>8.5</v>
      </c>
      <c r="Z50" s="46">
        <f t="shared" si="32"/>
        <v>16.284148351568202</v>
      </c>
      <c r="AA50" s="207">
        <f t="shared" si="14"/>
        <v>52.5</v>
      </c>
      <c r="AB50" s="46">
        <f t="shared" si="33"/>
        <v>53.55028289523915</v>
      </c>
      <c r="AC50" s="46">
        <f t="shared" si="34"/>
        <v>53.55028289523915</v>
      </c>
      <c r="AD50" s="46">
        <f t="shared" si="35"/>
        <v>126.44971710476085</v>
      </c>
      <c r="AE50" s="46">
        <f t="shared" si="36"/>
        <v>-233.55028289523915</v>
      </c>
      <c r="AF50" s="46">
        <f t="shared" si="37"/>
        <v>3.5663191170780166</v>
      </c>
      <c r="AG50" s="46">
        <f t="shared" si="38"/>
        <v>721.27446990940007</v>
      </c>
      <c r="AH50" s="47">
        <f>COS(RADIANS(Z50))*COS(RADIANS(AB50-Insolation!$L$6))*SIN(RADIANS(0))+(SIN(RADIANS(Z50))*COS(RADIANS(0)))</f>
        <v>0.28040115513255792</v>
      </c>
      <c r="AI50" s="47">
        <f>COS(RADIANS(Z50))*COS(RADIANS(AB50-Insolation!$L$6))*SIN(RADIANS(Insolation!$L$7))+SIN(RADIANS(Z50))*COS(RADIANS(Insolation!$L$7))</f>
        <v>0.57028283980884842</v>
      </c>
      <c r="AJ50" s="46">
        <f t="shared" si="39"/>
        <v>202.24619453021916</v>
      </c>
      <c r="AK50" s="46">
        <f t="shared" si="40"/>
        <v>45.401022878224623</v>
      </c>
      <c r="AL50" s="46">
        <f t="shared" si="41"/>
        <v>411.33045298155446</v>
      </c>
      <c r="AM50" s="46">
        <f>$X$55*AG50*((1+COS(RADIANS(Insolation!$L$7)))/2)</f>
        <v>22.700511439112312</v>
      </c>
      <c r="AN50" s="46">
        <f t="shared" si="42"/>
        <v>701.96046678633252</v>
      </c>
      <c r="AO50" s="46">
        <f t="shared" si="43"/>
        <v>33.904046821929562</v>
      </c>
      <c r="AP50" s="46">
        <f t="shared" si="44"/>
        <v>721.27446990940007</v>
      </c>
      <c r="AQ50" s="46">
        <f t="shared" si="45"/>
        <v>29.065761068739253</v>
      </c>
      <c r="AS50" s="236" t="s">
        <v>181</v>
      </c>
      <c r="AT50" s="212">
        <v>8.5</v>
      </c>
      <c r="AU50" s="46">
        <f t="shared" si="46"/>
        <v>24.468046973050601</v>
      </c>
      <c r="AV50" s="207">
        <f t="shared" si="15"/>
        <v>52.5</v>
      </c>
      <c r="AW50" s="46">
        <f t="shared" si="47"/>
        <v>60.525863070252264</v>
      </c>
      <c r="AX50" s="46">
        <f t="shared" si="48"/>
        <v>60.525863070252264</v>
      </c>
      <c r="AY50" s="46">
        <f t="shared" si="49"/>
        <v>119.47413692974774</v>
      </c>
      <c r="AZ50" s="46">
        <f t="shared" si="50"/>
        <v>-240.52586307025226</v>
      </c>
      <c r="BA50" s="46">
        <f t="shared" si="51"/>
        <v>2.4143759323383418</v>
      </c>
      <c r="BB50" s="46">
        <f t="shared" si="52"/>
        <v>806.48603373417814</v>
      </c>
      <c r="BC50" s="47">
        <f>COS(RADIANS(AU50))*COS(RADIANS(AW50-Insolation!$L$6))*SIN(RADIANS(0))+(SIN(RADIANS(AU50))*COS(RADIANS(0)))</f>
        <v>0.41418570596480897</v>
      </c>
      <c r="BD50" s="47">
        <f>COS(RADIANS(AU50))*COS(RADIANS(AW50-Insolation!$L$6))*SIN(RADIANS(Insolation!$L$7))+SIN(RADIANS(AU50))*COS(RADIANS(Insolation!$L$7))</f>
        <v>0.44784254354590547</v>
      </c>
      <c r="BE50" s="46">
        <f t="shared" si="53"/>
        <v>334.03498723294933</v>
      </c>
      <c r="BF50" s="46">
        <f t="shared" si="54"/>
        <v>62.655074359428689</v>
      </c>
      <c r="BG50" s="46">
        <f t="shared" si="55"/>
        <v>361.17875668176328</v>
      </c>
      <c r="BH50" s="46">
        <f>$AS$55*BB50*((1+COS(RADIANS(Insolation!$L$7)))/2)</f>
        <v>31.327537179714344</v>
      </c>
      <c r="BI50" s="46">
        <f t="shared" si="56"/>
        <v>805.51017545978584</v>
      </c>
      <c r="BJ50" s="46">
        <f t="shared" si="57"/>
        <v>45.689545355452559</v>
      </c>
      <c r="BK50" s="46">
        <f t="shared" si="58"/>
        <v>806.48603373417814</v>
      </c>
      <c r="BL50" s="46">
        <f t="shared" si="59"/>
        <v>44.302955282633135</v>
      </c>
      <c r="BN50" s="236" t="s">
        <v>181</v>
      </c>
      <c r="BO50" s="212">
        <v>8.5</v>
      </c>
      <c r="BP50" s="46">
        <f t="shared" si="60"/>
        <v>33.555042782397578</v>
      </c>
      <c r="BQ50" s="207">
        <f t="shared" si="16"/>
        <v>52.5</v>
      </c>
      <c r="BR50" s="46">
        <f t="shared" si="61"/>
        <v>69.913514539852926</v>
      </c>
      <c r="BS50" s="46">
        <f t="shared" si="62"/>
        <v>69.913514539852926</v>
      </c>
      <c r="BT50" s="46">
        <f t="shared" si="63"/>
        <v>110.08648546014707</v>
      </c>
      <c r="BU50" s="46">
        <f t="shared" si="64"/>
        <v>-249.91351453985294</v>
      </c>
      <c r="BV50" s="46">
        <f t="shared" si="65"/>
        <v>1.8091759832926451</v>
      </c>
      <c r="BW50" s="46">
        <f t="shared" si="66"/>
        <v>830.50492754962841</v>
      </c>
      <c r="BX50" s="47">
        <f>COS(RADIANS(BP50))*COS(RADIANS(BR50-Insolation!$L$6))*SIN(RADIANS(0))+(SIN(RADIANS(BP50))*COS(RADIANS(0)))</f>
        <v>0.55273782607926869</v>
      </c>
      <c r="BY50" s="47">
        <f>COS(RADIANS(BP50))*COS(RADIANS(BR50-Insolation!$L$6))*SIN(RADIANS(Insolation!$L$7))+SIN(RADIANS(BP50))*COS(RADIANS(Insolation!$L$7))</f>
        <v>0.28620599267444907</v>
      </c>
      <c r="BZ50" s="46">
        <f t="shared" si="67"/>
        <v>459.05148820190215</v>
      </c>
      <c r="CA50" s="46">
        <f t="shared" si="68"/>
        <v>81.753735675105162</v>
      </c>
      <c r="CB50" s="46">
        <f t="shared" si="69"/>
        <v>237.69548721036281</v>
      </c>
      <c r="CC50" s="46">
        <f>$BN$55*BW50*((1+COS(RADIANS(Insolation!$L$7)))/2)</f>
        <v>40.876867837552581</v>
      </c>
      <c r="CD50" s="46">
        <f t="shared" si="70"/>
        <v>819.31775515113247</v>
      </c>
      <c r="CE50" s="46">
        <f t="shared" si="71"/>
        <v>57.594281268214196</v>
      </c>
      <c r="CF50" s="46">
        <f t="shared" si="72"/>
        <v>830.50492754962841</v>
      </c>
      <c r="CG50" s="46">
        <f t="shared" si="73"/>
        <v>63.47105890301097</v>
      </c>
      <c r="CI50" s="236" t="s">
        <v>181</v>
      </c>
      <c r="CJ50" s="212">
        <v>8.5</v>
      </c>
      <c r="CK50" s="46">
        <f t="shared" si="74"/>
        <v>39.958547603886593</v>
      </c>
      <c r="CL50" s="207">
        <f t="shared" si="17"/>
        <v>52.5</v>
      </c>
      <c r="CM50" s="46">
        <f t="shared" si="75"/>
        <v>78.478283597967589</v>
      </c>
      <c r="CN50" s="46">
        <f t="shared" si="76"/>
        <v>78.478283597967589</v>
      </c>
      <c r="CO50" s="46">
        <f t="shared" si="77"/>
        <v>101.52171640203241</v>
      </c>
      <c r="CP50" s="46">
        <f t="shared" si="78"/>
        <v>-258.47828359796756</v>
      </c>
      <c r="CQ50" s="46">
        <f t="shared" si="79"/>
        <v>1.5570667540754219</v>
      </c>
      <c r="CR50" s="46">
        <f t="shared" si="80"/>
        <v>820.74095273593502</v>
      </c>
      <c r="CS50" s="47">
        <f>COS(RADIANS(CK50))*COS(RADIANS(CM50-Insolation!$L$6))*SIN(RADIANS(0))+(SIN(RADIANS(CK50))*COS(RADIANS(0)))</f>
        <v>0.64223322306678798</v>
      </c>
      <c r="CT50" s="47">
        <f>COS(RADIANS(CK50))*COS(RADIANS(CM50-Insolation!$L$6))*SIN(RADIANS(Insolation!$L$7))+SIN(RADIANS(CK50))*COS(RADIANS(Insolation!$L$7))</f>
        <v>0.15310205436331478</v>
      </c>
      <c r="CU50" s="46">
        <f t="shared" si="81"/>
        <v>527.10710737850582</v>
      </c>
      <c r="CV50" s="46">
        <f t="shared" si="82"/>
        <v>96.575004084933809</v>
      </c>
      <c r="CW50" s="46">
        <f t="shared" si="83"/>
        <v>125.65712596397589</v>
      </c>
      <c r="CX50" s="46">
        <f>$CI$55*CR50*((1+COS(RADIANS(Insolation!$L$7)))/2)</f>
        <v>48.287502042466905</v>
      </c>
      <c r="CY50" s="46">
        <f t="shared" si="84"/>
        <v>776.99111938936278</v>
      </c>
      <c r="CZ50" s="46">
        <f t="shared" si="101"/>
        <v>65.723226171742525</v>
      </c>
      <c r="DA50" s="46">
        <f t="shared" si="85"/>
        <v>820.74095273593502</v>
      </c>
      <c r="DB50" s="46">
        <f t="shared" si="86"/>
        <v>79.299340113044536</v>
      </c>
      <c r="DD50" s="236" t="s">
        <v>181</v>
      </c>
      <c r="DE50" s="212">
        <v>8.5</v>
      </c>
      <c r="DF50" s="46">
        <f t="shared" si="87"/>
        <v>42.796141937029795</v>
      </c>
      <c r="DG50" s="207">
        <f t="shared" si="18"/>
        <v>52.5</v>
      </c>
      <c r="DH50" s="46">
        <f t="shared" si="88"/>
        <v>83.173464289511259</v>
      </c>
      <c r="DI50" s="46">
        <f t="shared" si="89"/>
        <v>83.173464289511259</v>
      </c>
      <c r="DJ50" s="46">
        <f t="shared" si="90"/>
        <v>96.826535710488741</v>
      </c>
      <c r="DK50" s="46">
        <f t="shared" si="91"/>
        <v>-263.17346428951123</v>
      </c>
      <c r="DL50" s="46">
        <f t="shared" si="92"/>
        <v>1.471904515433283</v>
      </c>
      <c r="DM50" s="46">
        <f t="shared" si="93"/>
        <v>804.0763436975011</v>
      </c>
      <c r="DN50" s="47">
        <f>COS(RADIANS(DF50))*COS(RADIANS(DH50-Insolation!$L$6))*SIN(RADIANS(0))+(SIN(RADIANS(DF50))*COS(RADIANS(0)))</f>
        <v>0.67939189635927644</v>
      </c>
      <c r="DO50" s="47">
        <f>COS(RADIANS(DF50))*COS(RADIANS(DH50-Insolation!$L$6))*SIN(RADIANS(Insolation!$L$7))+SIN(RADIANS(DF50))*COS(RADIANS(Insolation!$L$7))</f>
        <v>8.7219382134663861E-2</v>
      </c>
      <c r="DP50" s="46">
        <f t="shared" si="94"/>
        <v>546.28295196227862</v>
      </c>
      <c r="DQ50" s="46">
        <f t="shared" si="95"/>
        <v>105.55958666252154</v>
      </c>
      <c r="DR50" s="46">
        <f t="shared" si="96"/>
        <v>70.131041886395664</v>
      </c>
      <c r="DS50" s="46">
        <f>$DD$55*DM50*((1+COS(RADIANS(Insolation!$L$7)))/2)</f>
        <v>52.77979333126077</v>
      </c>
      <c r="DT50" s="46">
        <f t="shared" si="97"/>
        <v>738.42099541276866</v>
      </c>
      <c r="DU50" s="46">
        <f t="shared" si="98"/>
        <v>70.382186595854577</v>
      </c>
      <c r="DV50" s="46">
        <f t="shared" si="99"/>
        <v>804.0763436975011</v>
      </c>
      <c r="DW50" s="46">
        <f t="shared" si="100"/>
        <v>88.63795721203671</v>
      </c>
    </row>
    <row r="51" spans="1:127" x14ac:dyDescent="0.25">
      <c r="A51" s="212"/>
      <c r="C51" s="235">
        <f>1160+75*SIN(RADIANS((360/365)*(C45-275)))</f>
        <v>1232.9088647471797</v>
      </c>
      <c r="D51" s="212">
        <v>9</v>
      </c>
      <c r="E51" s="46">
        <f t="shared" si="12"/>
        <v>13.848733615779162</v>
      </c>
      <c r="F51" s="207">
        <f t="shared" si="13"/>
        <v>45</v>
      </c>
      <c r="G51" s="46">
        <f t="shared" si="19"/>
        <v>42.739813070089731</v>
      </c>
      <c r="H51" s="46">
        <f t="shared" si="20"/>
        <v>42.739813070089731</v>
      </c>
      <c r="I51" s="46">
        <f t="shared" si="21"/>
        <v>137.26018692991028</v>
      </c>
      <c r="J51" s="46">
        <f t="shared" si="22"/>
        <v>-222.73981307008972</v>
      </c>
      <c r="K51" s="46">
        <f t="shared" si="23"/>
        <v>4.1778182879315411</v>
      </c>
      <c r="L51" s="46">
        <f t="shared" si="24"/>
        <v>689.22609472958436</v>
      </c>
      <c r="M51" s="47">
        <f>COS(RADIANS(E51))*COS(RADIANS(G51-Insolation!$L$6))*SIN(RADIANS(0))+(SIN(RADIANS(E51))*COS(RADIANS(0)))</f>
        <v>0.23935938116042499</v>
      </c>
      <c r="N51" s="47">
        <f>COS(RADIANS(E51))*COS(RADIANS(G51-Insolation!$L$6))*SIN(RADIANS(Insolation!$L$7))+SIN(RADIANS(E51))*COS(RADIANS(Insolation!$L$7))</f>
        <v>0.71309368678006124</v>
      </c>
      <c r="O51" s="46">
        <f t="shared" si="25"/>
        <v>164.97273151408976</v>
      </c>
      <c r="P51" s="46">
        <f t="shared" si="26"/>
        <v>38.066841988160917</v>
      </c>
      <c r="Q51" s="46">
        <f t="shared" si="27"/>
        <v>491.48277691574305</v>
      </c>
      <c r="R51" s="46">
        <f>$C$55*L51*((1+COS(RADIANS(Insolation!$L$7)))/2)</f>
        <v>19.033420994080458</v>
      </c>
      <c r="S51" s="46">
        <f t="shared" si="28"/>
        <v>642.27920331918585</v>
      </c>
      <c r="T51" s="46">
        <f t="shared" si="29"/>
        <v>29.982686027135085</v>
      </c>
      <c r="U51" s="46">
        <f t="shared" si="30"/>
        <v>689.22609472958436</v>
      </c>
      <c r="V51" s="46">
        <f t="shared" si="31"/>
        <v>23.589248864589401</v>
      </c>
      <c r="X51" s="235">
        <f>1160+75*SIN(RADIANS((360/365)*(X45-275)))</f>
        <v>1213.8257685256972</v>
      </c>
      <c r="Y51" s="212">
        <v>9</v>
      </c>
      <c r="Z51" s="46">
        <f t="shared" si="32"/>
        <v>20.538772345784377</v>
      </c>
      <c r="AA51" s="207">
        <f t="shared" si="14"/>
        <v>45</v>
      </c>
      <c r="AB51" s="46">
        <f t="shared" si="33"/>
        <v>47.297511279853147</v>
      </c>
      <c r="AC51" s="46">
        <f t="shared" si="34"/>
        <v>47.297511279853147</v>
      </c>
      <c r="AD51" s="46">
        <f t="shared" si="35"/>
        <v>132.70248872014685</v>
      </c>
      <c r="AE51" s="46">
        <f t="shared" si="36"/>
        <v>-227.29751127985315</v>
      </c>
      <c r="AF51" s="46">
        <f t="shared" si="37"/>
        <v>2.8502927740371504</v>
      </c>
      <c r="AG51" s="46">
        <f t="shared" si="38"/>
        <v>800.73133617716041</v>
      </c>
      <c r="AH51" s="47">
        <f>COS(RADIANS(Z51))*COS(RADIANS(AB51-Insolation!$L$6))*SIN(RADIANS(0))+(SIN(RADIANS(Z51))*COS(RADIANS(0)))</f>
        <v>0.3508411518665156</v>
      </c>
      <c r="AI51" s="47">
        <f>COS(RADIANS(Z51))*COS(RADIANS(AB51-Insolation!$L$6))*SIN(RADIANS(Insolation!$L$7))+SIN(RADIANS(Z51))*COS(RADIANS(Insolation!$L$7))</f>
        <v>0.63508233439311457</v>
      </c>
      <c r="AJ51" s="46">
        <f t="shared" si="39"/>
        <v>280.92950432000907</v>
      </c>
      <c r="AK51" s="46">
        <f t="shared" si="40"/>
        <v>50.402479541050567</v>
      </c>
      <c r="AL51" s="46">
        <f t="shared" si="41"/>
        <v>508.53032620110883</v>
      </c>
      <c r="AM51" s="46">
        <f>$X$55*AG51*((1+COS(RADIANS(Insolation!$L$7)))/2)</f>
        <v>25.201239770525284</v>
      </c>
      <c r="AN51" s="46">
        <f t="shared" si="42"/>
        <v>779.28966844475565</v>
      </c>
      <c r="AO51" s="46">
        <f t="shared" si="43"/>
        <v>39.230785284949029</v>
      </c>
      <c r="AP51" s="46">
        <f t="shared" si="44"/>
        <v>800.73133617716041</v>
      </c>
      <c r="AQ51" s="46">
        <f t="shared" si="45"/>
        <v>34.042871760080622</v>
      </c>
      <c r="AS51" s="235">
        <f>1160+75*SIN(RADIANS((360/365)*(AS45-275)))</f>
        <v>1183.4830280701869</v>
      </c>
      <c r="AT51" s="212">
        <v>9</v>
      </c>
      <c r="AU51" s="46">
        <f t="shared" si="46"/>
        <v>29.109236770378558</v>
      </c>
      <c r="AV51" s="207">
        <f t="shared" si="15"/>
        <v>45</v>
      </c>
      <c r="AW51" s="46">
        <f t="shared" si="47"/>
        <v>53.935121014994486</v>
      </c>
      <c r="AX51" s="46">
        <f t="shared" si="48"/>
        <v>53.935121014994486</v>
      </c>
      <c r="AY51" s="46">
        <f t="shared" si="49"/>
        <v>126.06487898500552</v>
      </c>
      <c r="AZ51" s="46">
        <f t="shared" si="50"/>
        <v>-233.93512101499448</v>
      </c>
      <c r="BA51" s="46">
        <f t="shared" si="51"/>
        <v>2.0555988648987351</v>
      </c>
      <c r="BB51" s="46">
        <f t="shared" si="52"/>
        <v>853.78494521986727</v>
      </c>
      <c r="BC51" s="47">
        <f>COS(RADIANS(AU51))*COS(RADIANS(AW51-Insolation!$L$6))*SIN(RADIANS(0))+(SIN(RADIANS(AU51))*COS(RADIANS(0)))</f>
        <v>0.48647623671910473</v>
      </c>
      <c r="BD51" s="47">
        <f>COS(RADIANS(AU51))*COS(RADIANS(AW51-Insolation!$L$6))*SIN(RADIANS(Insolation!$L$7))+SIN(RADIANS(AU51))*COS(RADIANS(Insolation!$L$7))</f>
        <v>0.51434439012887778</v>
      </c>
      <c r="BE51" s="46">
        <f t="shared" si="53"/>
        <v>415.34608711798802</v>
      </c>
      <c r="BF51" s="46">
        <f t="shared" si="54"/>
        <v>66.329678372760768</v>
      </c>
      <c r="BG51" s="46">
        <f t="shared" si="55"/>
        <v>439.13949695032994</v>
      </c>
      <c r="BH51" s="46">
        <f>$AS$55*BB51*((1+COS(RADIANS(Insolation!$L$7)))/2)</f>
        <v>33.164839186380384</v>
      </c>
      <c r="BI51" s="46">
        <f t="shared" si="56"/>
        <v>852.75185466591597</v>
      </c>
      <c r="BJ51" s="46">
        <f t="shared" si="57"/>
        <v>50.704225809483539</v>
      </c>
      <c r="BK51" s="46">
        <f t="shared" si="58"/>
        <v>853.78494521986727</v>
      </c>
      <c r="BL51" s="46">
        <f t="shared" si="59"/>
        <v>49.298745345165003</v>
      </c>
      <c r="BN51" s="235">
        <f>1160+75*SIN(RADIANS((360/365)*(BN45-275)))</f>
        <v>1143.9859313420152</v>
      </c>
      <c r="BO51" s="212">
        <v>9</v>
      </c>
      <c r="BP51" s="46">
        <f t="shared" si="60"/>
        <v>38.619165299566802</v>
      </c>
      <c r="BQ51" s="207">
        <f t="shared" si="16"/>
        <v>45</v>
      </c>
      <c r="BR51" s="46">
        <f t="shared" si="61"/>
        <v>63.231576943167468</v>
      </c>
      <c r="BS51" s="46">
        <f t="shared" si="62"/>
        <v>63.231576943167468</v>
      </c>
      <c r="BT51" s="46">
        <f t="shared" si="63"/>
        <v>116.76842305683253</v>
      </c>
      <c r="BU51" s="46">
        <f t="shared" si="64"/>
        <v>-243.23157694316745</v>
      </c>
      <c r="BV51" s="46">
        <f t="shared" si="65"/>
        <v>1.6022021216902589</v>
      </c>
      <c r="BW51" s="46">
        <f t="shared" si="66"/>
        <v>861.49568780838354</v>
      </c>
      <c r="BX51" s="47">
        <f>COS(RADIANS(BP51))*COS(RADIANS(BR51-Insolation!$L$6))*SIN(RADIANS(0))+(SIN(RADIANS(BP51))*COS(RADIANS(0)))</f>
        <v>0.62414097850840455</v>
      </c>
      <c r="BY51" s="47">
        <f>COS(RADIANS(BP51))*COS(RADIANS(BR51-Insolation!$L$6))*SIN(RADIANS(Insolation!$L$7))+SIN(RADIANS(BP51))*COS(RADIANS(Insolation!$L$7))</f>
        <v>0.35189151799618434</v>
      </c>
      <c r="BZ51" s="46">
        <f t="shared" si="67"/>
        <v>537.69476156949554</v>
      </c>
      <c r="CA51" s="46">
        <f t="shared" si="68"/>
        <v>84.804422478421472</v>
      </c>
      <c r="CB51" s="46">
        <f t="shared" si="69"/>
        <v>303.15302533005899</v>
      </c>
      <c r="CC51" s="46">
        <f>$BN$55*BW51*((1+COS(RADIANS(Insolation!$L$7)))/2)</f>
        <v>42.402211239210736</v>
      </c>
      <c r="CD51" s="46">
        <f t="shared" si="70"/>
        <v>849.89105975577365</v>
      </c>
      <c r="CE51" s="46">
        <f t="shared" si="71"/>
        <v>63.091299241159398</v>
      </c>
      <c r="CF51" s="46">
        <f t="shared" si="72"/>
        <v>861.49568780838354</v>
      </c>
      <c r="CG51" s="46">
        <f t="shared" si="73"/>
        <v>68.867168852971801</v>
      </c>
      <c r="CI51" s="235">
        <f>1160+75*SIN(RADIANS((360/365)*(CI45-275)))</f>
        <v>1109.895210183985</v>
      </c>
      <c r="CJ51" s="212">
        <v>9</v>
      </c>
      <c r="CK51" s="46">
        <f t="shared" si="74"/>
        <v>45.296230531132132</v>
      </c>
      <c r="CL51" s="207">
        <f t="shared" si="17"/>
        <v>45</v>
      </c>
      <c r="CM51" s="46">
        <f t="shared" si="75"/>
        <v>72.106172714451176</v>
      </c>
      <c r="CN51" s="46">
        <f t="shared" si="76"/>
        <v>72.106172714451176</v>
      </c>
      <c r="CO51" s="46">
        <f t="shared" si="77"/>
        <v>107.89382728554882</v>
      </c>
      <c r="CP51" s="46">
        <f t="shared" si="78"/>
        <v>-252.10617271445119</v>
      </c>
      <c r="CQ51" s="46">
        <f t="shared" si="79"/>
        <v>1.4069581470448285</v>
      </c>
      <c r="CR51" s="46">
        <f t="shared" si="80"/>
        <v>844.97223528877316</v>
      </c>
      <c r="CS51" s="47">
        <f>COS(RADIANS(CK51))*COS(RADIANS(CM51-Insolation!$L$6))*SIN(RADIANS(0))+(SIN(RADIANS(CK51))*COS(RADIANS(0)))</f>
        <v>0.71075319624851496</v>
      </c>
      <c r="CT51" s="47">
        <f>COS(RADIANS(CK51))*COS(RADIANS(CM51-Insolation!$L$6))*SIN(RADIANS(Insolation!$L$7))+SIN(RADIANS(CK51))*COS(RADIANS(Insolation!$L$7))</f>
        <v>0.2161352718103976</v>
      </c>
      <c r="CU51" s="46">
        <f t="shared" si="81"/>
        <v>600.56671697274771</v>
      </c>
      <c r="CV51" s="46">
        <f t="shared" si="82"/>
        <v>99.426252342648624</v>
      </c>
      <c r="CW51" s="46">
        <f t="shared" si="83"/>
        <v>182.62830374637824</v>
      </c>
      <c r="CX51" s="46">
        <f>$CI$55*CR51*((1+COS(RADIANS(Insolation!$L$7)))/2)</f>
        <v>49.713126171324312</v>
      </c>
      <c r="CY51" s="46">
        <f t="shared" si="84"/>
        <v>799.93074643271711</v>
      </c>
      <c r="CZ51" s="46">
        <f t="shared" si="101"/>
        <v>71.898363329755227</v>
      </c>
      <c r="DA51" s="46">
        <f t="shared" si="85"/>
        <v>844.97223528877316</v>
      </c>
      <c r="DB51" s="46">
        <f t="shared" si="86"/>
        <v>85.04688949309876</v>
      </c>
      <c r="DD51" s="235">
        <f>1160+75*SIN(RADIANS((360/365)*(DD45-275)))</f>
        <v>1088.4739252527165</v>
      </c>
      <c r="DE51" s="212">
        <v>9</v>
      </c>
      <c r="DF51" s="46">
        <f t="shared" si="87"/>
        <v>48.233028849681361</v>
      </c>
      <c r="DG51" s="207">
        <f t="shared" si="18"/>
        <v>45</v>
      </c>
      <c r="DH51" s="46">
        <f t="shared" si="88"/>
        <v>77.130208843488447</v>
      </c>
      <c r="DI51" s="46">
        <f t="shared" si="89"/>
        <v>77.130208843488447</v>
      </c>
      <c r="DJ51" s="46">
        <f t="shared" si="90"/>
        <v>102.86979115651155</v>
      </c>
      <c r="DK51" s="46">
        <f t="shared" si="91"/>
        <v>-257.13020884348845</v>
      </c>
      <c r="DL51" s="46">
        <f t="shared" si="92"/>
        <v>1.3407339945002608</v>
      </c>
      <c r="DM51" s="46">
        <f t="shared" si="93"/>
        <v>826.07202062686406</v>
      </c>
      <c r="DN51" s="47">
        <f>COS(RADIANS(DF51))*COS(RADIANS(DH51-Insolation!$L$6))*SIN(RADIANS(0))+(SIN(RADIANS(DF51))*COS(RADIANS(0)))</f>
        <v>0.74586010655509305</v>
      </c>
      <c r="DO51" s="47">
        <f>COS(RADIANS(DF51))*COS(RADIANS(DH51-Insolation!$L$6))*SIN(RADIANS(Insolation!$L$7))+SIN(RADIANS(DF51))*COS(RADIANS(Insolation!$L$7))</f>
        <v>0.14836513208233984</v>
      </c>
      <c r="DP51" s="46">
        <f t="shared" si="94"/>
        <v>616.13416532693384</v>
      </c>
      <c r="DQ51" s="46">
        <f t="shared" si="95"/>
        <v>108.44719128268608</v>
      </c>
      <c r="DR51" s="46">
        <f t="shared" si="96"/>
        <v>122.56028444983005</v>
      </c>
      <c r="DS51" s="46">
        <f>$DD$55*DM51*((1+COS(RADIANS(Insolation!$L$7)))/2)</f>
        <v>54.223595641343039</v>
      </c>
      <c r="DT51" s="46">
        <f t="shared" si="97"/>
        <v>758.62065652737078</v>
      </c>
      <c r="DU51" s="46">
        <f t="shared" si="98"/>
        <v>77.06965278176537</v>
      </c>
      <c r="DV51" s="46">
        <f t="shared" si="99"/>
        <v>826.07202062686406</v>
      </c>
      <c r="DW51" s="46">
        <f t="shared" si="100"/>
        <v>94.666812464195431</v>
      </c>
    </row>
    <row r="52" spans="1:127" x14ac:dyDescent="0.25">
      <c r="A52" s="212"/>
      <c r="C52" s="236" t="s">
        <v>184</v>
      </c>
      <c r="D52" s="212">
        <v>9.5</v>
      </c>
      <c r="E52" s="46">
        <f t="shared" si="12"/>
        <v>17.368116097146689</v>
      </c>
      <c r="F52" s="207">
        <f t="shared" si="13"/>
        <v>37.5</v>
      </c>
      <c r="G52" s="46">
        <f t="shared" si="19"/>
        <v>36.469583164699962</v>
      </c>
      <c r="H52" s="46">
        <f t="shared" si="20"/>
        <v>36.469583164699962</v>
      </c>
      <c r="I52" s="46">
        <f t="shared" si="21"/>
        <v>143.53041683530003</v>
      </c>
      <c r="J52" s="46">
        <f t="shared" si="22"/>
        <v>-216.46958316469997</v>
      </c>
      <c r="K52" s="46">
        <f t="shared" si="23"/>
        <v>3.3499745418180265</v>
      </c>
      <c r="L52" s="46">
        <f t="shared" si="24"/>
        <v>773.40835373747052</v>
      </c>
      <c r="M52" s="47">
        <f>COS(RADIANS(E52))*COS(RADIANS(G52-Insolation!$L$6))*SIN(RADIANS(0))+(SIN(RADIANS(E52))*COS(RADIANS(0)))</f>
        <v>0.2985097311985247</v>
      </c>
      <c r="N52" s="47">
        <f>COS(RADIANS(E52))*COS(RADIANS(G52-Insolation!$L$6))*SIN(RADIANS(Insolation!$L$7))+SIN(RADIANS(E52))*COS(RADIANS(Insolation!$L$7))</f>
        <v>0.76750755623873912</v>
      </c>
      <c r="O52" s="46">
        <f t="shared" si="25"/>
        <v>230.86991978086584</v>
      </c>
      <c r="P52" s="46">
        <f t="shared" si="26"/>
        <v>42.716336219973101</v>
      </c>
      <c r="Q52" s="46">
        <f t="shared" si="27"/>
        <v>593.59675555167235</v>
      </c>
      <c r="R52" s="46">
        <f>$C$55*L52*((1+COS(RADIANS(Insolation!$L$7)))/2)</f>
        <v>21.358168109986551</v>
      </c>
      <c r="S52" s="46">
        <f t="shared" si="28"/>
        <v>720.72735649076321</v>
      </c>
      <c r="T52" s="46">
        <f t="shared" si="29"/>
        <v>34.69404155746183</v>
      </c>
      <c r="U52" s="46">
        <f t="shared" si="30"/>
        <v>773.40835373747052</v>
      </c>
      <c r="V52" s="46">
        <f t="shared" si="31"/>
        <v>27.733789131391539</v>
      </c>
      <c r="X52" s="236" t="s">
        <v>184</v>
      </c>
      <c r="Y52" s="212">
        <v>9.5</v>
      </c>
      <c r="Z52" s="46">
        <f t="shared" si="32"/>
        <v>24.369234550087153</v>
      </c>
      <c r="AA52" s="207">
        <f t="shared" si="14"/>
        <v>37.5</v>
      </c>
      <c r="AB52" s="46">
        <f t="shared" si="33"/>
        <v>40.57238109013921</v>
      </c>
      <c r="AC52" s="46">
        <f t="shared" si="34"/>
        <v>40.57238109013921</v>
      </c>
      <c r="AD52" s="46">
        <f t="shared" si="35"/>
        <v>139.4276189098608</v>
      </c>
      <c r="AE52" s="46">
        <f t="shared" si="36"/>
        <v>-220.5723810901392</v>
      </c>
      <c r="AF52" s="46">
        <f t="shared" si="37"/>
        <v>2.423564583747738</v>
      </c>
      <c r="AG52" s="46">
        <f t="shared" si="38"/>
        <v>852.1882622976857</v>
      </c>
      <c r="AH52" s="47">
        <f>COS(RADIANS(Z52))*COS(RADIANS(AB52-Insolation!$L$6))*SIN(RADIANS(0))+(SIN(RADIANS(Z52))*COS(RADIANS(0)))</f>
        <v>0.41261537105548296</v>
      </c>
      <c r="AI52" s="47">
        <f>COS(RADIANS(Z52))*COS(RADIANS(AB52-Insolation!$L$6))*SIN(RADIANS(Insolation!$L$7))+SIN(RADIANS(Z52))*COS(RADIANS(Insolation!$L$7))</f>
        <v>0.69190996595734255</v>
      </c>
      <c r="AJ52" s="46">
        <f t="shared" si="39"/>
        <v>351.6259760570868</v>
      </c>
      <c r="AK52" s="46">
        <f t="shared" si="40"/>
        <v>53.641464390097745</v>
      </c>
      <c r="AL52" s="46">
        <f t="shared" si="41"/>
        <v>589.63755155563865</v>
      </c>
      <c r="AM52" s="46">
        <f>$X$55*AG52*((1+COS(RADIANS(Insolation!$L$7)))/2)</f>
        <v>26.820732195048873</v>
      </c>
      <c r="AN52" s="46">
        <f t="shared" si="42"/>
        <v>829.36870130375996</v>
      </c>
      <c r="AO52" s="46">
        <f t="shared" si="43"/>
        <v>43.206919618540894</v>
      </c>
      <c r="AP52" s="46">
        <f t="shared" si="44"/>
        <v>852.1882622976857</v>
      </c>
      <c r="AQ52" s="46">
        <f t="shared" si="45"/>
        <v>37.887378561688699</v>
      </c>
      <c r="AS52" s="236" t="s">
        <v>184</v>
      </c>
      <c r="AT52" s="212">
        <v>9.5</v>
      </c>
      <c r="AU52" s="46">
        <f t="shared" si="46"/>
        <v>33.35832335988438</v>
      </c>
      <c r="AV52" s="207">
        <f t="shared" si="15"/>
        <v>37.5</v>
      </c>
      <c r="AW52" s="46">
        <f t="shared" si="47"/>
        <v>46.715409348804734</v>
      </c>
      <c r="AX52" s="46">
        <f t="shared" si="48"/>
        <v>46.715409348804734</v>
      </c>
      <c r="AY52" s="46">
        <f t="shared" si="49"/>
        <v>133.28459065119526</v>
      </c>
      <c r="AZ52" s="46">
        <f t="shared" si="50"/>
        <v>-226.71540934880474</v>
      </c>
      <c r="BA52" s="46">
        <f t="shared" si="51"/>
        <v>1.8186006561711734</v>
      </c>
      <c r="BB52" s="46">
        <f t="shared" si="52"/>
        <v>886.54083125764964</v>
      </c>
      <c r="BC52" s="47">
        <f>COS(RADIANS(AU52))*COS(RADIANS(AW52-Insolation!$L$6))*SIN(RADIANS(0))+(SIN(RADIANS(AU52))*COS(RADIANS(0)))</f>
        <v>0.54987333068787603</v>
      </c>
      <c r="BD52" s="47">
        <f>COS(RADIANS(AU52))*COS(RADIANS(AW52-Insolation!$L$6))*SIN(RADIANS(Insolation!$L$7))+SIN(RADIANS(AU52))*COS(RADIANS(Insolation!$L$7))</f>
        <v>0.57266494432769954</v>
      </c>
      <c r="BE52" s="46">
        <f t="shared" si="53"/>
        <v>487.48515967444206</v>
      </c>
      <c r="BF52" s="46">
        <f t="shared" si="54"/>
        <v>68.874449626769476</v>
      </c>
      <c r="BG52" s="46">
        <f t="shared" si="55"/>
        <v>507.69085577639441</v>
      </c>
      <c r="BH52" s="46">
        <f>$AS$55*BB52*((1+COS(RADIANS(Insolation!$L$7)))/2)</f>
        <v>34.437224813384738</v>
      </c>
      <c r="BI52" s="46">
        <f t="shared" si="56"/>
        <v>885.46810566838712</v>
      </c>
      <c r="BJ52" s="46">
        <f t="shared" si="57"/>
        <v>54.764985925588213</v>
      </c>
      <c r="BK52" s="46">
        <f t="shared" si="58"/>
        <v>886.54083125764964</v>
      </c>
      <c r="BL52" s="46">
        <f t="shared" si="59"/>
        <v>53.373336321167777</v>
      </c>
      <c r="BN52" s="236" t="s">
        <v>184</v>
      </c>
      <c r="BO52" s="212">
        <v>9.5</v>
      </c>
      <c r="BP52" s="46">
        <f t="shared" si="60"/>
        <v>43.374168022644</v>
      </c>
      <c r="BQ52" s="207">
        <f t="shared" si="16"/>
        <v>37.5</v>
      </c>
      <c r="BR52" s="46">
        <f t="shared" si="61"/>
        <v>55.71164968642114</v>
      </c>
      <c r="BS52" s="46">
        <f t="shared" si="62"/>
        <v>55.71164968642114</v>
      </c>
      <c r="BT52" s="46">
        <f t="shared" si="63"/>
        <v>124.28835031357886</v>
      </c>
      <c r="BU52" s="46">
        <f t="shared" si="64"/>
        <v>-235.71164968642114</v>
      </c>
      <c r="BV52" s="46">
        <f t="shared" si="65"/>
        <v>1.4561130527554806</v>
      </c>
      <c r="BW52" s="46">
        <f t="shared" si="66"/>
        <v>884.06368032824253</v>
      </c>
      <c r="BX52" s="47">
        <f>COS(RADIANS(BP52))*COS(RADIANS(BR52-Insolation!$L$6))*SIN(RADIANS(0))+(SIN(RADIANS(BP52))*COS(RADIANS(0)))</f>
        <v>0.68675986257224086</v>
      </c>
      <c r="BY52" s="47">
        <f>COS(RADIANS(BP52))*COS(RADIANS(BR52-Insolation!$L$6))*SIN(RADIANS(Insolation!$L$7))+SIN(RADIANS(BP52))*COS(RADIANS(Insolation!$L$7))</f>
        <v>0.40949617766266044</v>
      </c>
      <c r="BZ52" s="46">
        <f t="shared" si="67"/>
        <v>607.13945160733329</v>
      </c>
      <c r="CA52" s="46">
        <f t="shared" si="68"/>
        <v>87.025983885203189</v>
      </c>
      <c r="CB52" s="46">
        <f t="shared" si="69"/>
        <v>362.02069790479948</v>
      </c>
      <c r="CC52" s="46">
        <f>$BN$55*BW52*((1+COS(RADIANS(Insolation!$L$7)))/2)</f>
        <v>43.512991942601595</v>
      </c>
      <c r="CD52" s="46">
        <f t="shared" si="70"/>
        <v>872.15505405162139</v>
      </c>
      <c r="CE52" s="46">
        <f t="shared" si="71"/>
        <v>67.81950109420255</v>
      </c>
      <c r="CF52" s="46">
        <f t="shared" si="72"/>
        <v>884.06368032824253</v>
      </c>
      <c r="CG52" s="46">
        <f t="shared" si="73"/>
        <v>73.395968309209692</v>
      </c>
      <c r="CI52" s="236" t="s">
        <v>184</v>
      </c>
      <c r="CJ52" s="212">
        <v>9.5</v>
      </c>
      <c r="CK52" s="46">
        <f t="shared" si="74"/>
        <v>50.429703944431054</v>
      </c>
      <c r="CL52" s="207">
        <f t="shared" si="17"/>
        <v>37.5</v>
      </c>
      <c r="CM52" s="46">
        <f t="shared" si="75"/>
        <v>64.781897037004995</v>
      </c>
      <c r="CN52" s="46">
        <f t="shared" si="76"/>
        <v>64.781897037004995</v>
      </c>
      <c r="CO52" s="46">
        <f t="shared" si="77"/>
        <v>115.218102962995</v>
      </c>
      <c r="CP52" s="46">
        <f t="shared" si="78"/>
        <v>-244.781897037005</v>
      </c>
      <c r="CQ52" s="46">
        <f t="shared" si="79"/>
        <v>1.2972800189740294</v>
      </c>
      <c r="CR52" s="46">
        <f t="shared" si="80"/>
        <v>863.12815633724074</v>
      </c>
      <c r="CS52" s="47">
        <f>COS(RADIANS(CK52))*COS(RADIANS(CM52-Insolation!$L$6))*SIN(RADIANS(0))+(SIN(RADIANS(CK52))*COS(RADIANS(0)))</f>
        <v>0.77084359997378427</v>
      </c>
      <c r="CT52" s="47">
        <f>COS(RADIANS(CK52))*COS(RADIANS(CM52-Insolation!$L$6))*SIN(RADIANS(Insolation!$L$7))+SIN(RADIANS(CK52))*COS(RADIANS(Insolation!$L$7))</f>
        <v>0.2714139198981938</v>
      </c>
      <c r="CU52" s="46">
        <f t="shared" si="81"/>
        <v>665.33681526973396</v>
      </c>
      <c r="CV52" s="46">
        <f t="shared" si="82"/>
        <v>101.56262453606301</v>
      </c>
      <c r="CW52" s="46">
        <f t="shared" si="83"/>
        <v>234.26499628599154</v>
      </c>
      <c r="CX52" s="46">
        <f>$CI$55*CR52*((1+COS(RADIANS(Insolation!$L$7)))/2)</f>
        <v>50.781312268031506</v>
      </c>
      <c r="CY52" s="46">
        <f t="shared" si="84"/>
        <v>817.11886087000471</v>
      </c>
      <c r="CZ52" s="46">
        <f t="shared" si="101"/>
        <v>77.418522858576125</v>
      </c>
      <c r="DA52" s="46">
        <f t="shared" si="85"/>
        <v>863.12815633724074</v>
      </c>
      <c r="DB52" s="46">
        <f t="shared" si="86"/>
        <v>89.925761828113806</v>
      </c>
      <c r="DD52" s="236" t="s">
        <v>184</v>
      </c>
      <c r="DE52" s="212">
        <v>9.5</v>
      </c>
      <c r="DF52" s="46">
        <f t="shared" si="87"/>
        <v>53.528357847560791</v>
      </c>
      <c r="DG52" s="207">
        <f t="shared" si="18"/>
        <v>37.5</v>
      </c>
      <c r="DH52" s="46">
        <f t="shared" si="88"/>
        <v>70.135008206791781</v>
      </c>
      <c r="DI52" s="46">
        <f t="shared" si="89"/>
        <v>70.135008206791781</v>
      </c>
      <c r="DJ52" s="46">
        <f t="shared" si="90"/>
        <v>109.86499179320822</v>
      </c>
      <c r="DK52" s="46">
        <f t="shared" si="91"/>
        <v>-250.13500820679178</v>
      </c>
      <c r="DL52" s="46">
        <f t="shared" si="92"/>
        <v>1.2435472914981649</v>
      </c>
      <c r="DM52" s="46">
        <f t="shared" si="93"/>
        <v>842.75617977517174</v>
      </c>
      <c r="DN52" s="47">
        <f>COS(RADIANS(DF52))*COS(RADIANS(DH52-Insolation!$L$6))*SIN(RADIANS(0))+(SIN(RADIANS(DF52))*COS(RADIANS(0)))</f>
        <v>0.80415116243407914</v>
      </c>
      <c r="DO52" s="47">
        <f>COS(RADIANS(DF52))*COS(RADIANS(DH52-Insolation!$L$6))*SIN(RADIANS(Insolation!$L$7))+SIN(RADIANS(DF52))*COS(RADIANS(Insolation!$L$7))</f>
        <v>0.20198851559849215</v>
      </c>
      <c r="DP52" s="46">
        <f t="shared" si="94"/>
        <v>677.70336161470811</v>
      </c>
      <c r="DQ52" s="46">
        <f t="shared" si="95"/>
        <v>110.63749691387581</v>
      </c>
      <c r="DR52" s="46">
        <f t="shared" si="96"/>
        <v>170.22706976424294</v>
      </c>
      <c r="DS52" s="46">
        <f>$DD$55*DM52*((1+COS(RADIANS(Insolation!$L$7)))/2)</f>
        <v>55.318748456937904</v>
      </c>
      <c r="DT52" s="46">
        <f t="shared" si="97"/>
        <v>773.94250189999536</v>
      </c>
      <c r="DU52" s="46">
        <f t="shared" si="98"/>
        <v>83.156820413087473</v>
      </c>
      <c r="DV52" s="46">
        <f t="shared" si="99"/>
        <v>842.75617977517174</v>
      </c>
      <c r="DW52" s="46">
        <f t="shared" si="100"/>
        <v>99.803384332982944</v>
      </c>
    </row>
    <row r="53" spans="1:127" x14ac:dyDescent="0.25">
      <c r="A53" s="212"/>
      <c r="C53" s="47">
        <f>0.174+0.035*SIN(RADIANS(360/365*(C45-100)))</f>
        <v>0.13920237325871165</v>
      </c>
      <c r="D53" s="212">
        <v>10</v>
      </c>
      <c r="E53" s="46">
        <f t="shared" si="12"/>
        <v>20.386445551119188</v>
      </c>
      <c r="F53" s="207">
        <f t="shared" si="13"/>
        <v>30</v>
      </c>
      <c r="G53" s="46">
        <f t="shared" si="19"/>
        <v>29.806804839499257</v>
      </c>
      <c r="H53" s="46">
        <f t="shared" si="20"/>
        <v>29.806804839499257</v>
      </c>
      <c r="I53" s="46">
        <f t="shared" si="21"/>
        <v>150.19319516050075</v>
      </c>
      <c r="J53" s="46">
        <f t="shared" si="22"/>
        <v>-209.80680483949925</v>
      </c>
      <c r="K53" s="46">
        <f t="shared" si="23"/>
        <v>2.8706735308265499</v>
      </c>
      <c r="L53" s="46">
        <f t="shared" si="24"/>
        <v>826.77039353160797</v>
      </c>
      <c r="M53" s="47">
        <f>COS(RADIANS(E53))*COS(RADIANS(G53-Insolation!$L$6))*SIN(RADIANS(0))+(SIN(RADIANS(E53))*COS(RADIANS(0)))</f>
        <v>0.34835030499343167</v>
      </c>
      <c r="N53" s="47">
        <f>COS(RADIANS(E53))*COS(RADIANS(G53-Insolation!$L$6))*SIN(RADIANS(Insolation!$L$7))+SIN(RADIANS(E53))*COS(RADIANS(Insolation!$L$7))</f>
        <v>0.81335713235240259</v>
      </c>
      <c r="O53" s="46">
        <f t="shared" si="25"/>
        <v>288.00571874627514</v>
      </c>
      <c r="P53" s="46">
        <f t="shared" si="26"/>
        <v>45.663590179947391</v>
      </c>
      <c r="Q53" s="46">
        <f t="shared" si="27"/>
        <v>672.45959639673606</v>
      </c>
      <c r="R53" s="46">
        <f>$C$55*L53*((1+COS(RADIANS(Insolation!$L$7)))/2)</f>
        <v>22.831795089973696</v>
      </c>
      <c r="S53" s="46">
        <f t="shared" si="28"/>
        <v>770.45462112648818</v>
      </c>
      <c r="T53" s="46">
        <f t="shared" si="29"/>
        <v>38.007078553546116</v>
      </c>
      <c r="U53" s="46">
        <f t="shared" si="30"/>
        <v>826.77039353160797</v>
      </c>
      <c r="V53" s="46">
        <f t="shared" si="31"/>
        <v>30.785257873113565</v>
      </c>
      <c r="X53" s="47">
        <f>0.174+0.035*SIN(RADIANS(360/365*(X45-100)))</f>
        <v>0.1459523619138863</v>
      </c>
      <c r="Y53" s="212">
        <v>10</v>
      </c>
      <c r="Z53" s="46">
        <f t="shared" si="32"/>
        <v>27.688662553652001</v>
      </c>
      <c r="AA53" s="207">
        <f t="shared" si="14"/>
        <v>30</v>
      </c>
      <c r="AB53" s="46">
        <f t="shared" si="33"/>
        <v>33.335572800022035</v>
      </c>
      <c r="AC53" s="46">
        <f t="shared" si="34"/>
        <v>33.335572800022035</v>
      </c>
      <c r="AD53" s="46">
        <f t="shared" si="35"/>
        <v>146.66442719997798</v>
      </c>
      <c r="AE53" s="46">
        <f t="shared" si="36"/>
        <v>-213.33557280002202</v>
      </c>
      <c r="AF53" s="46">
        <f t="shared" si="37"/>
        <v>2.1520795476523604</v>
      </c>
      <c r="AG53" s="46">
        <f t="shared" si="38"/>
        <v>886.63318383334718</v>
      </c>
      <c r="AH53" s="47">
        <f>COS(RADIANS(Z53))*COS(RADIANS(AB53-Insolation!$L$6))*SIN(RADIANS(0))+(SIN(RADIANS(Z53))*COS(RADIANS(0)))</f>
        <v>0.46466683868208791</v>
      </c>
      <c r="AI53" s="47">
        <f>COS(RADIANS(Z53))*COS(RADIANS(AB53-Insolation!$L$6))*SIN(RADIANS(Insolation!$L$7))+SIN(RADIANS(Z53))*COS(RADIANS(Insolation!$L$7))</f>
        <v>0.73979339796987242</v>
      </c>
      <c r="AJ53" s="46">
        <f t="shared" si="39"/>
        <v>411.98903860247594</v>
      </c>
      <c r="AK53" s="46">
        <f t="shared" si="40"/>
        <v>55.809619143829224</v>
      </c>
      <c r="AL53" s="46">
        <f t="shared" si="41"/>
        <v>655.92537582091848</v>
      </c>
      <c r="AM53" s="46">
        <f>$X$55*AG53*((1+COS(RADIANS(Insolation!$L$7)))/2)</f>
        <v>27.904809571914612</v>
      </c>
      <c r="AN53" s="46">
        <f t="shared" si="42"/>
        <v>862.89127032332976</v>
      </c>
      <c r="AO53" s="46">
        <f t="shared" si="43"/>
        <v>46.203857376594577</v>
      </c>
      <c r="AP53" s="46">
        <f t="shared" si="44"/>
        <v>886.63318383334718</v>
      </c>
      <c r="AQ53" s="46">
        <f t="shared" si="45"/>
        <v>40.871249219721847</v>
      </c>
      <c r="AS53" s="47">
        <f>0.174+0.035*SIN(RADIANS(360/365*(AS45-100)))</f>
        <v>0.15885285426073489</v>
      </c>
      <c r="AT53" s="212">
        <v>10</v>
      </c>
      <c r="AU53" s="46">
        <f t="shared" si="46"/>
        <v>37.106053076077714</v>
      </c>
      <c r="AV53" s="207">
        <f t="shared" si="15"/>
        <v>30</v>
      </c>
      <c r="AW53" s="46">
        <f t="shared" si="47"/>
        <v>38.769198619541129</v>
      </c>
      <c r="AX53" s="46">
        <f t="shared" si="48"/>
        <v>38.769198619541129</v>
      </c>
      <c r="AY53" s="46">
        <f t="shared" si="49"/>
        <v>141.23080138045887</v>
      </c>
      <c r="AZ53" s="46">
        <f t="shared" si="50"/>
        <v>-218.76919861954113</v>
      </c>
      <c r="BA53" s="46">
        <f t="shared" si="51"/>
        <v>1.6575714450222596</v>
      </c>
      <c r="BB53" s="46">
        <f t="shared" si="52"/>
        <v>909.51103708052153</v>
      </c>
      <c r="BC53" s="47">
        <f>COS(RADIANS(AU53))*COS(RADIANS(AW53-Insolation!$L$6))*SIN(RADIANS(0))+(SIN(RADIANS(AU53))*COS(RADIANS(0)))</f>
        <v>0.60329224601632236</v>
      </c>
      <c r="BD53" s="47">
        <f>COS(RADIANS(AU53))*COS(RADIANS(AW53-Insolation!$L$6))*SIN(RADIANS(Insolation!$L$7))+SIN(RADIANS(AU53))*COS(RADIANS(Insolation!$L$7))</f>
        <v>0.62180632529051683</v>
      </c>
      <c r="BE53" s="46">
        <f t="shared" si="53"/>
        <v>548.70095633694245</v>
      </c>
      <c r="BF53" s="46">
        <f t="shared" si="54"/>
        <v>70.658981402502349</v>
      </c>
      <c r="BG53" s="46">
        <f t="shared" si="55"/>
        <v>565.53971577820607</v>
      </c>
      <c r="BH53" s="46">
        <f>$AS$55*BB53*((1+COS(RADIANS(Insolation!$L$7)))/2)</f>
        <v>35.329490701251174</v>
      </c>
      <c r="BI53" s="46">
        <f t="shared" si="56"/>
        <v>908.41051725245131</v>
      </c>
      <c r="BJ53" s="46">
        <f t="shared" si="57"/>
        <v>58.003371210311229</v>
      </c>
      <c r="BK53" s="46">
        <f t="shared" si="58"/>
        <v>909.51103708052153</v>
      </c>
      <c r="BL53" s="46">
        <f t="shared" si="59"/>
        <v>56.643498497021774</v>
      </c>
      <c r="BN53" s="47">
        <f>0.174+0.035*SIN(RADIANS(360/365*(BN45-100)))</f>
        <v>0.17700876795581061</v>
      </c>
      <c r="BO53" s="212">
        <v>10</v>
      </c>
      <c r="BP53" s="46">
        <f t="shared" si="60"/>
        <v>47.69080273862032</v>
      </c>
      <c r="BQ53" s="207">
        <f t="shared" si="16"/>
        <v>30</v>
      </c>
      <c r="BR53" s="46">
        <f t="shared" si="61"/>
        <v>47.120927626288157</v>
      </c>
      <c r="BS53" s="46">
        <f t="shared" si="62"/>
        <v>47.120927626288157</v>
      </c>
      <c r="BT53" s="46">
        <f t="shared" si="63"/>
        <v>132.87907237371184</v>
      </c>
      <c r="BU53" s="46">
        <f t="shared" si="64"/>
        <v>-227.12092762628816</v>
      </c>
      <c r="BV53" s="46">
        <f t="shared" si="65"/>
        <v>1.3522228922569177</v>
      </c>
      <c r="BW53" s="46">
        <f t="shared" si="66"/>
        <v>900.47154582931864</v>
      </c>
      <c r="BX53" s="47">
        <f>COS(RADIANS(BP53))*COS(RADIANS(BR53-Insolation!$L$6))*SIN(RADIANS(0))+(SIN(RADIANS(BP53))*COS(RADIANS(0)))</f>
        <v>0.73952305180321076</v>
      </c>
      <c r="BY53" s="47">
        <f>COS(RADIANS(BP53))*COS(RADIANS(BR53-Insolation!$L$6))*SIN(RADIANS(Insolation!$L$7))+SIN(RADIANS(BP53))*COS(RADIANS(Insolation!$L$7))</f>
        <v>0.45803433997595588</v>
      </c>
      <c r="BZ53" s="46">
        <f t="shared" si="67"/>
        <v>665.91946563365252</v>
      </c>
      <c r="CA53" s="46">
        <f t="shared" si="68"/>
        <v>88.641151062025855</v>
      </c>
      <c r="CB53" s="46">
        <f t="shared" si="69"/>
        <v>412.44689016106065</v>
      </c>
      <c r="CC53" s="46">
        <f>$BN$55*BW53*((1+COS(RADIANS(Insolation!$L$7)))/2)</f>
        <v>44.320575531012928</v>
      </c>
      <c r="CD53" s="46">
        <f t="shared" si="70"/>
        <v>888.34190024990608</v>
      </c>
      <c r="CE53" s="46">
        <f t="shared" si="71"/>
        <v>71.774912148951771</v>
      </c>
      <c r="CF53" s="46">
        <f t="shared" si="72"/>
        <v>900.47154582931864</v>
      </c>
      <c r="CG53" s="46">
        <f t="shared" si="73"/>
        <v>77.096662805382323</v>
      </c>
      <c r="CI53" s="47">
        <f>0.174+0.035*SIN(RADIANS(360/365*(CI45-100)))</f>
        <v>0.1938345614701891</v>
      </c>
      <c r="CJ53" s="212">
        <v>10</v>
      </c>
      <c r="CK53" s="46">
        <f t="shared" si="74"/>
        <v>55.232848325022267</v>
      </c>
      <c r="CL53" s="207">
        <f t="shared" si="17"/>
        <v>30</v>
      </c>
      <c r="CM53" s="46">
        <f t="shared" si="75"/>
        <v>56.107010064190625</v>
      </c>
      <c r="CN53" s="46">
        <f t="shared" si="76"/>
        <v>56.107010064190625</v>
      </c>
      <c r="CO53" s="46">
        <f t="shared" si="77"/>
        <v>123.89298993580937</v>
      </c>
      <c r="CP53" s="46">
        <f t="shared" si="78"/>
        <v>-236.10701006419063</v>
      </c>
      <c r="CQ53" s="46">
        <f t="shared" si="79"/>
        <v>1.2173206160380059</v>
      </c>
      <c r="CR53" s="46">
        <f t="shared" si="80"/>
        <v>876.60989585932543</v>
      </c>
      <c r="CS53" s="47">
        <f>COS(RADIANS(CK53))*COS(RADIANS(CM53-Insolation!$L$6))*SIN(RADIANS(0))+(SIN(RADIANS(CK53))*COS(RADIANS(0)))</f>
        <v>0.82147627077464946</v>
      </c>
      <c r="CT53" s="47">
        <f>COS(RADIANS(CK53))*COS(RADIANS(CM53-Insolation!$L$6))*SIN(RADIANS(Insolation!$L$7))+SIN(RADIANS(CK53))*COS(RADIANS(Insolation!$L$7))</f>
        <v>0.31799216563178434</v>
      </c>
      <c r="CU53" s="46">
        <f t="shared" si="81"/>
        <v>720.11422817467246</v>
      </c>
      <c r="CV53" s="46">
        <f t="shared" si="82"/>
        <v>103.14899480926205</v>
      </c>
      <c r="CW53" s="46">
        <f t="shared" si="83"/>
        <v>278.75507919855983</v>
      </c>
      <c r="CX53" s="46">
        <f>$CI$55*CR53*((1+COS(RADIANS(Insolation!$L$7)))/2)</f>
        <v>51.574497404631025</v>
      </c>
      <c r="CY53" s="46">
        <f t="shared" si="84"/>
        <v>829.88195237611444</v>
      </c>
      <c r="CZ53" s="46">
        <f t="shared" si="101"/>
        <v>82.209425647373621</v>
      </c>
      <c r="DA53" s="46">
        <f t="shared" si="85"/>
        <v>876.60989585932543</v>
      </c>
      <c r="DB53" s="46">
        <f t="shared" si="86"/>
        <v>93.941723199664153</v>
      </c>
      <c r="DD53" s="47">
        <f>0.174+0.035*SIN(RADIANS(360/365*(DD45-100)))</f>
        <v>0.20574548344809224</v>
      </c>
      <c r="DE53" s="212">
        <v>10</v>
      </c>
      <c r="DF53" s="46">
        <f t="shared" si="87"/>
        <v>58.568880112135957</v>
      </c>
      <c r="DG53" s="207">
        <f t="shared" si="18"/>
        <v>30</v>
      </c>
      <c r="DH53" s="46">
        <f t="shared" si="88"/>
        <v>61.706520349601277</v>
      </c>
      <c r="DI53" s="46">
        <f t="shared" si="89"/>
        <v>61.706520349601277</v>
      </c>
      <c r="DJ53" s="46">
        <f t="shared" si="90"/>
        <v>118.29347965039872</v>
      </c>
      <c r="DK53" s="46">
        <f t="shared" si="91"/>
        <v>-241.70652034960128</v>
      </c>
      <c r="DL53" s="46">
        <f t="shared" si="92"/>
        <v>1.1719651572622869</v>
      </c>
      <c r="DM53" s="46">
        <f t="shared" si="93"/>
        <v>855.25989009374848</v>
      </c>
      <c r="DN53" s="47">
        <f>COS(RADIANS(DF53))*COS(RADIANS(DH53-Insolation!$L$6))*SIN(RADIANS(0))+(SIN(RADIANS(DF53))*COS(RADIANS(0)))</f>
        <v>0.85326768786881191</v>
      </c>
      <c r="DO53" s="47">
        <f>COS(RADIANS(DF53))*COS(RADIANS(DH53-Insolation!$L$6))*SIN(RADIANS(Insolation!$L$7))+SIN(RADIANS(DF53))*COS(RADIANS(Insolation!$L$7))</f>
        <v>0.24717202172394892</v>
      </c>
      <c r="DP53" s="46">
        <f t="shared" si="94"/>
        <v>729.7656289472269</v>
      </c>
      <c r="DQ53" s="46">
        <f t="shared" si="95"/>
        <v>112.27899091294987</v>
      </c>
      <c r="DR53" s="46">
        <f t="shared" si="96"/>
        <v>211.39631613387417</v>
      </c>
      <c r="DS53" s="46">
        <f>$DD$55*DM53*((1+COS(RADIANS(Insolation!$L$7)))/2)</f>
        <v>56.139495456474933</v>
      </c>
      <c r="DT53" s="46">
        <f t="shared" si="97"/>
        <v>785.42524516457001</v>
      </c>
      <c r="DU53" s="46">
        <f t="shared" si="98"/>
        <v>88.543712007498499</v>
      </c>
      <c r="DV53" s="46">
        <f t="shared" si="99"/>
        <v>855.25989009374848</v>
      </c>
      <c r="DW53" s="46">
        <f t="shared" si="100"/>
        <v>104.04151294274297</v>
      </c>
    </row>
    <row r="54" spans="1:127" x14ac:dyDescent="0.25">
      <c r="A54" s="212"/>
      <c r="C54" s="236" t="s">
        <v>182</v>
      </c>
      <c r="D54" s="212">
        <v>10.5</v>
      </c>
      <c r="E54" s="46">
        <f t="shared" si="12"/>
        <v>22.831871004682331</v>
      </c>
      <c r="F54" s="207">
        <f t="shared" si="13"/>
        <v>22.5</v>
      </c>
      <c r="G54" s="46">
        <f t="shared" si="19"/>
        <v>22.763862867208104</v>
      </c>
      <c r="H54" s="46">
        <f t="shared" si="20"/>
        <v>22.763862867208104</v>
      </c>
      <c r="I54" s="46">
        <f t="shared" si="21"/>
        <v>157.2361371327919</v>
      </c>
      <c r="J54" s="46">
        <f t="shared" si="22"/>
        <v>-202.7638628672081</v>
      </c>
      <c r="K54" s="46">
        <f t="shared" si="23"/>
        <v>2.5771315067841307</v>
      </c>
      <c r="L54" s="46">
        <f t="shared" si="24"/>
        <v>861.25339568786717</v>
      </c>
      <c r="M54" s="47">
        <f>COS(RADIANS(E54))*COS(RADIANS(G54-Insolation!$L$6))*SIN(RADIANS(0))+(SIN(RADIANS(E54))*COS(RADIANS(0)))</f>
        <v>0.38802831650909747</v>
      </c>
      <c r="N54" s="47">
        <f>COS(RADIANS(E54))*COS(RADIANS(G54-Insolation!$L$6))*SIN(RADIANS(Insolation!$L$7))+SIN(RADIANS(E54))*COS(RADIANS(Insolation!$L$7))</f>
        <v>0.84985791616184247</v>
      </c>
      <c r="O54" s="46">
        <f t="shared" si="25"/>
        <v>334.19070521650667</v>
      </c>
      <c r="P54" s="46">
        <f t="shared" si="26"/>
        <v>47.568130655703392</v>
      </c>
      <c r="Q54" s="46">
        <f t="shared" si="27"/>
        <v>731.94301614660151</v>
      </c>
      <c r="R54" s="46">
        <f>$C$55*L54*((1+COS(RADIANS(Insolation!$L$7)))/2)</f>
        <v>23.784065327851696</v>
      </c>
      <c r="S54" s="46">
        <f t="shared" si="28"/>
        <v>802.58880078442098</v>
      </c>
      <c r="T54" s="46">
        <f t="shared" si="29"/>
        <v>40.336101661198128</v>
      </c>
      <c r="U54" s="46">
        <f t="shared" si="30"/>
        <v>861.25339568786717</v>
      </c>
      <c r="V54" s="46">
        <f t="shared" si="31"/>
        <v>33.012956156760382</v>
      </c>
      <c r="X54" s="236" t="s">
        <v>182</v>
      </c>
      <c r="Y54" s="212">
        <v>10.5</v>
      </c>
      <c r="Z54" s="46">
        <f t="shared" si="32"/>
        <v>30.404728225611251</v>
      </c>
      <c r="AA54" s="207">
        <f t="shared" si="14"/>
        <v>22.5</v>
      </c>
      <c r="AB54" s="46">
        <f t="shared" si="33"/>
        <v>25.583372877122184</v>
      </c>
      <c r="AC54" s="46">
        <f t="shared" si="34"/>
        <v>25.583372877122184</v>
      </c>
      <c r="AD54" s="46">
        <f t="shared" si="35"/>
        <v>154.41662712287783</v>
      </c>
      <c r="AE54" s="46">
        <f t="shared" si="36"/>
        <v>-205.58337287712217</v>
      </c>
      <c r="AF54" s="46">
        <f t="shared" si="37"/>
        <v>1.9758748068832597</v>
      </c>
      <c r="AG54" s="46">
        <f t="shared" si="38"/>
        <v>909.73090582521161</v>
      </c>
      <c r="AH54" s="47">
        <f>COS(RADIANS(Z54))*COS(RADIANS(AB54-Insolation!$L$6))*SIN(RADIANS(0))+(SIN(RADIANS(Z54))*COS(RADIANS(0)))</f>
        <v>0.50610493970384574</v>
      </c>
      <c r="AI54" s="47">
        <f>COS(RADIANS(Z54))*COS(RADIANS(AB54-Insolation!$L$6))*SIN(RADIANS(Insolation!$L$7))+SIN(RADIANS(Z54))*COS(RADIANS(Insolation!$L$7))</f>
        <v>0.77791333163317444</v>
      </c>
      <c r="AJ54" s="46">
        <f t="shared" si="39"/>
        <v>460.41930523939368</v>
      </c>
      <c r="AK54" s="46">
        <f t="shared" si="40"/>
        <v>57.263518107866084</v>
      </c>
      <c r="AL54" s="46">
        <f t="shared" si="41"/>
        <v>707.69179984015602</v>
      </c>
      <c r="AM54" s="46">
        <f>$X$55*AG54*((1+COS(RADIANS(Insolation!$L$7)))/2)</f>
        <v>28.631759053933042</v>
      </c>
      <c r="AN54" s="46">
        <f t="shared" si="42"/>
        <v>885.37049063060988</v>
      </c>
      <c r="AO54" s="46">
        <f t="shared" si="43"/>
        <v>48.410728229480583</v>
      </c>
      <c r="AP54" s="46">
        <f t="shared" si="44"/>
        <v>909.73090582521161</v>
      </c>
      <c r="AQ54" s="46">
        <f t="shared" si="45"/>
        <v>43.122433743538856</v>
      </c>
      <c r="AS54" s="236" t="s">
        <v>182</v>
      </c>
      <c r="AT54" s="212">
        <v>10.5</v>
      </c>
      <c r="AU54" s="46">
        <f t="shared" si="46"/>
        <v>40.227106849068235</v>
      </c>
      <c r="AV54" s="207">
        <f t="shared" si="15"/>
        <v>22.5</v>
      </c>
      <c r="AW54" s="46">
        <f t="shared" si="47"/>
        <v>30.041177247452648</v>
      </c>
      <c r="AX54" s="46">
        <f t="shared" si="48"/>
        <v>30.041177247452648</v>
      </c>
      <c r="AY54" s="46">
        <f t="shared" si="49"/>
        <v>149.95882275254735</v>
      </c>
      <c r="AZ54" s="46">
        <f t="shared" si="50"/>
        <v>-210.04117724745265</v>
      </c>
      <c r="BA54" s="46">
        <f t="shared" si="51"/>
        <v>1.5484215330633411</v>
      </c>
      <c r="BB54" s="46">
        <f t="shared" si="52"/>
        <v>925.41835252628061</v>
      </c>
      <c r="BC54" s="47">
        <f>COS(RADIANS(AU54))*COS(RADIANS(AW54-Insolation!$L$6))*SIN(RADIANS(0))+(SIN(RADIANS(AU54))*COS(RADIANS(0)))</f>
        <v>0.64581897025265222</v>
      </c>
      <c r="BD54" s="47">
        <f>COS(RADIANS(AU54))*COS(RADIANS(AW54-Insolation!$L$6))*SIN(RADIANS(Insolation!$L$7))+SIN(RADIANS(AU54))*COS(RADIANS(Insolation!$L$7))</f>
        <v>0.66092771036449105</v>
      </c>
      <c r="BE54" s="46">
        <f t="shared" si="53"/>
        <v>597.65272748142843</v>
      </c>
      <c r="BF54" s="46">
        <f t="shared" si="54"/>
        <v>71.894804455132459</v>
      </c>
      <c r="BG54" s="46">
        <f t="shared" si="55"/>
        <v>611.63463286447404</v>
      </c>
      <c r="BH54" s="46">
        <f>$AS$55*BB54*((1+COS(RADIANS(Insolation!$L$7)))/2)</f>
        <v>35.947402227566229</v>
      </c>
      <c r="BI54" s="46">
        <f t="shared" si="56"/>
        <v>924.29858464585504</v>
      </c>
      <c r="BJ54" s="46">
        <f t="shared" si="57"/>
        <v>60.484564222449784</v>
      </c>
      <c r="BK54" s="46">
        <f t="shared" si="58"/>
        <v>925.41835252628061</v>
      </c>
      <c r="BL54" s="46">
        <f t="shared" si="59"/>
        <v>59.162916517430951</v>
      </c>
      <c r="BN54" s="236" t="s">
        <v>182</v>
      </c>
      <c r="BO54" s="212">
        <v>10.5</v>
      </c>
      <c r="BP54" s="46">
        <f t="shared" si="60"/>
        <v>51.400668675209218</v>
      </c>
      <c r="BQ54" s="207">
        <f t="shared" si="16"/>
        <v>22.5</v>
      </c>
      <c r="BR54" s="46">
        <f t="shared" si="61"/>
        <v>37.238868608178699</v>
      </c>
      <c r="BS54" s="46">
        <f t="shared" si="62"/>
        <v>37.238868608178699</v>
      </c>
      <c r="BT54" s="46">
        <f t="shared" si="63"/>
        <v>142.76113139182129</v>
      </c>
      <c r="BU54" s="46">
        <f t="shared" si="64"/>
        <v>-217.23886860817871</v>
      </c>
      <c r="BV54" s="46">
        <f t="shared" si="65"/>
        <v>1.2795450905528791</v>
      </c>
      <c r="BW54" s="46">
        <f t="shared" si="66"/>
        <v>912.13059314731788</v>
      </c>
      <c r="BX54" s="47">
        <f>COS(RADIANS(BP54))*COS(RADIANS(BR54-Insolation!$L$6))*SIN(RADIANS(0))+(SIN(RADIANS(BP54))*COS(RADIANS(0)))</f>
        <v>0.78152775340485237</v>
      </c>
      <c r="BY54" s="47">
        <f>COS(RADIANS(BP54))*COS(RADIANS(BR54-Insolation!$L$6))*SIN(RADIANS(Insolation!$L$7))+SIN(RADIANS(BP54))*COS(RADIANS(Insolation!$L$7))</f>
        <v>0.49667550352156881</v>
      </c>
      <c r="BZ54" s="46">
        <f t="shared" si="67"/>
        <v>712.8553732742588</v>
      </c>
      <c r="CA54" s="46">
        <f t="shared" si="68"/>
        <v>89.788851263482272</v>
      </c>
      <c r="CB54" s="46">
        <f t="shared" si="69"/>
        <v>453.03292162887135</v>
      </c>
      <c r="CC54" s="46">
        <f>$BN$55*BW54*((1+COS(RADIANS(Insolation!$L$7)))/2)</f>
        <v>44.894425631741136</v>
      </c>
      <c r="CD54" s="46">
        <f t="shared" si="70"/>
        <v>899.84389639575454</v>
      </c>
      <c r="CE54" s="46">
        <f t="shared" si="71"/>
        <v>74.926375992427296</v>
      </c>
      <c r="CF54" s="46">
        <f t="shared" si="72"/>
        <v>912.13059314731788</v>
      </c>
      <c r="CG54" s="46">
        <f t="shared" si="73"/>
        <v>79.980665236117005</v>
      </c>
      <c r="CI54" s="236" t="s">
        <v>182</v>
      </c>
      <c r="CJ54" s="212">
        <v>10.5</v>
      </c>
      <c r="CK54" s="46">
        <f t="shared" si="74"/>
        <v>59.517582519478346</v>
      </c>
      <c r="CL54" s="207">
        <f t="shared" si="17"/>
        <v>22.5</v>
      </c>
      <c r="CM54" s="46">
        <f t="shared" si="75"/>
        <v>45.575954709208993</v>
      </c>
      <c r="CN54" s="46">
        <f t="shared" si="76"/>
        <v>45.575954709208993</v>
      </c>
      <c r="CO54" s="46">
        <f t="shared" si="77"/>
        <v>134.42404529079101</v>
      </c>
      <c r="CP54" s="46">
        <f t="shared" si="78"/>
        <v>-225.57595470920899</v>
      </c>
      <c r="CQ54" s="46">
        <f t="shared" si="79"/>
        <v>1.1603824054673404</v>
      </c>
      <c r="CR54" s="46">
        <f t="shared" si="80"/>
        <v>886.33826786066186</v>
      </c>
      <c r="CS54" s="47">
        <f>COS(RADIANS(CK54))*COS(RADIANS(CM54-Insolation!$L$6))*SIN(RADIANS(0))+(SIN(RADIANS(CK54))*COS(RADIANS(0)))</f>
        <v>0.86178486961567902</v>
      </c>
      <c r="CT54" s="47">
        <f>COS(RADIANS(CK54))*COS(RADIANS(CM54-Insolation!$L$6))*SIN(RADIANS(Insolation!$L$7))+SIN(RADIANS(CK54))*COS(RADIANS(Insolation!$L$7))</f>
        <v>0.3550730423127379</v>
      </c>
      <c r="CU54" s="46">
        <f t="shared" si="81"/>
        <v>763.83290860368732</v>
      </c>
      <c r="CV54" s="46">
        <f t="shared" si="82"/>
        <v>104.29371356934944</v>
      </c>
      <c r="CW54" s="46">
        <f t="shared" si="83"/>
        <v>314.7148252874876</v>
      </c>
      <c r="CX54" s="46">
        <f>$CI$55*CR54*((1+COS(RADIANS(Insolation!$L$7)))/2)</f>
        <v>52.146856784674718</v>
      </c>
      <c r="CY54" s="46">
        <f t="shared" si="84"/>
        <v>839.09175070036906</v>
      </c>
      <c r="CZ54" s="46">
        <f t="shared" si="101"/>
        <v>86.169444403016499</v>
      </c>
      <c r="DA54" s="46">
        <f t="shared" si="85"/>
        <v>886.33826786066186</v>
      </c>
      <c r="DB54" s="46">
        <f t="shared" si="86"/>
        <v>97.086228959723115</v>
      </c>
      <c r="DD54" s="236" t="s">
        <v>182</v>
      </c>
      <c r="DE54" s="212">
        <v>10.5</v>
      </c>
      <c r="DF54" s="46">
        <f t="shared" si="87"/>
        <v>63.172496892934475</v>
      </c>
      <c r="DG54" s="207">
        <f t="shared" si="18"/>
        <v>22.5</v>
      </c>
      <c r="DH54" s="46">
        <f t="shared" si="88"/>
        <v>51.142550496896995</v>
      </c>
      <c r="DI54" s="46">
        <f t="shared" si="89"/>
        <v>51.142550496896995</v>
      </c>
      <c r="DJ54" s="46">
        <f t="shared" si="90"/>
        <v>128.857449503103</v>
      </c>
      <c r="DK54" s="46">
        <f t="shared" si="91"/>
        <v>-231.142550496897</v>
      </c>
      <c r="DL54" s="46">
        <f t="shared" si="92"/>
        <v>1.1206123028419772</v>
      </c>
      <c r="DM54" s="46">
        <f t="shared" si="93"/>
        <v>864.34414513855177</v>
      </c>
      <c r="DN54" s="47">
        <f>COS(RADIANS(DF54))*COS(RADIANS(DH54-Insolation!$L$6))*SIN(RADIANS(0))+(SIN(RADIANS(DF54))*COS(RADIANS(0)))</f>
        <v>0.89236928549142891</v>
      </c>
      <c r="DO54" s="47">
        <f>COS(RADIANS(DF54))*COS(RADIANS(DH54-Insolation!$L$6))*SIN(RADIANS(Insolation!$L$7))+SIN(RADIANS(DF54))*COS(RADIANS(Insolation!$L$7))</f>
        <v>0.28314254814166956</v>
      </c>
      <c r="DP54" s="46">
        <f t="shared" si="94"/>
        <v>771.31416721598941</v>
      </c>
      <c r="DQ54" s="46">
        <f t="shared" si="95"/>
        <v>113.47157693439253</v>
      </c>
      <c r="DR54" s="46">
        <f t="shared" si="96"/>
        <v>244.73260372586262</v>
      </c>
      <c r="DS54" s="46">
        <f>$DD$55*DM54*((1+COS(RADIANS(Insolation!$L$7)))/2)</f>
        <v>56.735788467196265</v>
      </c>
      <c r="DT54" s="46">
        <f t="shared" si="97"/>
        <v>793.76774237313202</v>
      </c>
      <c r="DU54" s="46">
        <f t="shared" si="98"/>
        <v>93.09708939572063</v>
      </c>
      <c r="DV54" s="46">
        <f t="shared" si="99"/>
        <v>864.34414513855177</v>
      </c>
      <c r="DW54" s="46">
        <f t="shared" si="100"/>
        <v>107.36506348346104</v>
      </c>
    </row>
    <row r="55" spans="1:127" x14ac:dyDescent="0.25">
      <c r="A55" s="212"/>
      <c r="C55" s="47">
        <f>0.095+0.04*SIN(RADIANS(360/365*(C45-100)))</f>
        <v>5.5231283724241929E-2</v>
      </c>
      <c r="D55" s="212">
        <v>11</v>
      </c>
      <c r="E55" s="46">
        <f t="shared" si="12"/>
        <v>24.636810865989172</v>
      </c>
      <c r="F55" s="207">
        <f t="shared" si="13"/>
        <v>15</v>
      </c>
      <c r="G55" s="46">
        <f t="shared" si="19"/>
        <v>15.387404736882774</v>
      </c>
      <c r="H55" s="46">
        <f>DEGREES(ASIN(COS(RADIANS($C$47))*SIN(RADIANS(F55))/COS(RADIANS(E55))))</f>
        <v>15.387404736882774</v>
      </c>
      <c r="I55" s="46">
        <f t="shared" si="21"/>
        <v>164.61259526311721</v>
      </c>
      <c r="J55" s="46">
        <f>180-H55-360</f>
        <v>-195.38740473688279</v>
      </c>
      <c r="K55" s="46">
        <f t="shared" si="23"/>
        <v>2.3988589263247788</v>
      </c>
      <c r="L55" s="46">
        <f t="shared" si="24"/>
        <v>882.89363205637835</v>
      </c>
      <c r="M55" s="47">
        <f>COS(RADIANS(E55))*COS(RADIANS(G55-Insolation!$L$6))*SIN(RADIANS(0))+(SIN(RADIANS(E55))*COS(RADIANS(0)))</f>
        <v>0.41686486396766587</v>
      </c>
      <c r="N55" s="47">
        <f>COS(RADIANS(E55))*COS(RADIANS(G55-Insolation!$L$6))*SIN(RADIANS(Insolation!$L$7))+SIN(RADIANS(E55))*COS(RADIANS(Insolation!$L$7))</f>
        <v>0.87638536913615006</v>
      </c>
      <c r="O55" s="46">
        <f t="shared" si="25"/>
        <v>368.04733382510062</v>
      </c>
      <c r="P55" s="46">
        <f t="shared" si="26"/>
        <v>48.763348690432295</v>
      </c>
      <c r="Q55" s="46">
        <f t="shared" si="27"/>
        <v>773.75506163768534</v>
      </c>
      <c r="R55" s="46">
        <f>$C$55*L55*((1+COS(RADIANS(Insolation!$L$7)))/2)</f>
        <v>24.381674345216148</v>
      </c>
      <c r="S55" s="46">
        <f t="shared" si="28"/>
        <v>822.75500441584256</v>
      </c>
      <c r="T55" s="46">
        <f t="shared" si="29"/>
        <v>41.892656938493474</v>
      </c>
      <c r="U55" s="46">
        <f t="shared" si="30"/>
        <v>882.89363205637835</v>
      </c>
      <c r="V55" s="46">
        <f t="shared" si="31"/>
        <v>34.545537704438608</v>
      </c>
      <c r="X55" s="47">
        <f>0.095+0.04*SIN(RADIANS(360/365*(X45-100)))</f>
        <v>6.2945556473012948E-2</v>
      </c>
      <c r="Y55" s="212">
        <v>11</v>
      </c>
      <c r="Z55" s="46">
        <f t="shared" si="32"/>
        <v>32.426731270010215</v>
      </c>
      <c r="AA55" s="207">
        <f t="shared" si="14"/>
        <v>15</v>
      </c>
      <c r="AB55" s="46">
        <f t="shared" si="33"/>
        <v>17.362642625459838</v>
      </c>
      <c r="AC55" s="46">
        <f t="shared" si="34"/>
        <v>17.362642625459838</v>
      </c>
      <c r="AD55" s="46">
        <f t="shared" si="35"/>
        <v>162.63735737454016</v>
      </c>
      <c r="AE55" s="46">
        <f>180-AC55-360</f>
        <v>-197.36264262545984</v>
      </c>
      <c r="AF55" s="46">
        <f t="shared" si="37"/>
        <v>1.8649039112189896</v>
      </c>
      <c r="AG55" s="46">
        <f t="shared" si="38"/>
        <v>924.58529959457962</v>
      </c>
      <c r="AH55" s="47">
        <f>COS(RADIANS(Z55))*COS(RADIANS(AB55-Insolation!$L$6))*SIN(RADIANS(0))+(SIN(RADIANS(Z55))*COS(RADIANS(0)))</f>
        <v>0.53622065672346231</v>
      </c>
      <c r="AI55" s="47">
        <f>COS(RADIANS(Z55))*COS(RADIANS(AB55-Insolation!$L$6))*SIN(RADIANS(Insolation!$L$7))+SIN(RADIANS(Z55))*COS(RADIANS(Insolation!$L$7))</f>
        <v>0.80561752431342704</v>
      </c>
      <c r="AJ55" s="46">
        <f t="shared" si="39"/>
        <v>495.78173654546464</v>
      </c>
      <c r="AK55" s="46">
        <f t="shared" si="40"/>
        <v>58.198536189748211</v>
      </c>
      <c r="AL55" s="46">
        <f t="shared" si="41"/>
        <v>744.86212007597351</v>
      </c>
      <c r="AM55" s="46">
        <f>$X$55*AG55*((1+COS(RADIANS(Insolation!$L$7)))/2)</f>
        <v>29.099268094874105</v>
      </c>
      <c r="AN55" s="46">
        <f t="shared" si="42"/>
        <v>899.82711930552102</v>
      </c>
      <c r="AO55" s="46">
        <f t="shared" si="43"/>
        <v>49.931037461511693</v>
      </c>
      <c r="AP55" s="46">
        <f t="shared" si="44"/>
        <v>924.58529959457962</v>
      </c>
      <c r="AQ55" s="46">
        <f t="shared" si="45"/>
        <v>44.702896742879595</v>
      </c>
      <c r="AS55" s="47">
        <f>0.095+0.04*SIN(RADIANS(360/365*(AS45-100)))</f>
        <v>7.7688976297982756E-2</v>
      </c>
      <c r="AT55" s="212">
        <v>11</v>
      </c>
      <c r="AU55" s="46">
        <f t="shared" si="46"/>
        <v>42.588316918760476</v>
      </c>
      <c r="AV55" s="207">
        <f t="shared" si="15"/>
        <v>15</v>
      </c>
      <c r="AW55" s="46">
        <f t="shared" si="47"/>
        <v>20.555751935828813</v>
      </c>
      <c r="AX55" s="46">
        <f t="shared" si="48"/>
        <v>20.555751935828813</v>
      </c>
      <c r="AY55" s="46">
        <f t="shared" si="49"/>
        <v>159.44424806417118</v>
      </c>
      <c r="AZ55" s="46">
        <f>180-AX55-360</f>
        <v>-200.55575193582882</v>
      </c>
      <c r="BA55" s="46">
        <f t="shared" si="51"/>
        <v>1.477703247447627</v>
      </c>
      <c r="BB55" s="46">
        <f t="shared" si="52"/>
        <v>935.87293100431054</v>
      </c>
      <c r="BC55" s="47">
        <f>COS(RADIANS(AU55))*COS(RADIANS(AW55-Insolation!$L$6))*SIN(RADIANS(0))+(SIN(RADIANS(AU55))*COS(RADIANS(0)))</f>
        <v>0.67672585935454688</v>
      </c>
      <c r="BD55" s="47">
        <f>COS(RADIANS(AU55))*COS(RADIANS(AW55-Insolation!$L$6))*SIN(RADIANS(Insolation!$L$7))+SIN(RADIANS(AU55))*COS(RADIANS(Insolation!$L$7))</f>
        <v>0.68935972180450933</v>
      </c>
      <c r="BE55" s="46">
        <f t="shared" si="53"/>
        <v>633.32941348055056</v>
      </c>
      <c r="BF55" s="46">
        <f t="shared" si="54"/>
        <v>72.707009954717535</v>
      </c>
      <c r="BG55" s="46">
        <f t="shared" si="55"/>
        <v>645.1531033615023</v>
      </c>
      <c r="BH55" s="46">
        <f>$AS$55*BB55*((1+COS(RADIANS(Insolation!$L$7)))/2)</f>
        <v>36.353504977358767</v>
      </c>
      <c r="BI55" s="46">
        <f t="shared" si="56"/>
        <v>934.74051295204526</v>
      </c>
      <c r="BJ55" s="46">
        <f t="shared" si="57"/>
        <v>62.241352864446092</v>
      </c>
      <c r="BK55" s="46">
        <f t="shared" si="58"/>
        <v>935.87293100431054</v>
      </c>
      <c r="BL55" s="46">
        <f t="shared" si="59"/>
        <v>60.954861873711678</v>
      </c>
      <c r="BN55" s="47">
        <f>0.095+0.04*SIN(RADIANS(360/365*(BN45-100)))</f>
        <v>9.8438591949497861E-2</v>
      </c>
      <c r="BO55" s="212">
        <v>11</v>
      </c>
      <c r="BP55" s="46">
        <f t="shared" si="60"/>
        <v>54.297224207975383</v>
      </c>
      <c r="BQ55" s="207">
        <f t="shared" si="16"/>
        <v>15</v>
      </c>
      <c r="BR55" s="46">
        <f t="shared" si="61"/>
        <v>25.946245933075282</v>
      </c>
      <c r="BS55" s="46">
        <f t="shared" si="62"/>
        <v>25.946245933075282</v>
      </c>
      <c r="BT55" s="46">
        <f t="shared" si="63"/>
        <v>154.05375406692471</v>
      </c>
      <c r="BU55" s="46">
        <f>180-BS55-360</f>
        <v>-205.94624593307529</v>
      </c>
      <c r="BV55" s="46">
        <f t="shared" si="65"/>
        <v>1.2314432958712274</v>
      </c>
      <c r="BW55" s="46">
        <f t="shared" si="66"/>
        <v>919.93003061964293</v>
      </c>
      <c r="BX55" s="47">
        <f>COS(RADIANS(BP55))*COS(RADIANS(BR55-Insolation!$L$6))*SIN(RADIANS(0))+(SIN(RADIANS(BP55))*COS(RADIANS(0)))</f>
        <v>0.81205525528685851</v>
      </c>
      <c r="BY55" s="47">
        <f>COS(RADIANS(BP55))*COS(RADIANS(BR55-Insolation!$L$6))*SIN(RADIANS(Insolation!$L$7))+SIN(RADIANS(BP55))*COS(RADIANS(Insolation!$L$7))</f>
        <v>0.52475850727787909</v>
      </c>
      <c r="BZ55" s="46">
        <f t="shared" si="67"/>
        <v>747.03401586088171</v>
      </c>
      <c r="CA55" s="46">
        <f t="shared" si="68"/>
        <v>90.55661690625611</v>
      </c>
      <c r="CB55" s="46">
        <f t="shared" si="69"/>
        <v>482.74110966805745</v>
      </c>
      <c r="CC55" s="46">
        <f>$BN$55*BW55*((1+COS(RADIANS(Insolation!$L$7)))/2)</f>
        <v>45.278308453128055</v>
      </c>
      <c r="CD55" s="46">
        <f t="shared" si="70"/>
        <v>907.53827290008314</v>
      </c>
      <c r="CE55" s="46">
        <f t="shared" si="71"/>
        <v>77.229086994028663</v>
      </c>
      <c r="CF55" s="46">
        <f t="shared" si="72"/>
        <v>919.93003061964293</v>
      </c>
      <c r="CG55" s="46">
        <f t="shared" si="73"/>
        <v>82.046796782990086</v>
      </c>
      <c r="CI55" s="47">
        <f>0.095+0.04*SIN(RADIANS(360/365*(CI45-100)))</f>
        <v>0.1176680702516447</v>
      </c>
      <c r="CJ55" s="212">
        <v>11</v>
      </c>
      <c r="CK55" s="46">
        <f t="shared" si="74"/>
        <v>63.00923725563203</v>
      </c>
      <c r="CL55" s="207">
        <f t="shared" si="17"/>
        <v>15</v>
      </c>
      <c r="CM55" s="46">
        <f t="shared" si="75"/>
        <v>32.675438260092164</v>
      </c>
      <c r="CN55" s="46">
        <f t="shared" si="76"/>
        <v>32.675438260092164</v>
      </c>
      <c r="CO55" s="46">
        <f t="shared" si="77"/>
        <v>147.32456173990784</v>
      </c>
      <c r="CP55" s="46">
        <f>180-CN55-360</f>
        <v>-212.67543826009216</v>
      </c>
      <c r="CQ55" s="46">
        <f t="shared" si="79"/>
        <v>1.1222340652244014</v>
      </c>
      <c r="CR55" s="46">
        <f t="shared" si="80"/>
        <v>892.91655825847772</v>
      </c>
      <c r="CS55" s="47">
        <f>COS(RADIANS(CK55))*COS(RADIANS(CM55-Insolation!$L$6))*SIN(RADIANS(0))+(SIN(RADIANS(CK55))*COS(RADIANS(0)))</f>
        <v>0.8910797051950482</v>
      </c>
      <c r="CT55" s="47">
        <f>COS(RADIANS(CK55))*COS(RADIANS(CM55-Insolation!$L$6))*SIN(RADIANS(Insolation!$L$7))+SIN(RADIANS(CK55))*COS(RADIANS(Insolation!$L$7))</f>
        <v>0.38202208586028236</v>
      </c>
      <c r="CU55" s="46">
        <f t="shared" si="81"/>
        <v>795.65982349674141</v>
      </c>
      <c r="CV55" s="46">
        <f t="shared" si="82"/>
        <v>105.06776830601535</v>
      </c>
      <c r="CW55" s="46">
        <f t="shared" si="83"/>
        <v>341.11384608508797</v>
      </c>
      <c r="CX55" s="46">
        <f>$CI$55*CR55*((1+COS(RADIANS(Insolation!$L$7)))/2)</f>
        <v>52.533884153007676</v>
      </c>
      <c r="CY55" s="46">
        <f t="shared" si="84"/>
        <v>845.31938343007369</v>
      </c>
      <c r="CZ55" s="46">
        <f t="shared" si="101"/>
        <v>89.170057970627596</v>
      </c>
      <c r="DA55" s="46">
        <f t="shared" si="85"/>
        <v>892.91655825847772</v>
      </c>
      <c r="DB55" s="46">
        <f t="shared" si="86"/>
        <v>99.34576215682057</v>
      </c>
      <c r="DD55" s="47">
        <f>0.095+0.04*SIN(RADIANS(360/365*(DD45-100)))</f>
        <v>0.13128055251210544</v>
      </c>
      <c r="DE55" s="212">
        <v>11</v>
      </c>
      <c r="DF55" s="46">
        <f t="shared" si="87"/>
        <v>67.041396158397063</v>
      </c>
      <c r="DG55" s="207">
        <f t="shared" si="18"/>
        <v>15</v>
      </c>
      <c r="DH55" s="46">
        <f t="shared" si="88"/>
        <v>37.542327071988311</v>
      </c>
      <c r="DI55" s="46">
        <f t="shared" si="89"/>
        <v>37.542327071988311</v>
      </c>
      <c r="DJ55" s="46">
        <f t="shared" si="90"/>
        <v>142.45767292801168</v>
      </c>
      <c r="DK55" s="46">
        <f>180-DI55-360</f>
        <v>-217.54232707198832</v>
      </c>
      <c r="DL55" s="46">
        <f t="shared" si="92"/>
        <v>1.0860275949702984</v>
      </c>
      <c r="DM55" s="46">
        <f t="shared" si="93"/>
        <v>870.51644726272752</v>
      </c>
      <c r="DN55" s="47">
        <f>COS(RADIANS(DF55))*COS(RADIANS(DH55-Insolation!$L$6))*SIN(RADIANS(0))+(SIN(RADIANS(DF55))*COS(RADIANS(0)))</f>
        <v>0.92078691612559693</v>
      </c>
      <c r="DO55" s="47">
        <f>COS(RADIANS(DF55))*COS(RADIANS(DH55-Insolation!$L$6))*SIN(RADIANS(Insolation!$L$7))+SIN(RADIANS(DF55))*COS(RADIANS(Insolation!$L$7))</f>
        <v>0.30928462917173094</v>
      </c>
      <c r="DP55" s="46">
        <f t="shared" si="94"/>
        <v>801.56015491165772</v>
      </c>
      <c r="DQ55" s="46">
        <f t="shared" si="95"/>
        <v>114.28188016752597</v>
      </c>
      <c r="DR55" s="46">
        <f t="shared" si="96"/>
        <v>269.23735657954535</v>
      </c>
      <c r="DS55" s="46">
        <f>$DD$55*DM55*((1+COS(RADIANS(Insolation!$L$7)))/2)</f>
        <v>57.140940083762985</v>
      </c>
      <c r="DT55" s="46">
        <f t="shared" si="97"/>
        <v>799.436056724433</v>
      </c>
      <c r="DU55" s="46">
        <f t="shared" si="98"/>
        <v>96.63806360121545</v>
      </c>
      <c r="DV55" s="46">
        <f t="shared" si="99"/>
        <v>870.51644726272752</v>
      </c>
      <c r="DW55" s="46">
        <f t="shared" si="100"/>
        <v>109.75557008800861</v>
      </c>
    </row>
    <row r="56" spans="1:127" x14ac:dyDescent="0.25">
      <c r="C56" s="236"/>
      <c r="D56" s="212">
        <v>11.5</v>
      </c>
      <c r="E56" s="46">
        <f t="shared" si="12"/>
        <v>25.744993069445936</v>
      </c>
      <c r="F56" s="207">
        <f t="shared" si="13"/>
        <v>7.5</v>
      </c>
      <c r="G56" s="46">
        <f t="shared" si="19"/>
        <v>7.7609287651427383</v>
      </c>
      <c r="H56" s="46">
        <f t="shared" si="20"/>
        <v>7.7609287651427383</v>
      </c>
      <c r="I56" s="46">
        <f t="shared" si="21"/>
        <v>172.23907123485725</v>
      </c>
      <c r="J56" s="46">
        <f t="shared" si="22"/>
        <v>-187.76092876514275</v>
      </c>
      <c r="K56" s="46">
        <f t="shared" si="23"/>
        <v>2.3022030796347783</v>
      </c>
      <c r="L56" s="46">
        <f t="shared" si="24"/>
        <v>894.85299608423361</v>
      </c>
      <c r="M56" s="47">
        <f>COS(RADIANS(E56))*COS(RADIANS(G56-Insolation!$L$6))*SIN(RADIANS(0))+(SIN(RADIANS(E56))*COS(RADIANS(0)))</f>
        <v>0.43436654604711938</v>
      </c>
      <c r="N56" s="47">
        <f>COS(RADIANS(E56))*COS(RADIANS(G56-Insolation!$L$6))*SIN(RADIANS(Insolation!$L$7))+SIN(RADIANS(E56))*COS(RADIANS(Insolation!$L$7))</f>
        <v>0.89248559920013548</v>
      </c>
      <c r="O56" s="46">
        <f t="shared" si="25"/>
        <v>388.69420512902502</v>
      </c>
      <c r="P56" s="46">
        <f t="shared" si="26"/>
        <v>49.423879718216256</v>
      </c>
      <c r="Q56" s="46">
        <f t="shared" si="27"/>
        <v>798.64341240627368</v>
      </c>
      <c r="R56" s="46">
        <f>$C$55*L56*((1+COS(RADIANS(Insolation!$L$7)))/2)</f>
        <v>24.711939859108128</v>
      </c>
      <c r="S56" s="46">
        <f t="shared" si="28"/>
        <v>833.89975192141799</v>
      </c>
      <c r="T56" s="46">
        <f t="shared" si="29"/>
        <v>42.789363422259797</v>
      </c>
      <c r="U56" s="46">
        <f t="shared" si="30"/>
        <v>894.85299608423361</v>
      </c>
      <c r="V56" s="46">
        <f t="shared" si="31"/>
        <v>35.445979821833063</v>
      </c>
      <c r="X56" s="236"/>
      <c r="Y56" s="212">
        <v>11.5</v>
      </c>
      <c r="Z56" s="46">
        <f t="shared" si="32"/>
        <v>33.676193524236474</v>
      </c>
      <c r="AA56" s="207">
        <f t="shared" si="14"/>
        <v>7.5</v>
      </c>
      <c r="AB56" s="46">
        <f t="shared" si="33"/>
        <v>8.7803924675488805</v>
      </c>
      <c r="AC56" s="46">
        <f t="shared" si="34"/>
        <v>8.7803924675488805</v>
      </c>
      <c r="AD56" s="46">
        <f t="shared" si="35"/>
        <v>171.21960753245111</v>
      </c>
      <c r="AE56" s="46">
        <f t="shared" ref="AE56:AE74" si="102">180-AC56-360</f>
        <v>-188.78039246754889</v>
      </c>
      <c r="AF56" s="46">
        <f t="shared" si="37"/>
        <v>1.8034307336399653</v>
      </c>
      <c r="AG56" s="46">
        <f t="shared" si="38"/>
        <v>932.91814854940628</v>
      </c>
      <c r="AH56" s="47">
        <f>COS(RADIANS(Z56))*COS(RADIANS(AB56-Insolation!$L$6))*SIN(RADIANS(0))+(SIN(RADIANS(Z56))*COS(RADIANS(0)))</f>
        <v>0.55449870147307734</v>
      </c>
      <c r="AI56" s="47">
        <f>COS(RADIANS(Z56))*COS(RADIANS(AB56-Insolation!$L$6))*SIN(RADIANS(Insolation!$L$7))+SIN(RADIANS(Z56))*COS(RADIANS(Insolation!$L$7))</f>
        <v>0.82243194959281785</v>
      </c>
      <c r="AJ56" s="46">
        <f t="shared" si="39"/>
        <v>517.3019019513132</v>
      </c>
      <c r="AK56" s="46">
        <f t="shared" si="40"/>
        <v>58.723052004215333</v>
      </c>
      <c r="AL56" s="46">
        <f t="shared" si="41"/>
        <v>767.26169172201026</v>
      </c>
      <c r="AM56" s="46">
        <f>$X$55*AG56*((1+COS(RADIANS(Insolation!$L$7)))/2)</f>
        <v>29.361526002107666</v>
      </c>
      <c r="AN56" s="46">
        <f t="shared" si="42"/>
        <v>907.93683451937693</v>
      </c>
      <c r="AO56" s="46">
        <f t="shared" si="43"/>
        <v>50.823072745349776</v>
      </c>
      <c r="AP56" s="46">
        <f t="shared" si="44"/>
        <v>932.91814854940628</v>
      </c>
      <c r="AQ56" s="46">
        <f t="shared" si="45"/>
        <v>45.642454043544362</v>
      </c>
      <c r="AS56" s="236"/>
      <c r="AT56" s="212">
        <v>11.5</v>
      </c>
      <c r="AU56" s="46">
        <f t="shared" si="46"/>
        <v>44.065805318135638</v>
      </c>
      <c r="AV56" s="207">
        <f t="shared" si="15"/>
        <v>7.5</v>
      </c>
      <c r="AW56" s="46">
        <f t="shared" si="47"/>
        <v>10.453329492819917</v>
      </c>
      <c r="AX56" s="46">
        <f t="shared" si="48"/>
        <v>10.453329492819917</v>
      </c>
      <c r="AY56" s="46">
        <f t="shared" si="49"/>
        <v>169.5466705071801</v>
      </c>
      <c r="AZ56" s="46">
        <f t="shared" ref="AZ56:AZ74" si="103">180-AX56-360</f>
        <v>-190.4533294928199</v>
      </c>
      <c r="BA56" s="46">
        <f t="shared" si="51"/>
        <v>1.4378474179726657</v>
      </c>
      <c r="BB56" s="46">
        <f t="shared" si="52"/>
        <v>941.81693771825621</v>
      </c>
      <c r="BC56" s="47">
        <f>COS(RADIANS(AU56))*COS(RADIANS(AW56-Insolation!$L$6))*SIN(RADIANS(0))+(SIN(RADIANS(AU56))*COS(RADIANS(0)))</f>
        <v>0.69548408788046423</v>
      </c>
      <c r="BD56" s="47">
        <f>COS(RADIANS(AU56))*COS(RADIANS(AW56-Insolation!$L$6))*SIN(RADIANS(Insolation!$L$7))+SIN(RADIANS(AU56))*COS(RADIANS(Insolation!$L$7))</f>
        <v>0.70661588001199016</v>
      </c>
      <c r="BE56" s="46">
        <f t="shared" si="53"/>
        <v>655.01869387935346</v>
      </c>
      <c r="BF56" s="46">
        <f t="shared" si="54"/>
        <v>73.168793751432304</v>
      </c>
      <c r="BG56" s="46">
        <f t="shared" si="55"/>
        <v>665.50280425598339</v>
      </c>
      <c r="BH56" s="46">
        <f>$AS$55*BB56*((1+COS(RADIANS(Insolation!$L$7)))/2)</f>
        <v>36.584396875716152</v>
      </c>
      <c r="BI56" s="46">
        <f t="shared" si="56"/>
        <v>940.67732734288529</v>
      </c>
      <c r="BJ56" s="46">
        <f t="shared" si="57"/>
        <v>63.29026031407912</v>
      </c>
      <c r="BK56" s="46">
        <f t="shared" si="58"/>
        <v>941.81693771825621</v>
      </c>
      <c r="BL56" s="46">
        <f t="shared" si="59"/>
        <v>62.028262767480506</v>
      </c>
      <c r="BN56" s="236"/>
      <c r="BO56" s="212">
        <v>11.5</v>
      </c>
      <c r="BP56" s="46">
        <f t="shared" si="60"/>
        <v>56.158695838646281</v>
      </c>
      <c r="BQ56" s="207">
        <f t="shared" si="16"/>
        <v>7.5</v>
      </c>
      <c r="BR56" s="46">
        <f t="shared" si="61"/>
        <v>13.369206080101591</v>
      </c>
      <c r="BS56" s="46">
        <f t="shared" si="62"/>
        <v>13.369206080101591</v>
      </c>
      <c r="BT56" s="46">
        <f t="shared" si="63"/>
        <v>166.63079391989839</v>
      </c>
      <c r="BU56" s="46">
        <f t="shared" ref="BU56:BU74" si="104">180-BS56-360</f>
        <v>-193.36920608010161</v>
      </c>
      <c r="BV56" s="46">
        <f t="shared" si="65"/>
        <v>1.203973270580319</v>
      </c>
      <c r="BW56" s="46">
        <f t="shared" si="66"/>
        <v>924.41402363225768</v>
      </c>
      <c r="BX56" s="47">
        <f>COS(RADIANS(BP56))*COS(RADIANS(BR56-Insolation!$L$6))*SIN(RADIANS(0))+(SIN(RADIANS(BP56))*COS(RADIANS(0)))</f>
        <v>0.83058322342820523</v>
      </c>
      <c r="BY56" s="47">
        <f>COS(RADIANS(BP56))*COS(RADIANS(BR56-Insolation!$L$6))*SIN(RADIANS(Insolation!$L$7))+SIN(RADIANS(BP56))*COS(RADIANS(Insolation!$L$7))</f>
        <v>0.5418028432645372</v>
      </c>
      <c r="BZ56" s="46">
        <f t="shared" si="67"/>
        <v>767.80277953071766</v>
      </c>
      <c r="CA56" s="46">
        <f t="shared" si="68"/>
        <v>90.998014864729285</v>
      </c>
      <c r="CB56" s="46">
        <f t="shared" si="69"/>
        <v>500.85014635756829</v>
      </c>
      <c r="CC56" s="46">
        <f>$BN$55*BW56*((1+COS(RADIANS(Insolation!$L$7)))/2)</f>
        <v>45.499007432364643</v>
      </c>
      <c r="CD56" s="46">
        <f t="shared" si="70"/>
        <v>911.96186506352558</v>
      </c>
      <c r="CE56" s="46">
        <f t="shared" si="71"/>
        <v>78.635791291050054</v>
      </c>
      <c r="CF56" s="46">
        <f t="shared" si="72"/>
        <v>924.41402363225768</v>
      </c>
      <c r="CG56" s="46">
        <f t="shared" si="73"/>
        <v>83.289719688321924</v>
      </c>
      <c r="CI56" s="236"/>
      <c r="CJ56" s="212">
        <v>11.5</v>
      </c>
      <c r="CK56" s="46">
        <f t="shared" si="74"/>
        <v>65.348220414210161</v>
      </c>
      <c r="CL56" s="207">
        <f t="shared" si="17"/>
        <v>7.5</v>
      </c>
      <c r="CM56" s="46">
        <f t="shared" si="75"/>
        <v>17.232780285108898</v>
      </c>
      <c r="CN56" s="46">
        <f t="shared" si="76"/>
        <v>17.232780285108898</v>
      </c>
      <c r="CO56" s="46">
        <f t="shared" si="77"/>
        <v>162.7672197148911</v>
      </c>
      <c r="CP56" s="46">
        <f t="shared" ref="CP56:CP74" si="105">180-CN56-360</f>
        <v>-197.2327802851089</v>
      </c>
      <c r="CQ56" s="46">
        <f t="shared" si="79"/>
        <v>1.1002800342197485</v>
      </c>
      <c r="CR56" s="46">
        <f t="shared" si="80"/>
        <v>896.72441633001119</v>
      </c>
      <c r="CS56" s="47">
        <f>COS(RADIANS(CK56))*COS(RADIANS(CM56-Insolation!$L$6))*SIN(RADIANS(0))+(SIN(RADIANS(CK56))*COS(RADIANS(0)))</f>
        <v>0.90885953475393111</v>
      </c>
      <c r="CT56" s="47">
        <f>COS(RADIANS(CK56))*COS(RADIANS(CM56-Insolation!$L$6))*SIN(RADIANS(Insolation!$L$7))+SIN(RADIANS(CK56))*COS(RADIANS(Insolation!$L$7))</f>
        <v>0.39837819066763241</v>
      </c>
      <c r="CU56" s="46">
        <f t="shared" si="81"/>
        <v>814.99653582818439</v>
      </c>
      <c r="CV56" s="46">
        <f t="shared" si="82"/>
        <v>105.51583161708486</v>
      </c>
      <c r="CW56" s="46">
        <f t="shared" si="83"/>
        <v>357.23545050503861</v>
      </c>
      <c r="CX56" s="46">
        <f>$CI$55*CR56*((1+COS(RADIANS(Insolation!$L$7)))/2)</f>
        <v>52.757915808542428</v>
      </c>
      <c r="CY56" s="46">
        <f t="shared" si="84"/>
        <v>848.9242625281787</v>
      </c>
      <c r="CZ56" s="46">
        <f t="shared" si="101"/>
        <v>91.062824148473936</v>
      </c>
      <c r="DA56" s="46">
        <f t="shared" si="85"/>
        <v>896.72441633001119</v>
      </c>
      <c r="DB56" s="46">
        <f t="shared" si="86"/>
        <v>100.70745062488136</v>
      </c>
      <c r="DD56" s="236"/>
      <c r="DE56" s="212">
        <v>11.5</v>
      </c>
      <c r="DF56" s="46">
        <f t="shared" si="87"/>
        <v>69.724028080511175</v>
      </c>
      <c r="DG56" s="207">
        <f t="shared" si="18"/>
        <v>7.5</v>
      </c>
      <c r="DH56" s="46">
        <f t="shared" si="88"/>
        <v>20.236628316533295</v>
      </c>
      <c r="DI56" s="46">
        <f t="shared" si="89"/>
        <v>20.236628316533295</v>
      </c>
      <c r="DJ56" s="46">
        <f t="shared" si="90"/>
        <v>159.76337168346672</v>
      </c>
      <c r="DK56" s="46">
        <f t="shared" ref="DK56:DK74" si="106">180-DI56-360</f>
        <v>-200.23662831653328</v>
      </c>
      <c r="DL56" s="46">
        <f t="shared" si="92"/>
        <v>1.0660590457231989</v>
      </c>
      <c r="DM56" s="46">
        <f t="shared" si="93"/>
        <v>874.10026773945447</v>
      </c>
      <c r="DN56" s="47">
        <f>COS(RADIANS(DF56))*COS(RADIANS(DH56-Insolation!$L$6))*SIN(RADIANS(0))+(SIN(RADIANS(DF56))*COS(RADIANS(0)))</f>
        <v>0.93803434623230886</v>
      </c>
      <c r="DO56" s="47">
        <f>COS(RADIANS(DF56))*COS(RADIANS(DH56-Insolation!$L$6))*SIN(RADIANS(Insolation!$L$7))+SIN(RADIANS(DF56))*COS(RADIANS(Insolation!$L$7))</f>
        <v>0.32515096655975706</v>
      </c>
      <c r="DP56" s="46">
        <f t="shared" si="94"/>
        <v>819.93607319046532</v>
      </c>
      <c r="DQ56" s="46">
        <f t="shared" si="95"/>
        <v>114.75236609981488</v>
      </c>
      <c r="DR56" s="46">
        <f t="shared" si="96"/>
        <v>284.21454692562605</v>
      </c>
      <c r="DS56" s="46">
        <f>$DD$55*DM56*((1+COS(RADIANS(Insolation!$L$7)))/2)</f>
        <v>57.376183049907439</v>
      </c>
      <c r="DT56" s="46">
        <f t="shared" si="97"/>
        <v>802.72724705051098</v>
      </c>
      <c r="DU56" s="46">
        <f t="shared" si="98"/>
        <v>98.93304192758356</v>
      </c>
      <c r="DV56" s="46">
        <f t="shared" si="99"/>
        <v>874.10026773945447</v>
      </c>
      <c r="DW56" s="46">
        <f t="shared" si="100"/>
        <v>111.19701340643265</v>
      </c>
    </row>
    <row r="57" spans="1:127" x14ac:dyDescent="0.25">
      <c r="C57" s="212"/>
      <c r="D57" s="212">
        <v>12</v>
      </c>
      <c r="E57" s="46">
        <f t="shared" si="12"/>
        <v>26.118806089778193</v>
      </c>
      <c r="F57" s="207">
        <f t="shared" si="13"/>
        <v>0</v>
      </c>
      <c r="G57" s="46">
        <f t="shared" si="19"/>
        <v>0</v>
      </c>
      <c r="H57" s="46">
        <f t="shared" si="20"/>
        <v>0</v>
      </c>
      <c r="I57" s="46">
        <f t="shared" si="21"/>
        <v>180</v>
      </c>
      <c r="J57" s="46">
        <f t="shared" si="22"/>
        <v>-180</v>
      </c>
      <c r="K57" s="46">
        <f t="shared" si="23"/>
        <v>2.2715197322454896</v>
      </c>
      <c r="L57" s="46">
        <f t="shared" si="24"/>
        <v>898.68326160855179</v>
      </c>
      <c r="M57" s="47">
        <f>COS(RADIANS(E57))*COS(RADIANS(G57-Insolation!$L$6))*SIN(RADIANS(0))+(SIN(RADIANS(E57))*COS(RADIANS(0)))</f>
        <v>0.44023390411469565</v>
      </c>
      <c r="N57" s="47">
        <f>COS(RADIANS(E57))*COS(RADIANS(G57-Insolation!$L$6))*SIN(RADIANS(Insolation!$L$7))+SIN(RADIANS(E57))*COS(RADIANS(Insolation!$L$7))</f>
        <v>0.89788312695357686</v>
      </c>
      <c r="O57" s="46">
        <f t="shared" si="25"/>
        <v>395.63084082046112</v>
      </c>
      <c r="P57" s="46">
        <f t="shared" si="26"/>
        <v>49.635430200129058</v>
      </c>
      <c r="Q57" s="46">
        <f t="shared" si="27"/>
        <v>806.91253707392582</v>
      </c>
      <c r="R57" s="46">
        <f>$C$55*L57*((1+COS(RADIANS(Insolation!$L$7)))/2)</f>
        <v>24.817715100064529</v>
      </c>
      <c r="S57" s="46">
        <f t="shared" si="28"/>
        <v>837.46911748704599</v>
      </c>
      <c r="T57" s="46">
        <f t="shared" si="29"/>
        <v>43.08252633230758</v>
      </c>
      <c r="U57" s="46">
        <f t="shared" si="30"/>
        <v>898.68326160855179</v>
      </c>
      <c r="V57" s="46">
        <f t="shared" si="31"/>
        <v>35.743314709772172</v>
      </c>
      <c r="X57" s="212"/>
      <c r="Y57" s="212">
        <v>12</v>
      </c>
      <c r="Z57" s="46">
        <f t="shared" si="32"/>
        <v>34.099123814973296</v>
      </c>
      <c r="AA57" s="207">
        <f t="shared" si="14"/>
        <v>0</v>
      </c>
      <c r="AB57" s="46">
        <f t="shared" si="33"/>
        <v>0</v>
      </c>
      <c r="AC57" s="46">
        <f t="shared" si="34"/>
        <v>0</v>
      </c>
      <c r="AD57" s="46">
        <f t="shared" si="35"/>
        <v>180</v>
      </c>
      <c r="AE57" s="46">
        <f t="shared" si="102"/>
        <v>-180</v>
      </c>
      <c r="AF57" s="46">
        <f t="shared" si="37"/>
        <v>1.7837192863456006</v>
      </c>
      <c r="AG57" s="46">
        <f t="shared" si="38"/>
        <v>935.60595535953576</v>
      </c>
      <c r="AH57" s="47">
        <f>COS(RADIANS(Z57))*COS(RADIANS(AB57-Insolation!$L$6))*SIN(RADIANS(0))+(SIN(RADIANS(Z57))*COS(RADIANS(0)))</f>
        <v>0.56062633153939401</v>
      </c>
      <c r="AI57" s="47">
        <f>COS(RADIANS(Z57))*COS(RADIANS(AB57-Insolation!$L$6))*SIN(RADIANS(Insolation!$L$7))+SIN(RADIANS(Z57))*COS(RADIANS(Insolation!$L$7))</f>
        <v>0.82806890799297705</v>
      </c>
      <c r="AJ57" s="46">
        <f t="shared" si="39"/>
        <v>524.52533451962654</v>
      </c>
      <c r="AK57" s="46">
        <f t="shared" si="40"/>
        <v>58.892237499570889</v>
      </c>
      <c r="AL57" s="46">
        <f t="shared" si="41"/>
        <v>774.74620176629685</v>
      </c>
      <c r="AM57" s="46">
        <f>$X$55*AG57*((1+COS(RADIANS(Insolation!$L$7)))/2)</f>
        <v>29.446118749785445</v>
      </c>
      <c r="AN57" s="46">
        <f t="shared" si="42"/>
        <v>910.55266829941763</v>
      </c>
      <c r="AO57" s="46">
        <f t="shared" si="43"/>
        <v>51.117243521688629</v>
      </c>
      <c r="AP57" s="46">
        <f t="shared" si="44"/>
        <v>935.60595535953576</v>
      </c>
      <c r="AQ57" s="46">
        <f t="shared" si="45"/>
        <v>45.954388282551022</v>
      </c>
      <c r="AS57" s="212"/>
      <c r="AT57" s="212">
        <v>12</v>
      </c>
      <c r="AU57" s="46">
        <f t="shared" si="46"/>
        <v>44.569401347110187</v>
      </c>
      <c r="AV57" s="207">
        <f t="shared" si="15"/>
        <v>0</v>
      </c>
      <c r="AW57" s="46">
        <f t="shared" si="47"/>
        <v>0</v>
      </c>
      <c r="AX57" s="46">
        <f t="shared" si="48"/>
        <v>0</v>
      </c>
      <c r="AY57" s="46">
        <f t="shared" si="49"/>
        <v>180</v>
      </c>
      <c r="AZ57" s="46">
        <f t="shared" si="103"/>
        <v>-180</v>
      </c>
      <c r="BA57" s="46">
        <f t="shared" si="51"/>
        <v>1.4249628174350819</v>
      </c>
      <c r="BB57" s="46">
        <f t="shared" si="52"/>
        <v>943.7465808630634</v>
      </c>
      <c r="BC57" s="47">
        <f>COS(RADIANS(AU57))*COS(RADIANS(AW57-Insolation!$L$6))*SIN(RADIANS(0))+(SIN(RADIANS(AU57))*COS(RADIANS(0)))</f>
        <v>0.70177269733956249</v>
      </c>
      <c r="BD57" s="47">
        <f>COS(RADIANS(AU57))*COS(RADIANS(AW57-Insolation!$L$6))*SIN(RADIANS(Insolation!$L$7))+SIN(RADIANS(AU57))*COS(RADIANS(Insolation!$L$7))</f>
        <v>0.7124009273356926</v>
      </c>
      <c r="BE57" s="46">
        <f t="shared" si="53"/>
        <v>662.29558365726155</v>
      </c>
      <c r="BF57" s="46">
        <f t="shared" si="54"/>
        <v>73.3187057519728</v>
      </c>
      <c r="BG57" s="46">
        <f t="shared" si="55"/>
        <v>672.32593937673562</v>
      </c>
      <c r="BH57" s="46">
        <f>$AS$55*BB57*((1+COS(RADIANS(Insolation!$L$7)))/2)</f>
        <v>36.6593528759864</v>
      </c>
      <c r="BI57" s="46">
        <f t="shared" si="56"/>
        <v>942.6046355951454</v>
      </c>
      <c r="BJ57" s="46">
        <f t="shared" si="57"/>
        <v>63.639119445002144</v>
      </c>
      <c r="BK57" s="46">
        <f t="shared" si="58"/>
        <v>943.7465808630634</v>
      </c>
      <c r="BL57" s="46">
        <f t="shared" si="59"/>
        <v>62.385885826490231</v>
      </c>
      <c r="BN57" s="212"/>
      <c r="BO57" s="212">
        <v>12</v>
      </c>
      <c r="BP57" s="46">
        <f t="shared" si="60"/>
        <v>56.803173346880065</v>
      </c>
      <c r="BQ57" s="207">
        <f t="shared" si="16"/>
        <v>0</v>
      </c>
      <c r="BR57" s="46">
        <f t="shared" si="61"/>
        <v>0</v>
      </c>
      <c r="BS57" s="46">
        <f t="shared" si="62"/>
        <v>0</v>
      </c>
      <c r="BT57" s="46">
        <f t="shared" si="63"/>
        <v>180</v>
      </c>
      <c r="BU57" s="46">
        <f t="shared" si="104"/>
        <v>-180</v>
      </c>
      <c r="BV57" s="46">
        <f t="shared" si="65"/>
        <v>1.1950363365225793</v>
      </c>
      <c r="BW57" s="46">
        <f t="shared" si="66"/>
        <v>925.87752594083133</v>
      </c>
      <c r="BX57" s="47">
        <f>COS(RADIANS(BP57))*COS(RADIANS(BR57-Insolation!$L$6))*SIN(RADIANS(0))+(SIN(RADIANS(BP57))*COS(RADIANS(0)))</f>
        <v>0.83679463915707109</v>
      </c>
      <c r="BY57" s="47">
        <f>COS(RADIANS(BP57))*COS(RADIANS(BR57-Insolation!$L$6))*SIN(RADIANS(Insolation!$L$7))+SIN(RADIANS(BP57))*COS(RADIANS(Insolation!$L$7))</f>
        <v>0.54751687816722805</v>
      </c>
      <c r="BZ57" s="46">
        <f t="shared" si="67"/>
        <v>774.76935022329963</v>
      </c>
      <c r="CA57" s="46">
        <f t="shared" si="68"/>
        <v>91.14207997130012</v>
      </c>
      <c r="CB57" s="46">
        <f t="shared" si="69"/>
        <v>506.9335725683207</v>
      </c>
      <c r="CC57" s="46">
        <f>$BN$55*BW57*((1+COS(RADIANS(Insolation!$L$7)))/2)</f>
        <v>45.57103998565006</v>
      </c>
      <c r="CD57" s="46">
        <f t="shared" si="70"/>
        <v>913.40565351840792</v>
      </c>
      <c r="CE57" s="46">
        <f t="shared" si="71"/>
        <v>79.109439457112046</v>
      </c>
      <c r="CF57" s="46">
        <f t="shared" si="72"/>
        <v>925.87752594083133</v>
      </c>
      <c r="CG57" s="46">
        <f t="shared" si="73"/>
        <v>83.704641946454558</v>
      </c>
      <c r="CI57" s="212"/>
      <c r="CJ57" s="212">
        <v>12</v>
      </c>
      <c r="CK57" s="46">
        <f t="shared" si="74"/>
        <v>66.180197517696158</v>
      </c>
      <c r="CL57" s="207">
        <f t="shared" si="17"/>
        <v>0</v>
      </c>
      <c r="CM57" s="46">
        <f t="shared" si="75"/>
        <v>0</v>
      </c>
      <c r="CN57" s="46">
        <f t="shared" si="76"/>
        <v>0</v>
      </c>
      <c r="CO57" s="46">
        <f t="shared" si="77"/>
        <v>180</v>
      </c>
      <c r="CP57" s="46">
        <f t="shared" si="105"/>
        <v>-180</v>
      </c>
      <c r="CQ57" s="46">
        <f t="shared" si="79"/>
        <v>1.0931110452775095</v>
      </c>
      <c r="CR57" s="46">
        <f t="shared" si="80"/>
        <v>897.97136881165818</v>
      </c>
      <c r="CS57" s="47">
        <f>COS(RADIANS(CK57))*COS(RADIANS(CM57-Insolation!$L$6))*SIN(RADIANS(0))+(SIN(RADIANS(CK57))*COS(RADIANS(0)))</f>
        <v>0.91482014047907523</v>
      </c>
      <c r="CT57" s="47">
        <f>COS(RADIANS(CK57))*COS(RADIANS(CM57-Insolation!$L$6))*SIN(RADIANS(Insolation!$L$7))+SIN(RADIANS(CK57))*COS(RADIANS(Insolation!$L$7))</f>
        <v>0.4038614992467654</v>
      </c>
      <c r="CU57" s="46">
        <f t="shared" si="81"/>
        <v>821.48229376246866</v>
      </c>
      <c r="CV57" s="46">
        <f t="shared" si="82"/>
        <v>105.66255810929574</v>
      </c>
      <c r="CW57" s="46">
        <f t="shared" si="83"/>
        <v>362.65606328894637</v>
      </c>
      <c r="CX57" s="46">
        <f>$CI$55*CR57*((1+COS(RADIANS(Insolation!$L$7)))/2)</f>
        <v>52.831279054647872</v>
      </c>
      <c r="CY57" s="46">
        <f t="shared" si="84"/>
        <v>850.10474584792837</v>
      </c>
      <c r="CZ57" s="46">
        <f t="shared" si="101"/>
        <v>91.712914015820843</v>
      </c>
      <c r="DA57" s="46">
        <f t="shared" si="85"/>
        <v>897.97136881165818</v>
      </c>
      <c r="DB57" s="46">
        <f t="shared" si="86"/>
        <v>101.16239718111007</v>
      </c>
      <c r="DD57" s="212"/>
      <c r="DE57" s="212">
        <v>12</v>
      </c>
      <c r="DF57" s="46">
        <f t="shared" si="87"/>
        <v>70.702689916663189</v>
      </c>
      <c r="DG57" s="207">
        <f t="shared" si="18"/>
        <v>0</v>
      </c>
      <c r="DH57" s="46">
        <f t="shared" si="88"/>
        <v>0</v>
      </c>
      <c r="DI57" s="46">
        <f t="shared" si="89"/>
        <v>0</v>
      </c>
      <c r="DJ57" s="46">
        <f t="shared" si="90"/>
        <v>180</v>
      </c>
      <c r="DK57" s="46">
        <f t="shared" si="106"/>
        <v>-180</v>
      </c>
      <c r="DL57" s="46">
        <f t="shared" si="92"/>
        <v>1.0595280273592163</v>
      </c>
      <c r="DM57" s="46">
        <f t="shared" si="93"/>
        <v>875.27560982672355</v>
      </c>
      <c r="DN57" s="47">
        <f>COS(RADIANS(DF57))*COS(RADIANS(DH57-Insolation!$L$6))*SIN(RADIANS(0))+(SIN(RADIANS(DF57))*COS(RADIANS(0)))</f>
        <v>0.94381646750054848</v>
      </c>
      <c r="DO57" s="47">
        <f>COS(RADIANS(DF57))*COS(RADIANS(DH57-Insolation!$L$6))*SIN(RADIANS(Insolation!$L$7))+SIN(RADIANS(DF57))*COS(RADIANS(Insolation!$L$7))</f>
        <v>0.33047008287405699</v>
      </c>
      <c r="DP57" s="46">
        <f t="shared" si="94"/>
        <v>826.09953415604662</v>
      </c>
      <c r="DQ57" s="46">
        <f t="shared" si="95"/>
        <v>114.90666565842228</v>
      </c>
      <c r="DR57" s="46">
        <f t="shared" si="96"/>
        <v>289.25240331707812</v>
      </c>
      <c r="DS57" s="46">
        <f>$DD$55*DM57*((1+COS(RADIANS(Insolation!$L$7)))/2)</f>
        <v>57.453332829211142</v>
      </c>
      <c r="DT57" s="46">
        <f t="shared" si="97"/>
        <v>803.8066187803654</v>
      </c>
      <c r="DU57" s="46">
        <f t="shared" si="98"/>
        <v>99.736608084717886</v>
      </c>
      <c r="DV57" s="46">
        <f t="shared" si="99"/>
        <v>875.27560982672355</v>
      </c>
      <c r="DW57" s="46">
        <f t="shared" si="100"/>
        <v>111.6787344662105</v>
      </c>
    </row>
    <row r="58" spans="1:127" x14ac:dyDescent="0.25">
      <c r="D58" s="212">
        <v>12.5</v>
      </c>
      <c r="E58" s="46">
        <f t="shared" si="12"/>
        <v>25.744993069445936</v>
      </c>
      <c r="F58" s="207">
        <f t="shared" si="13"/>
        <v>-7.5</v>
      </c>
      <c r="G58" s="46">
        <f t="shared" si="19"/>
        <v>-7.7609287651427383</v>
      </c>
      <c r="H58" s="46">
        <f t="shared" si="20"/>
        <v>-7.7609287651427383</v>
      </c>
      <c r="I58" s="46">
        <f t="shared" si="21"/>
        <v>187.76092876514275</v>
      </c>
      <c r="J58" s="46">
        <f t="shared" si="22"/>
        <v>-172.23907123485725</v>
      </c>
      <c r="K58" s="46">
        <f t="shared" si="23"/>
        <v>2.3022030796347783</v>
      </c>
      <c r="L58" s="46">
        <f t="shared" si="24"/>
        <v>894.85299608423361</v>
      </c>
      <c r="M58" s="47">
        <f>COS(RADIANS(E58))*COS(RADIANS(G58-Insolation!$L$6))*SIN(RADIANS(0))+(SIN(RADIANS(E58))*COS(RADIANS(0)))</f>
        <v>0.43436654604711938</v>
      </c>
      <c r="N58" s="47">
        <f>COS(RADIANS(E58))*COS(RADIANS(G58-Insolation!$L$6))*SIN(RADIANS(Insolation!$L$7))+SIN(RADIANS(E58))*COS(RADIANS(Insolation!$L$7))</f>
        <v>0.89248559920013548</v>
      </c>
      <c r="O58" s="46">
        <f t="shared" si="25"/>
        <v>388.69420512902502</v>
      </c>
      <c r="P58" s="46">
        <f t="shared" si="26"/>
        <v>49.423879718216256</v>
      </c>
      <c r="Q58" s="46">
        <f t="shared" si="27"/>
        <v>798.64341240627368</v>
      </c>
      <c r="R58" s="46">
        <f>$C$55*L58*((1+COS(RADIANS(Insolation!$L$7)))/2)</f>
        <v>24.711939859108128</v>
      </c>
      <c r="S58" s="46">
        <f t="shared" si="28"/>
        <v>833.89975192141799</v>
      </c>
      <c r="T58" s="46">
        <f t="shared" si="29"/>
        <v>42.789363422259797</v>
      </c>
      <c r="U58" s="46">
        <f t="shared" si="30"/>
        <v>894.85299608423361</v>
      </c>
      <c r="V58" s="46">
        <f t="shared" si="31"/>
        <v>35.445979821833063</v>
      </c>
      <c r="Y58" s="212">
        <v>12.5</v>
      </c>
      <c r="Z58" s="46">
        <f t="shared" si="32"/>
        <v>33.676193524236474</v>
      </c>
      <c r="AA58" s="207">
        <f t="shared" si="14"/>
        <v>-7.5</v>
      </c>
      <c r="AB58" s="46">
        <f t="shared" si="33"/>
        <v>-8.7803924675488805</v>
      </c>
      <c r="AC58" s="46">
        <f t="shared" si="34"/>
        <v>-8.7803924675488805</v>
      </c>
      <c r="AD58" s="46">
        <f t="shared" si="35"/>
        <v>188.78039246754889</v>
      </c>
      <c r="AE58" s="46">
        <f t="shared" si="102"/>
        <v>-171.21960753245111</v>
      </c>
      <c r="AF58" s="46">
        <f t="shared" si="37"/>
        <v>1.8034307336399653</v>
      </c>
      <c r="AG58" s="46">
        <f t="shared" si="38"/>
        <v>932.91814854940628</v>
      </c>
      <c r="AH58" s="47">
        <f>COS(RADIANS(Z58))*COS(RADIANS(AB58-Insolation!$L$6))*SIN(RADIANS(0))+(SIN(RADIANS(Z58))*COS(RADIANS(0)))</f>
        <v>0.55449870147307734</v>
      </c>
      <c r="AI58" s="47">
        <f>COS(RADIANS(Z58))*COS(RADIANS(AB58-Insolation!$L$6))*SIN(RADIANS(Insolation!$L$7))+SIN(RADIANS(Z58))*COS(RADIANS(Insolation!$L$7))</f>
        <v>0.82243194959281785</v>
      </c>
      <c r="AJ58" s="46">
        <f t="shared" si="39"/>
        <v>517.3019019513132</v>
      </c>
      <c r="AK58" s="46">
        <f t="shared" si="40"/>
        <v>58.723052004215333</v>
      </c>
      <c r="AL58" s="46">
        <f t="shared" si="41"/>
        <v>767.26169172201026</v>
      </c>
      <c r="AM58" s="46">
        <f>$X$55*AG58*((1+COS(RADIANS(Insolation!$L$7)))/2)</f>
        <v>29.361526002107666</v>
      </c>
      <c r="AN58" s="46">
        <f t="shared" si="42"/>
        <v>907.93683451937693</v>
      </c>
      <c r="AO58" s="46">
        <f t="shared" si="43"/>
        <v>50.823072745349776</v>
      </c>
      <c r="AP58" s="46">
        <f t="shared" si="44"/>
        <v>932.91814854940628</v>
      </c>
      <c r="AQ58" s="46">
        <f t="shared" si="45"/>
        <v>45.642454043544362</v>
      </c>
      <c r="AT58" s="212">
        <v>12.5</v>
      </c>
      <c r="AU58" s="46">
        <f t="shared" si="46"/>
        <v>44.065805318135638</v>
      </c>
      <c r="AV58" s="207">
        <f t="shared" si="15"/>
        <v>-7.5</v>
      </c>
      <c r="AW58" s="46">
        <f t="shared" si="47"/>
        <v>-10.453329492819918</v>
      </c>
      <c r="AX58" s="46">
        <f t="shared" si="48"/>
        <v>-10.453329492819918</v>
      </c>
      <c r="AY58" s="46">
        <f t="shared" si="49"/>
        <v>190.45332949281993</v>
      </c>
      <c r="AZ58" s="46">
        <f t="shared" si="103"/>
        <v>-169.54667050718007</v>
      </c>
      <c r="BA58" s="46">
        <f t="shared" si="51"/>
        <v>1.4378474179726657</v>
      </c>
      <c r="BB58" s="46">
        <f t="shared" si="52"/>
        <v>941.81693771825621</v>
      </c>
      <c r="BC58" s="47">
        <f>COS(RADIANS(AU58))*COS(RADIANS(AW58-Insolation!$L$6))*SIN(RADIANS(0))+(SIN(RADIANS(AU58))*COS(RADIANS(0)))</f>
        <v>0.69548408788046423</v>
      </c>
      <c r="BD58" s="47">
        <f>COS(RADIANS(AU58))*COS(RADIANS(AW58-Insolation!$L$6))*SIN(RADIANS(Insolation!$L$7))+SIN(RADIANS(AU58))*COS(RADIANS(Insolation!$L$7))</f>
        <v>0.70661588001199016</v>
      </c>
      <c r="BE58" s="46">
        <f t="shared" si="53"/>
        <v>655.01869387935346</v>
      </c>
      <c r="BF58" s="46">
        <f t="shared" si="54"/>
        <v>73.168793751432304</v>
      </c>
      <c r="BG58" s="46">
        <f t="shared" si="55"/>
        <v>665.50280425598339</v>
      </c>
      <c r="BH58" s="46">
        <f>$AS$55*BB58*((1+COS(RADIANS(Insolation!$L$7)))/2)</f>
        <v>36.584396875716152</v>
      </c>
      <c r="BI58" s="46">
        <f t="shared" si="56"/>
        <v>940.67732734288529</v>
      </c>
      <c r="BJ58" s="46">
        <f t="shared" si="57"/>
        <v>63.29026031407912</v>
      </c>
      <c r="BK58" s="46">
        <f t="shared" si="58"/>
        <v>941.81693771825621</v>
      </c>
      <c r="BL58" s="46">
        <f t="shared" si="59"/>
        <v>62.028262767480506</v>
      </c>
      <c r="BO58" s="212">
        <v>12.5</v>
      </c>
      <c r="BP58" s="46">
        <f t="shared" si="60"/>
        <v>56.158695838646281</v>
      </c>
      <c r="BQ58" s="207">
        <f t="shared" si="16"/>
        <v>-7.5</v>
      </c>
      <c r="BR58" s="46">
        <f t="shared" si="61"/>
        <v>-13.369206080101591</v>
      </c>
      <c r="BS58" s="46">
        <f t="shared" si="62"/>
        <v>-13.369206080101591</v>
      </c>
      <c r="BT58" s="46">
        <f t="shared" si="63"/>
        <v>193.36920608010161</v>
      </c>
      <c r="BU58" s="46">
        <f t="shared" si="104"/>
        <v>-166.63079391989839</v>
      </c>
      <c r="BV58" s="46">
        <f t="shared" si="65"/>
        <v>1.203973270580319</v>
      </c>
      <c r="BW58" s="46">
        <f t="shared" si="66"/>
        <v>924.41402363225768</v>
      </c>
      <c r="BX58" s="47">
        <f>COS(RADIANS(BP58))*COS(RADIANS(BR58-Insolation!$L$6))*SIN(RADIANS(0))+(SIN(RADIANS(BP58))*COS(RADIANS(0)))</f>
        <v>0.83058322342820523</v>
      </c>
      <c r="BY58" s="47">
        <f>COS(RADIANS(BP58))*COS(RADIANS(BR58-Insolation!$L$6))*SIN(RADIANS(Insolation!$L$7))+SIN(RADIANS(BP58))*COS(RADIANS(Insolation!$L$7))</f>
        <v>0.5418028432645372</v>
      </c>
      <c r="BZ58" s="46">
        <f t="shared" si="67"/>
        <v>767.80277953071766</v>
      </c>
      <c r="CA58" s="46">
        <f t="shared" si="68"/>
        <v>90.998014864729285</v>
      </c>
      <c r="CB58" s="46">
        <f t="shared" si="69"/>
        <v>500.85014635756829</v>
      </c>
      <c r="CC58" s="46">
        <f>$BN$55*BW58*((1+COS(RADIANS(Insolation!$L$7)))/2)</f>
        <v>45.499007432364643</v>
      </c>
      <c r="CD58" s="46">
        <f t="shared" si="70"/>
        <v>911.96186506352558</v>
      </c>
      <c r="CE58" s="46">
        <f t="shared" si="71"/>
        <v>78.635791291050054</v>
      </c>
      <c r="CF58" s="46">
        <f t="shared" si="72"/>
        <v>924.41402363225768</v>
      </c>
      <c r="CG58" s="46">
        <f t="shared" si="73"/>
        <v>83.289719688321924</v>
      </c>
      <c r="CJ58" s="212">
        <v>12.5</v>
      </c>
      <c r="CK58" s="46">
        <f t="shared" si="74"/>
        <v>65.348220414210161</v>
      </c>
      <c r="CL58" s="207">
        <f t="shared" si="17"/>
        <v>-7.5</v>
      </c>
      <c r="CM58" s="46">
        <f t="shared" si="75"/>
        <v>-17.232780285108898</v>
      </c>
      <c r="CN58" s="46">
        <f t="shared" si="76"/>
        <v>-17.232780285108898</v>
      </c>
      <c r="CO58" s="46">
        <f t="shared" si="77"/>
        <v>197.2327802851089</v>
      </c>
      <c r="CP58" s="46">
        <f t="shared" si="105"/>
        <v>-162.7672197148911</v>
      </c>
      <c r="CQ58" s="46">
        <f t="shared" si="79"/>
        <v>1.1002800342197485</v>
      </c>
      <c r="CR58" s="46">
        <f t="shared" si="80"/>
        <v>896.72441633001119</v>
      </c>
      <c r="CS58" s="47">
        <f>COS(RADIANS(CK58))*COS(RADIANS(CM58-Insolation!$L$6))*SIN(RADIANS(0))+(SIN(RADIANS(CK58))*COS(RADIANS(0)))</f>
        <v>0.90885953475393111</v>
      </c>
      <c r="CT58" s="47">
        <f>COS(RADIANS(CK58))*COS(RADIANS(CM58-Insolation!$L$6))*SIN(RADIANS(Insolation!$L$7))+SIN(RADIANS(CK58))*COS(RADIANS(Insolation!$L$7))</f>
        <v>0.39837819066763241</v>
      </c>
      <c r="CU58" s="46">
        <f t="shared" si="81"/>
        <v>814.99653582818439</v>
      </c>
      <c r="CV58" s="46">
        <f t="shared" si="82"/>
        <v>105.51583161708486</v>
      </c>
      <c r="CW58" s="46">
        <f t="shared" si="83"/>
        <v>357.23545050503861</v>
      </c>
      <c r="CX58" s="46">
        <f>$CI$55*CR58*((1+COS(RADIANS(Insolation!$L$7)))/2)</f>
        <v>52.757915808542428</v>
      </c>
      <c r="CY58" s="46">
        <f t="shared" si="84"/>
        <v>848.9242625281787</v>
      </c>
      <c r="CZ58" s="46">
        <f t="shared" si="101"/>
        <v>91.062824148473936</v>
      </c>
      <c r="DA58" s="46">
        <f t="shared" si="85"/>
        <v>896.72441633001119</v>
      </c>
      <c r="DB58" s="46">
        <f t="shared" si="86"/>
        <v>100.70745062488136</v>
      </c>
      <c r="DE58" s="212">
        <v>12.5</v>
      </c>
      <c r="DF58" s="46">
        <f t="shared" si="87"/>
        <v>69.724028080511175</v>
      </c>
      <c r="DG58" s="207">
        <f t="shared" si="18"/>
        <v>-7.5</v>
      </c>
      <c r="DH58" s="46">
        <f t="shared" si="88"/>
        <v>-20.236628316533295</v>
      </c>
      <c r="DI58" s="46">
        <f t="shared" si="89"/>
        <v>-20.236628316533295</v>
      </c>
      <c r="DJ58" s="46">
        <f t="shared" si="90"/>
        <v>200.23662831653328</v>
      </c>
      <c r="DK58" s="46">
        <f t="shared" si="106"/>
        <v>-159.76337168346672</v>
      </c>
      <c r="DL58" s="46">
        <f t="shared" si="92"/>
        <v>1.0660590457231989</v>
      </c>
      <c r="DM58" s="46">
        <f t="shared" si="93"/>
        <v>874.10026773945447</v>
      </c>
      <c r="DN58" s="47">
        <f>COS(RADIANS(DF58))*COS(RADIANS(DH58-Insolation!$L$6))*SIN(RADIANS(0))+(SIN(RADIANS(DF58))*COS(RADIANS(0)))</f>
        <v>0.93803434623230886</v>
      </c>
      <c r="DO58" s="47">
        <f>COS(RADIANS(DF58))*COS(RADIANS(DH58-Insolation!$L$6))*SIN(RADIANS(Insolation!$L$7))+SIN(RADIANS(DF58))*COS(RADIANS(Insolation!$L$7))</f>
        <v>0.32515096655975706</v>
      </c>
      <c r="DP58" s="46">
        <f t="shared" si="94"/>
        <v>819.93607319046532</v>
      </c>
      <c r="DQ58" s="46">
        <f t="shared" si="95"/>
        <v>114.75236609981488</v>
      </c>
      <c r="DR58" s="46">
        <f t="shared" si="96"/>
        <v>284.21454692562605</v>
      </c>
      <c r="DS58" s="46">
        <f>$DD$55*DM58*((1+COS(RADIANS(Insolation!$L$7)))/2)</f>
        <v>57.376183049907439</v>
      </c>
      <c r="DT58" s="46">
        <f t="shared" si="97"/>
        <v>802.72724705051098</v>
      </c>
      <c r="DU58" s="46">
        <f t="shared" si="98"/>
        <v>98.93304192758356</v>
      </c>
      <c r="DV58" s="46">
        <f t="shared" si="99"/>
        <v>874.10026773945447</v>
      </c>
      <c r="DW58" s="46">
        <f t="shared" si="100"/>
        <v>111.19701340643265</v>
      </c>
    </row>
    <row r="59" spans="1:127" x14ac:dyDescent="0.25">
      <c r="D59" s="212">
        <v>13</v>
      </c>
      <c r="E59" s="46">
        <f t="shared" si="12"/>
        <v>24.636810865989172</v>
      </c>
      <c r="F59" s="207">
        <f t="shared" si="13"/>
        <v>-15</v>
      </c>
      <c r="G59" s="46">
        <f t="shared" si="19"/>
        <v>-15.387404736882774</v>
      </c>
      <c r="H59" s="46">
        <f t="shared" si="20"/>
        <v>-15.387404736882774</v>
      </c>
      <c r="I59" s="46">
        <f t="shared" si="21"/>
        <v>195.38740473688279</v>
      </c>
      <c r="J59" s="46">
        <f t="shared" si="22"/>
        <v>-164.61259526311721</v>
      </c>
      <c r="K59" s="46">
        <f t="shared" si="23"/>
        <v>2.3988589263247788</v>
      </c>
      <c r="L59" s="46">
        <f t="shared" si="24"/>
        <v>882.89363205637835</v>
      </c>
      <c r="M59" s="47">
        <f>COS(RADIANS(E59))*COS(RADIANS(G59-Insolation!$L$6))*SIN(RADIANS(0))+(SIN(RADIANS(E59))*COS(RADIANS(0)))</f>
        <v>0.41686486396766587</v>
      </c>
      <c r="N59" s="47">
        <f>COS(RADIANS(E59))*COS(RADIANS(G59-Insolation!$L$6))*SIN(RADIANS(Insolation!$L$7))+SIN(RADIANS(E59))*COS(RADIANS(Insolation!$L$7))</f>
        <v>0.87638536913615006</v>
      </c>
      <c r="O59" s="46">
        <f t="shared" si="25"/>
        <v>368.04733382510062</v>
      </c>
      <c r="P59" s="46">
        <f t="shared" si="26"/>
        <v>48.763348690432295</v>
      </c>
      <c r="Q59" s="46">
        <f t="shared" si="27"/>
        <v>773.75506163768534</v>
      </c>
      <c r="R59" s="46">
        <f>$C$55*L59*((1+COS(RADIANS(Insolation!$L$7)))/2)</f>
        <v>24.381674345216148</v>
      </c>
      <c r="S59" s="46">
        <f t="shared" si="28"/>
        <v>822.75500441584256</v>
      </c>
      <c r="T59" s="46">
        <f t="shared" si="29"/>
        <v>41.892656938493474</v>
      </c>
      <c r="U59" s="46">
        <f t="shared" si="30"/>
        <v>882.89363205637835</v>
      </c>
      <c r="V59" s="46">
        <f t="shared" si="31"/>
        <v>34.545537704438608</v>
      </c>
      <c r="Y59" s="212">
        <v>13</v>
      </c>
      <c r="Z59" s="46">
        <f t="shared" si="32"/>
        <v>32.426731270010215</v>
      </c>
      <c r="AA59" s="207">
        <f t="shared" si="14"/>
        <v>-15</v>
      </c>
      <c r="AB59" s="46">
        <f t="shared" si="33"/>
        <v>-17.362642625459838</v>
      </c>
      <c r="AC59" s="46">
        <f t="shared" si="34"/>
        <v>-17.362642625459838</v>
      </c>
      <c r="AD59" s="46">
        <f t="shared" si="35"/>
        <v>197.36264262545984</v>
      </c>
      <c r="AE59" s="46">
        <f t="shared" si="102"/>
        <v>-162.63735737454016</v>
      </c>
      <c r="AF59" s="46">
        <f t="shared" si="37"/>
        <v>1.8649039112189896</v>
      </c>
      <c r="AG59" s="46">
        <f t="shared" si="38"/>
        <v>924.58529959457962</v>
      </c>
      <c r="AH59" s="47">
        <f>COS(RADIANS(Z59))*COS(RADIANS(AB59-Insolation!$L$6))*SIN(RADIANS(0))+(SIN(RADIANS(Z59))*COS(RADIANS(0)))</f>
        <v>0.53622065672346231</v>
      </c>
      <c r="AI59" s="47">
        <f>COS(RADIANS(Z59))*COS(RADIANS(AB59-Insolation!$L$6))*SIN(RADIANS(Insolation!$L$7))+SIN(RADIANS(Z59))*COS(RADIANS(Insolation!$L$7))</f>
        <v>0.80561752431342704</v>
      </c>
      <c r="AJ59" s="46">
        <f t="shared" si="39"/>
        <v>495.78173654546464</v>
      </c>
      <c r="AK59" s="46">
        <f t="shared" si="40"/>
        <v>58.198536189748211</v>
      </c>
      <c r="AL59" s="46">
        <f t="shared" si="41"/>
        <v>744.86212007597351</v>
      </c>
      <c r="AM59" s="46">
        <f>$X$55*AG59*((1+COS(RADIANS(Insolation!$L$7)))/2)</f>
        <v>29.099268094874105</v>
      </c>
      <c r="AN59" s="46">
        <f t="shared" si="42"/>
        <v>899.82711930552102</v>
      </c>
      <c r="AO59" s="46">
        <f t="shared" si="43"/>
        <v>49.931037461511693</v>
      </c>
      <c r="AP59" s="46">
        <f t="shared" si="44"/>
        <v>924.58529959457962</v>
      </c>
      <c r="AQ59" s="46">
        <f t="shared" si="45"/>
        <v>44.702896742879595</v>
      </c>
      <c r="AT59" s="212">
        <v>13</v>
      </c>
      <c r="AU59" s="46">
        <f t="shared" si="46"/>
        <v>42.588316918760476</v>
      </c>
      <c r="AV59" s="207">
        <f t="shared" si="15"/>
        <v>-15</v>
      </c>
      <c r="AW59" s="46">
        <f t="shared" si="47"/>
        <v>-20.555751935828813</v>
      </c>
      <c r="AX59" s="46">
        <f t="shared" si="48"/>
        <v>-20.555751935828813</v>
      </c>
      <c r="AY59" s="46">
        <f t="shared" si="49"/>
        <v>200.55575193582882</v>
      </c>
      <c r="AZ59" s="46">
        <f t="shared" si="103"/>
        <v>-159.44424806417118</v>
      </c>
      <c r="BA59" s="46">
        <f t="shared" si="51"/>
        <v>1.477703247447627</v>
      </c>
      <c r="BB59" s="46">
        <f t="shared" si="52"/>
        <v>935.87293100431054</v>
      </c>
      <c r="BC59" s="47">
        <f>COS(RADIANS(AU59))*COS(RADIANS(AW59-Insolation!$L$6))*SIN(RADIANS(0))+(SIN(RADIANS(AU59))*COS(RADIANS(0)))</f>
        <v>0.67672585935454688</v>
      </c>
      <c r="BD59" s="47">
        <f>COS(RADIANS(AU59))*COS(RADIANS(AW59-Insolation!$L$6))*SIN(RADIANS(Insolation!$L$7))+SIN(RADIANS(AU59))*COS(RADIANS(Insolation!$L$7))</f>
        <v>0.68935972180450933</v>
      </c>
      <c r="BE59" s="46">
        <f t="shared" si="53"/>
        <v>633.32941348055056</v>
      </c>
      <c r="BF59" s="46">
        <f t="shared" si="54"/>
        <v>72.707009954717535</v>
      </c>
      <c r="BG59" s="46">
        <f t="shared" si="55"/>
        <v>645.1531033615023</v>
      </c>
      <c r="BH59" s="46">
        <f>$AS$55*BB59*((1+COS(RADIANS(Insolation!$L$7)))/2)</f>
        <v>36.353504977358767</v>
      </c>
      <c r="BI59" s="46">
        <f t="shared" si="56"/>
        <v>934.74051295204526</v>
      </c>
      <c r="BJ59" s="46">
        <f t="shared" si="57"/>
        <v>62.241352864446092</v>
      </c>
      <c r="BK59" s="46">
        <f t="shared" si="58"/>
        <v>935.87293100431054</v>
      </c>
      <c r="BL59" s="46">
        <f t="shared" si="59"/>
        <v>60.954861873711678</v>
      </c>
      <c r="BO59" s="212">
        <v>13</v>
      </c>
      <c r="BP59" s="46">
        <f t="shared" si="60"/>
        <v>54.297224207975383</v>
      </c>
      <c r="BQ59" s="207">
        <f t="shared" si="16"/>
        <v>-15</v>
      </c>
      <c r="BR59" s="46">
        <f t="shared" si="61"/>
        <v>-25.946245933075282</v>
      </c>
      <c r="BS59" s="46">
        <f t="shared" si="62"/>
        <v>-25.946245933075282</v>
      </c>
      <c r="BT59" s="46">
        <f t="shared" si="63"/>
        <v>205.94624593307529</v>
      </c>
      <c r="BU59" s="46">
        <f t="shared" si="104"/>
        <v>-154.05375406692471</v>
      </c>
      <c r="BV59" s="46">
        <f t="shared" si="65"/>
        <v>1.2314432958712274</v>
      </c>
      <c r="BW59" s="46">
        <f t="shared" si="66"/>
        <v>919.93003061964293</v>
      </c>
      <c r="BX59" s="47">
        <f>COS(RADIANS(BP59))*COS(RADIANS(BR59-Insolation!$L$6))*SIN(RADIANS(0))+(SIN(RADIANS(BP59))*COS(RADIANS(0)))</f>
        <v>0.81205525528685851</v>
      </c>
      <c r="BY59" s="47">
        <f>COS(RADIANS(BP59))*COS(RADIANS(BR59-Insolation!$L$6))*SIN(RADIANS(Insolation!$L$7))+SIN(RADIANS(BP59))*COS(RADIANS(Insolation!$L$7))</f>
        <v>0.52475850727787909</v>
      </c>
      <c r="BZ59" s="46">
        <f t="shared" si="67"/>
        <v>747.03401586088171</v>
      </c>
      <c r="CA59" s="46">
        <f t="shared" si="68"/>
        <v>90.55661690625611</v>
      </c>
      <c r="CB59" s="46">
        <f t="shared" si="69"/>
        <v>482.74110966805745</v>
      </c>
      <c r="CC59" s="46">
        <f>$BN$55*BW59*((1+COS(RADIANS(Insolation!$L$7)))/2)</f>
        <v>45.278308453128055</v>
      </c>
      <c r="CD59" s="46">
        <f t="shared" si="70"/>
        <v>907.53827290008314</v>
      </c>
      <c r="CE59" s="46">
        <f t="shared" si="71"/>
        <v>77.229086994028663</v>
      </c>
      <c r="CF59" s="46">
        <f t="shared" si="72"/>
        <v>919.93003061964293</v>
      </c>
      <c r="CG59" s="46">
        <f t="shared" si="73"/>
        <v>82.046796782990086</v>
      </c>
      <c r="CJ59" s="212">
        <v>13</v>
      </c>
      <c r="CK59" s="46">
        <f t="shared" si="74"/>
        <v>63.00923725563203</v>
      </c>
      <c r="CL59" s="207">
        <f t="shared" si="17"/>
        <v>-15</v>
      </c>
      <c r="CM59" s="46">
        <f t="shared" si="75"/>
        <v>-32.675438260092172</v>
      </c>
      <c r="CN59" s="46">
        <f t="shared" si="76"/>
        <v>-32.675438260092172</v>
      </c>
      <c r="CO59" s="46">
        <f t="shared" si="77"/>
        <v>212.67543826009216</v>
      </c>
      <c r="CP59" s="46">
        <f t="shared" si="105"/>
        <v>-147.32456173990784</v>
      </c>
      <c r="CQ59" s="46">
        <f t="shared" si="79"/>
        <v>1.1222340652244014</v>
      </c>
      <c r="CR59" s="46">
        <f t="shared" si="80"/>
        <v>892.91655825847772</v>
      </c>
      <c r="CS59" s="47">
        <f>COS(RADIANS(CK59))*COS(RADIANS(CM59-Insolation!$L$6))*SIN(RADIANS(0))+(SIN(RADIANS(CK59))*COS(RADIANS(0)))</f>
        <v>0.8910797051950482</v>
      </c>
      <c r="CT59" s="47">
        <f>COS(RADIANS(CK59))*COS(RADIANS(CM59-Insolation!$L$6))*SIN(RADIANS(Insolation!$L$7))+SIN(RADIANS(CK59))*COS(RADIANS(Insolation!$L$7))</f>
        <v>0.3820220858602823</v>
      </c>
      <c r="CU59" s="46">
        <f t="shared" si="81"/>
        <v>795.65982349674141</v>
      </c>
      <c r="CV59" s="46">
        <f t="shared" si="82"/>
        <v>105.06776830601535</v>
      </c>
      <c r="CW59" s="46">
        <f t="shared" si="83"/>
        <v>341.11384608508791</v>
      </c>
      <c r="CX59" s="46">
        <f>$CI$55*CR59*((1+COS(RADIANS(Insolation!$L$7)))/2)</f>
        <v>52.533884153007676</v>
      </c>
      <c r="CY59" s="46">
        <f t="shared" si="84"/>
        <v>845.31938343007369</v>
      </c>
      <c r="CZ59" s="46">
        <f t="shared" si="101"/>
        <v>89.170057970627596</v>
      </c>
      <c r="DA59" s="46">
        <f t="shared" si="85"/>
        <v>892.91655825847772</v>
      </c>
      <c r="DB59" s="46">
        <f t="shared" si="86"/>
        <v>99.34576215682057</v>
      </c>
      <c r="DE59" s="212">
        <v>13</v>
      </c>
      <c r="DF59" s="46">
        <f t="shared" si="87"/>
        <v>67.041396158397063</v>
      </c>
      <c r="DG59" s="207">
        <f t="shared" si="18"/>
        <v>-15</v>
      </c>
      <c r="DH59" s="46">
        <f t="shared" si="88"/>
        <v>-37.542327071988318</v>
      </c>
      <c r="DI59" s="46">
        <f t="shared" si="89"/>
        <v>-37.542327071988318</v>
      </c>
      <c r="DJ59" s="46">
        <f t="shared" si="90"/>
        <v>217.54232707198832</v>
      </c>
      <c r="DK59" s="46">
        <f t="shared" si="106"/>
        <v>-142.45767292801168</v>
      </c>
      <c r="DL59" s="46">
        <f t="shared" si="92"/>
        <v>1.0860275949702984</v>
      </c>
      <c r="DM59" s="46">
        <f t="shared" si="93"/>
        <v>870.51644726272752</v>
      </c>
      <c r="DN59" s="47">
        <f>COS(RADIANS(DF59))*COS(RADIANS(DH59-Insolation!$L$6))*SIN(RADIANS(0))+(SIN(RADIANS(DF59))*COS(RADIANS(0)))</f>
        <v>0.92078691612559693</v>
      </c>
      <c r="DO59" s="47">
        <f>COS(RADIANS(DF59))*COS(RADIANS(DH59-Insolation!$L$6))*SIN(RADIANS(Insolation!$L$7))+SIN(RADIANS(DF59))*COS(RADIANS(Insolation!$L$7))</f>
        <v>0.30928462917173088</v>
      </c>
      <c r="DP59" s="46">
        <f t="shared" si="94"/>
        <v>801.56015491165772</v>
      </c>
      <c r="DQ59" s="46">
        <f t="shared" si="95"/>
        <v>114.28188016752597</v>
      </c>
      <c r="DR59" s="46">
        <f t="shared" si="96"/>
        <v>269.23735657954529</v>
      </c>
      <c r="DS59" s="46">
        <f>$DD$55*DM59*((1+COS(RADIANS(Insolation!$L$7)))/2)</f>
        <v>57.140940083762985</v>
      </c>
      <c r="DT59" s="46">
        <f t="shared" si="97"/>
        <v>799.436056724433</v>
      </c>
      <c r="DU59" s="46">
        <f t="shared" si="98"/>
        <v>96.63806360121545</v>
      </c>
      <c r="DV59" s="46">
        <f t="shared" si="99"/>
        <v>870.51644726272752</v>
      </c>
      <c r="DW59" s="46">
        <f t="shared" si="100"/>
        <v>109.75557008800861</v>
      </c>
    </row>
    <row r="60" spans="1:127" x14ac:dyDescent="0.25">
      <c r="D60" s="212">
        <v>13.5</v>
      </c>
      <c r="E60" s="46">
        <f t="shared" si="12"/>
        <v>22.831871004682331</v>
      </c>
      <c r="F60" s="207">
        <f t="shared" si="13"/>
        <v>-22.5</v>
      </c>
      <c r="G60" s="46">
        <f t="shared" si="19"/>
        <v>-22.763862867208104</v>
      </c>
      <c r="H60" s="46">
        <f t="shared" si="20"/>
        <v>-22.763862867208104</v>
      </c>
      <c r="I60" s="46">
        <f t="shared" si="21"/>
        <v>202.7638628672081</v>
      </c>
      <c r="J60" s="46">
        <f t="shared" si="22"/>
        <v>-157.2361371327919</v>
      </c>
      <c r="K60" s="46">
        <f t="shared" si="23"/>
        <v>2.5771315067841307</v>
      </c>
      <c r="L60" s="46">
        <f t="shared" si="24"/>
        <v>861.25339568786717</v>
      </c>
      <c r="M60" s="47">
        <f>COS(RADIANS(E60))*COS(RADIANS(G60-Insolation!$L$6))*SIN(RADIANS(0))+(SIN(RADIANS(E60))*COS(RADIANS(0)))</f>
        <v>0.38802831650909747</v>
      </c>
      <c r="N60" s="47">
        <f>COS(RADIANS(E60))*COS(RADIANS(G60-Insolation!$L$6))*SIN(RADIANS(Insolation!$L$7))+SIN(RADIANS(E60))*COS(RADIANS(Insolation!$L$7))</f>
        <v>0.84985791616184247</v>
      </c>
      <c r="O60" s="46">
        <f t="shared" si="25"/>
        <v>334.19070521650667</v>
      </c>
      <c r="P60" s="46">
        <f t="shared" si="26"/>
        <v>47.568130655703392</v>
      </c>
      <c r="Q60" s="46">
        <f t="shared" si="27"/>
        <v>731.94301614660151</v>
      </c>
      <c r="R60" s="46">
        <f>$C$55*L60*((1+COS(RADIANS(Insolation!$L$7)))/2)</f>
        <v>23.784065327851696</v>
      </c>
      <c r="S60" s="46">
        <f t="shared" si="28"/>
        <v>802.58880078442098</v>
      </c>
      <c r="T60" s="46">
        <f t="shared" si="29"/>
        <v>40.336101661198128</v>
      </c>
      <c r="U60" s="46">
        <f t="shared" si="30"/>
        <v>861.25339568786717</v>
      </c>
      <c r="V60" s="46">
        <f t="shared" si="31"/>
        <v>33.012956156760382</v>
      </c>
      <c r="Y60" s="212">
        <v>13.5</v>
      </c>
      <c r="Z60" s="46">
        <f t="shared" si="32"/>
        <v>30.404728225611251</v>
      </c>
      <c r="AA60" s="207">
        <f t="shared" si="14"/>
        <v>-22.5</v>
      </c>
      <c r="AB60" s="46">
        <f t="shared" si="33"/>
        <v>-25.583372877122184</v>
      </c>
      <c r="AC60" s="46">
        <f t="shared" si="34"/>
        <v>-25.583372877122184</v>
      </c>
      <c r="AD60" s="46">
        <f t="shared" si="35"/>
        <v>205.58337287712217</v>
      </c>
      <c r="AE60" s="46">
        <f t="shared" si="102"/>
        <v>-154.41662712287783</v>
      </c>
      <c r="AF60" s="46">
        <f t="shared" si="37"/>
        <v>1.9758748068832597</v>
      </c>
      <c r="AG60" s="46">
        <f t="shared" si="38"/>
        <v>909.73090582521161</v>
      </c>
      <c r="AH60" s="47">
        <f>COS(RADIANS(Z60))*COS(RADIANS(AB60-Insolation!$L$6))*SIN(RADIANS(0))+(SIN(RADIANS(Z60))*COS(RADIANS(0)))</f>
        <v>0.50610493970384574</v>
      </c>
      <c r="AI60" s="47">
        <f>COS(RADIANS(Z60))*COS(RADIANS(AB60-Insolation!$L$6))*SIN(RADIANS(Insolation!$L$7))+SIN(RADIANS(Z60))*COS(RADIANS(Insolation!$L$7))</f>
        <v>0.77791333163317444</v>
      </c>
      <c r="AJ60" s="46">
        <f t="shared" si="39"/>
        <v>460.41930523939368</v>
      </c>
      <c r="AK60" s="46">
        <f t="shared" si="40"/>
        <v>57.263518107866084</v>
      </c>
      <c r="AL60" s="46">
        <f t="shared" si="41"/>
        <v>707.69179984015602</v>
      </c>
      <c r="AM60" s="46">
        <f>$X$55*AG60*((1+COS(RADIANS(Insolation!$L$7)))/2)</f>
        <v>28.631759053933042</v>
      </c>
      <c r="AN60" s="46">
        <f t="shared" si="42"/>
        <v>885.37049063060988</v>
      </c>
      <c r="AO60" s="46">
        <f t="shared" si="43"/>
        <v>48.410728229480583</v>
      </c>
      <c r="AP60" s="46">
        <f t="shared" si="44"/>
        <v>909.73090582521161</v>
      </c>
      <c r="AQ60" s="46">
        <f t="shared" si="45"/>
        <v>43.122433743538856</v>
      </c>
      <c r="AT60" s="212">
        <v>13.5</v>
      </c>
      <c r="AU60" s="46">
        <f t="shared" si="46"/>
        <v>40.227106849068235</v>
      </c>
      <c r="AV60" s="207">
        <f t="shared" si="15"/>
        <v>-22.5</v>
      </c>
      <c r="AW60" s="46">
        <f t="shared" si="47"/>
        <v>-30.041177247452644</v>
      </c>
      <c r="AX60" s="46">
        <f t="shared" si="48"/>
        <v>-30.041177247452644</v>
      </c>
      <c r="AY60" s="46">
        <f t="shared" si="49"/>
        <v>210.04117724745265</v>
      </c>
      <c r="AZ60" s="46">
        <f t="shared" si="103"/>
        <v>-149.95882275254735</v>
      </c>
      <c r="BA60" s="46">
        <f t="shared" si="51"/>
        <v>1.5484215330633411</v>
      </c>
      <c r="BB60" s="46">
        <f t="shared" si="52"/>
        <v>925.41835252628061</v>
      </c>
      <c r="BC60" s="47">
        <f>COS(RADIANS(AU60))*COS(RADIANS(AW60-Insolation!$L$6))*SIN(RADIANS(0))+(SIN(RADIANS(AU60))*COS(RADIANS(0)))</f>
        <v>0.64581897025265222</v>
      </c>
      <c r="BD60" s="47">
        <f>COS(RADIANS(AU60))*COS(RADIANS(AW60-Insolation!$L$6))*SIN(RADIANS(Insolation!$L$7))+SIN(RADIANS(AU60))*COS(RADIANS(Insolation!$L$7))</f>
        <v>0.66092771036449105</v>
      </c>
      <c r="BE60" s="46">
        <f t="shared" si="53"/>
        <v>597.65272748142843</v>
      </c>
      <c r="BF60" s="46">
        <f t="shared" si="54"/>
        <v>71.894804455132459</v>
      </c>
      <c r="BG60" s="46">
        <f t="shared" si="55"/>
        <v>611.63463286447404</v>
      </c>
      <c r="BH60" s="46">
        <f>$AS$55*BB60*((1+COS(RADIANS(Insolation!$L$7)))/2)</f>
        <v>35.947402227566229</v>
      </c>
      <c r="BI60" s="46">
        <f t="shared" si="56"/>
        <v>924.29858464585504</v>
      </c>
      <c r="BJ60" s="46">
        <f t="shared" si="57"/>
        <v>60.484564222449784</v>
      </c>
      <c r="BK60" s="46">
        <f t="shared" si="58"/>
        <v>925.41835252628061</v>
      </c>
      <c r="BL60" s="46">
        <f t="shared" si="59"/>
        <v>59.162916517430951</v>
      </c>
      <c r="BO60" s="212">
        <v>13.5</v>
      </c>
      <c r="BP60" s="46">
        <f t="shared" si="60"/>
        <v>51.400668675209218</v>
      </c>
      <c r="BQ60" s="207">
        <f t="shared" si="16"/>
        <v>-22.5</v>
      </c>
      <c r="BR60" s="46">
        <f t="shared" si="61"/>
        <v>-37.238868608178699</v>
      </c>
      <c r="BS60" s="46">
        <f t="shared" si="62"/>
        <v>-37.238868608178699</v>
      </c>
      <c r="BT60" s="46">
        <f t="shared" si="63"/>
        <v>217.23886860817871</v>
      </c>
      <c r="BU60" s="46">
        <f t="shared" si="104"/>
        <v>-142.76113139182129</v>
      </c>
      <c r="BV60" s="46">
        <f t="shared" si="65"/>
        <v>1.2795450905528791</v>
      </c>
      <c r="BW60" s="46">
        <f t="shared" si="66"/>
        <v>912.13059314731788</v>
      </c>
      <c r="BX60" s="47">
        <f>COS(RADIANS(BP60))*COS(RADIANS(BR60-Insolation!$L$6))*SIN(RADIANS(0))+(SIN(RADIANS(BP60))*COS(RADIANS(0)))</f>
        <v>0.78152775340485237</v>
      </c>
      <c r="BY60" s="47">
        <f>COS(RADIANS(BP60))*COS(RADIANS(BR60-Insolation!$L$6))*SIN(RADIANS(Insolation!$L$7))+SIN(RADIANS(BP60))*COS(RADIANS(Insolation!$L$7))</f>
        <v>0.49667550352156881</v>
      </c>
      <c r="BZ60" s="46">
        <f t="shared" si="67"/>
        <v>712.8553732742588</v>
      </c>
      <c r="CA60" s="46">
        <f t="shared" si="68"/>
        <v>89.788851263482272</v>
      </c>
      <c r="CB60" s="46">
        <f t="shared" si="69"/>
        <v>453.03292162887135</v>
      </c>
      <c r="CC60" s="46">
        <f>$BN$55*BW60*((1+COS(RADIANS(Insolation!$L$7)))/2)</f>
        <v>44.894425631741136</v>
      </c>
      <c r="CD60" s="46">
        <f t="shared" si="70"/>
        <v>899.84389639575454</v>
      </c>
      <c r="CE60" s="46">
        <f t="shared" si="71"/>
        <v>74.926375992427296</v>
      </c>
      <c r="CF60" s="46">
        <f t="shared" si="72"/>
        <v>912.13059314731788</v>
      </c>
      <c r="CG60" s="46">
        <f t="shared" si="73"/>
        <v>79.980665236117005</v>
      </c>
      <c r="CJ60" s="212">
        <v>13.5</v>
      </c>
      <c r="CK60" s="46">
        <f t="shared" si="74"/>
        <v>59.517582519478346</v>
      </c>
      <c r="CL60" s="207">
        <f t="shared" si="17"/>
        <v>-22.5</v>
      </c>
      <c r="CM60" s="46">
        <f t="shared" si="75"/>
        <v>-45.575954709209</v>
      </c>
      <c r="CN60" s="46">
        <f t="shared" si="76"/>
        <v>-45.575954709209</v>
      </c>
      <c r="CO60" s="46">
        <f t="shared" si="77"/>
        <v>225.57595470920899</v>
      </c>
      <c r="CP60" s="46">
        <f t="shared" si="105"/>
        <v>-134.42404529079101</v>
      </c>
      <c r="CQ60" s="46">
        <f t="shared" si="79"/>
        <v>1.1603824054673404</v>
      </c>
      <c r="CR60" s="46">
        <f t="shared" si="80"/>
        <v>886.33826786066186</v>
      </c>
      <c r="CS60" s="47">
        <f>COS(RADIANS(CK60))*COS(RADIANS(CM60-Insolation!$L$6))*SIN(RADIANS(0))+(SIN(RADIANS(CK60))*COS(RADIANS(0)))</f>
        <v>0.86178486961567902</v>
      </c>
      <c r="CT60" s="47">
        <f>COS(RADIANS(CK60))*COS(RADIANS(CM60-Insolation!$L$6))*SIN(RADIANS(Insolation!$L$7))+SIN(RADIANS(CK60))*COS(RADIANS(Insolation!$L$7))</f>
        <v>0.35507304231273784</v>
      </c>
      <c r="CU60" s="46">
        <f t="shared" si="81"/>
        <v>763.83290860368732</v>
      </c>
      <c r="CV60" s="46">
        <f t="shared" si="82"/>
        <v>104.29371356934944</v>
      </c>
      <c r="CW60" s="46">
        <f t="shared" si="83"/>
        <v>314.71482528748754</v>
      </c>
      <c r="CX60" s="46">
        <f>$CI$55*CR60*((1+COS(RADIANS(Insolation!$L$7)))/2)</f>
        <v>52.146856784674718</v>
      </c>
      <c r="CY60" s="46">
        <f t="shared" si="84"/>
        <v>839.09175070036906</v>
      </c>
      <c r="CZ60" s="46">
        <f>$CI$55*CR60*((1+COS(RADIANS(90-CK60+$CI$47)))/2)</f>
        <v>86.169444403016499</v>
      </c>
      <c r="DA60" s="46">
        <f t="shared" si="85"/>
        <v>886.33826786066186</v>
      </c>
      <c r="DB60" s="46">
        <f t="shared" si="86"/>
        <v>97.086228959723115</v>
      </c>
      <c r="DE60" s="212">
        <v>13.5</v>
      </c>
      <c r="DF60" s="46">
        <f t="shared" si="87"/>
        <v>63.172496892934475</v>
      </c>
      <c r="DG60" s="207">
        <f t="shared" si="18"/>
        <v>-22.5</v>
      </c>
      <c r="DH60" s="46">
        <f t="shared" si="88"/>
        <v>-51.142550496897002</v>
      </c>
      <c r="DI60" s="46">
        <f t="shared" si="89"/>
        <v>-51.142550496897002</v>
      </c>
      <c r="DJ60" s="46">
        <f t="shared" si="90"/>
        <v>231.142550496897</v>
      </c>
      <c r="DK60" s="46">
        <f t="shared" si="106"/>
        <v>-128.857449503103</v>
      </c>
      <c r="DL60" s="46">
        <f t="shared" si="92"/>
        <v>1.1206123028419772</v>
      </c>
      <c r="DM60" s="46">
        <f t="shared" si="93"/>
        <v>864.34414513855177</v>
      </c>
      <c r="DN60" s="47">
        <f>COS(RADIANS(DF60))*COS(RADIANS(DH60-Insolation!$L$6))*SIN(RADIANS(0))+(SIN(RADIANS(DF60))*COS(RADIANS(0)))</f>
        <v>0.89236928549142891</v>
      </c>
      <c r="DO60" s="47">
        <f>COS(RADIANS(DF60))*COS(RADIANS(DH60-Insolation!$L$6))*SIN(RADIANS(Insolation!$L$7))+SIN(RADIANS(DF60))*COS(RADIANS(Insolation!$L$7))</f>
        <v>0.2831425481416695</v>
      </c>
      <c r="DP60" s="46">
        <f t="shared" si="94"/>
        <v>771.31416721598941</v>
      </c>
      <c r="DQ60" s="46">
        <f t="shared" si="95"/>
        <v>113.47157693439253</v>
      </c>
      <c r="DR60" s="46">
        <f t="shared" si="96"/>
        <v>244.73260372586256</v>
      </c>
      <c r="DS60" s="46">
        <f>$DD$55*DM60*((1+COS(RADIANS(Insolation!$L$7)))/2)</f>
        <v>56.735788467196265</v>
      </c>
      <c r="DT60" s="46">
        <f t="shared" si="97"/>
        <v>793.76774237313202</v>
      </c>
      <c r="DU60" s="46">
        <f t="shared" si="98"/>
        <v>93.09708939572063</v>
      </c>
      <c r="DV60" s="46">
        <f t="shared" si="99"/>
        <v>864.34414513855177</v>
      </c>
      <c r="DW60" s="46">
        <f t="shared" si="100"/>
        <v>107.36506348346104</v>
      </c>
    </row>
    <row r="61" spans="1:127" x14ac:dyDescent="0.25">
      <c r="D61" s="212">
        <v>14</v>
      </c>
      <c r="E61" s="46">
        <f t="shared" si="12"/>
        <v>20.386445551119188</v>
      </c>
      <c r="F61" s="207">
        <f t="shared" si="13"/>
        <v>-30</v>
      </c>
      <c r="G61" s="46">
        <f t="shared" si="19"/>
        <v>-29.806804839499257</v>
      </c>
      <c r="H61" s="46">
        <f t="shared" si="20"/>
        <v>-29.806804839499257</v>
      </c>
      <c r="I61" s="46">
        <f t="shared" si="21"/>
        <v>209.80680483949925</v>
      </c>
      <c r="J61" s="46">
        <f t="shared" si="22"/>
        <v>-150.19319516050075</v>
      </c>
      <c r="K61" s="46">
        <f t="shared" si="23"/>
        <v>2.8706735308265499</v>
      </c>
      <c r="L61" s="46">
        <f t="shared" si="24"/>
        <v>826.77039353160797</v>
      </c>
      <c r="M61" s="47">
        <f>COS(RADIANS(E61))*COS(RADIANS(G61-Insolation!$L$6))*SIN(RADIANS(0))+(SIN(RADIANS(E61))*COS(RADIANS(0)))</f>
        <v>0.34835030499343167</v>
      </c>
      <c r="N61" s="47">
        <f>COS(RADIANS(E61))*COS(RADIANS(G61-Insolation!$L$6))*SIN(RADIANS(Insolation!$L$7))+SIN(RADIANS(E61))*COS(RADIANS(Insolation!$L$7))</f>
        <v>0.81335713235240259</v>
      </c>
      <c r="O61" s="46">
        <f t="shared" si="25"/>
        <v>288.00571874627514</v>
      </c>
      <c r="P61" s="46">
        <f t="shared" si="26"/>
        <v>45.663590179947391</v>
      </c>
      <c r="Q61" s="46">
        <f t="shared" si="27"/>
        <v>672.45959639673606</v>
      </c>
      <c r="R61" s="46">
        <f>$C$55*L61*((1+COS(RADIANS(Insolation!$L$7)))/2)</f>
        <v>22.831795089973696</v>
      </c>
      <c r="S61" s="46">
        <f t="shared" si="28"/>
        <v>770.45462112648818</v>
      </c>
      <c r="T61" s="46">
        <f t="shared" si="29"/>
        <v>38.007078553546116</v>
      </c>
      <c r="U61" s="46">
        <f t="shared" si="30"/>
        <v>826.77039353160797</v>
      </c>
      <c r="V61" s="46">
        <f t="shared" si="31"/>
        <v>30.785257873113565</v>
      </c>
      <c r="Y61" s="212">
        <v>14</v>
      </c>
      <c r="Z61" s="46">
        <f t="shared" si="32"/>
        <v>27.688662553652001</v>
      </c>
      <c r="AA61" s="207">
        <f t="shared" si="14"/>
        <v>-30</v>
      </c>
      <c r="AB61" s="46">
        <f t="shared" si="33"/>
        <v>-33.335572800022028</v>
      </c>
      <c r="AC61" s="46">
        <f t="shared" si="34"/>
        <v>-33.335572800022028</v>
      </c>
      <c r="AD61" s="46">
        <f t="shared" si="35"/>
        <v>213.33557280002202</v>
      </c>
      <c r="AE61" s="46">
        <f t="shared" si="102"/>
        <v>-146.66442719997798</v>
      </c>
      <c r="AF61" s="46">
        <f t="shared" si="37"/>
        <v>2.1520795476523604</v>
      </c>
      <c r="AG61" s="46">
        <f t="shared" si="38"/>
        <v>886.63318383334718</v>
      </c>
      <c r="AH61" s="47">
        <f>COS(RADIANS(Z61))*COS(RADIANS(AB61-Insolation!$L$6))*SIN(RADIANS(0))+(SIN(RADIANS(Z61))*COS(RADIANS(0)))</f>
        <v>0.46466683868208791</v>
      </c>
      <c r="AI61" s="47">
        <f>COS(RADIANS(Z61))*COS(RADIANS(AB61-Insolation!$L$6))*SIN(RADIANS(Insolation!$L$7))+SIN(RADIANS(Z61))*COS(RADIANS(Insolation!$L$7))</f>
        <v>0.73979339796987242</v>
      </c>
      <c r="AJ61" s="46">
        <f t="shared" si="39"/>
        <v>411.98903860247594</v>
      </c>
      <c r="AK61" s="46">
        <f t="shared" si="40"/>
        <v>55.809619143829224</v>
      </c>
      <c r="AL61" s="46">
        <f t="shared" si="41"/>
        <v>655.92537582091848</v>
      </c>
      <c r="AM61" s="46">
        <f>$X$55*AG61*((1+COS(RADIANS(Insolation!$L$7)))/2)</f>
        <v>27.904809571914612</v>
      </c>
      <c r="AN61" s="46">
        <f t="shared" si="42"/>
        <v>862.89127032332976</v>
      </c>
      <c r="AO61" s="46">
        <f t="shared" si="43"/>
        <v>46.203857376594577</v>
      </c>
      <c r="AP61" s="46">
        <f t="shared" si="44"/>
        <v>886.63318383334718</v>
      </c>
      <c r="AQ61" s="46">
        <f t="shared" si="45"/>
        <v>40.871249219721847</v>
      </c>
      <c r="AT61" s="212">
        <v>14</v>
      </c>
      <c r="AU61" s="46">
        <f t="shared" si="46"/>
        <v>37.106053076077714</v>
      </c>
      <c r="AV61" s="207">
        <f t="shared" si="15"/>
        <v>-30</v>
      </c>
      <c r="AW61" s="46">
        <f t="shared" si="47"/>
        <v>-38.769198619541129</v>
      </c>
      <c r="AX61" s="46">
        <f t="shared" si="48"/>
        <v>-38.769198619541129</v>
      </c>
      <c r="AY61" s="46">
        <f t="shared" si="49"/>
        <v>218.76919861954113</v>
      </c>
      <c r="AZ61" s="46">
        <f t="shared" si="103"/>
        <v>-141.23080138045887</v>
      </c>
      <c r="BA61" s="46">
        <f t="shared" si="51"/>
        <v>1.6575714450222596</v>
      </c>
      <c r="BB61" s="46">
        <f t="shared" si="52"/>
        <v>909.51103708052153</v>
      </c>
      <c r="BC61" s="47">
        <f>COS(RADIANS(AU61))*COS(RADIANS(AW61-Insolation!$L$6))*SIN(RADIANS(0))+(SIN(RADIANS(AU61))*COS(RADIANS(0)))</f>
        <v>0.60329224601632236</v>
      </c>
      <c r="BD61" s="47">
        <f>COS(RADIANS(AU61))*COS(RADIANS(AW61-Insolation!$L$6))*SIN(RADIANS(Insolation!$L$7))+SIN(RADIANS(AU61))*COS(RADIANS(Insolation!$L$7))</f>
        <v>0.62180632529051683</v>
      </c>
      <c r="BE61" s="46">
        <f t="shared" si="53"/>
        <v>548.70095633694245</v>
      </c>
      <c r="BF61" s="46">
        <f t="shared" si="54"/>
        <v>70.658981402502349</v>
      </c>
      <c r="BG61" s="46">
        <f t="shared" si="55"/>
        <v>565.53971577820607</v>
      </c>
      <c r="BH61" s="46">
        <f>$AS$55*BB61*((1+COS(RADIANS(Insolation!$L$7)))/2)</f>
        <v>35.329490701251174</v>
      </c>
      <c r="BI61" s="46">
        <f t="shared" si="56"/>
        <v>908.41051725245131</v>
      </c>
      <c r="BJ61" s="46">
        <f t="shared" si="57"/>
        <v>58.003371210311229</v>
      </c>
      <c r="BK61" s="46">
        <f t="shared" si="58"/>
        <v>909.51103708052153</v>
      </c>
      <c r="BL61" s="46">
        <f t="shared" si="59"/>
        <v>56.643498497021774</v>
      </c>
      <c r="BO61" s="212">
        <v>14</v>
      </c>
      <c r="BP61" s="46">
        <f t="shared" si="60"/>
        <v>47.69080273862032</v>
      </c>
      <c r="BQ61" s="207">
        <f t="shared" si="16"/>
        <v>-30</v>
      </c>
      <c r="BR61" s="46">
        <f t="shared" si="61"/>
        <v>-47.120927626288164</v>
      </c>
      <c r="BS61" s="46">
        <f t="shared" si="62"/>
        <v>-47.120927626288164</v>
      </c>
      <c r="BT61" s="46">
        <f t="shared" si="63"/>
        <v>227.12092762628816</v>
      </c>
      <c r="BU61" s="46">
        <f t="shared" si="104"/>
        <v>-132.87907237371184</v>
      </c>
      <c r="BV61" s="46">
        <f t="shared" si="65"/>
        <v>1.3522228922569177</v>
      </c>
      <c r="BW61" s="46">
        <f t="shared" si="66"/>
        <v>900.47154582931864</v>
      </c>
      <c r="BX61" s="47">
        <f>COS(RADIANS(BP61))*COS(RADIANS(BR61-Insolation!$L$6))*SIN(RADIANS(0))+(SIN(RADIANS(BP61))*COS(RADIANS(0)))</f>
        <v>0.73952305180321076</v>
      </c>
      <c r="BY61" s="47">
        <f>COS(RADIANS(BP61))*COS(RADIANS(BR61-Insolation!$L$6))*SIN(RADIANS(Insolation!$L$7))+SIN(RADIANS(BP61))*COS(RADIANS(Insolation!$L$7))</f>
        <v>0.45803433997595577</v>
      </c>
      <c r="BZ61" s="46">
        <f t="shared" si="67"/>
        <v>665.91946563365252</v>
      </c>
      <c r="CA61" s="46">
        <f t="shared" si="68"/>
        <v>88.641151062025855</v>
      </c>
      <c r="CB61" s="46">
        <f t="shared" si="69"/>
        <v>412.44689016106059</v>
      </c>
      <c r="CC61" s="46">
        <f>$BN$55*BW61*((1+COS(RADIANS(Insolation!$L$7)))/2)</f>
        <v>44.320575531012928</v>
      </c>
      <c r="CD61" s="46">
        <f t="shared" si="70"/>
        <v>888.34190024990608</v>
      </c>
      <c r="CE61" s="46">
        <f t="shared" si="71"/>
        <v>71.774912148951771</v>
      </c>
      <c r="CF61" s="46">
        <f t="shared" si="72"/>
        <v>900.47154582931864</v>
      </c>
      <c r="CG61" s="46">
        <f t="shared" si="73"/>
        <v>77.096662805382323</v>
      </c>
      <c r="CJ61" s="212">
        <v>14</v>
      </c>
      <c r="CK61" s="46">
        <f t="shared" si="74"/>
        <v>55.232848325022267</v>
      </c>
      <c r="CL61" s="207">
        <f t="shared" si="17"/>
        <v>-30</v>
      </c>
      <c r="CM61" s="46">
        <f t="shared" si="75"/>
        <v>-56.107010064190625</v>
      </c>
      <c r="CN61" s="46">
        <f t="shared" si="76"/>
        <v>-56.107010064190625</v>
      </c>
      <c r="CO61" s="46">
        <f t="shared" si="77"/>
        <v>236.10701006419063</v>
      </c>
      <c r="CP61" s="46">
        <f t="shared" si="105"/>
        <v>-123.89298993580937</v>
      </c>
      <c r="CQ61" s="46">
        <f t="shared" si="79"/>
        <v>1.2173206160380059</v>
      </c>
      <c r="CR61" s="46">
        <f t="shared" si="80"/>
        <v>876.60989585932543</v>
      </c>
      <c r="CS61" s="47">
        <f>COS(RADIANS(CK61))*COS(RADIANS(CM61-Insolation!$L$6))*SIN(RADIANS(0))+(SIN(RADIANS(CK61))*COS(RADIANS(0)))</f>
        <v>0.82147627077464946</v>
      </c>
      <c r="CT61" s="47">
        <f>COS(RADIANS(CK61))*COS(RADIANS(CM61-Insolation!$L$6))*SIN(RADIANS(Insolation!$L$7))+SIN(RADIANS(CK61))*COS(RADIANS(Insolation!$L$7))</f>
        <v>0.31799216563178434</v>
      </c>
      <c r="CU61" s="46">
        <f t="shared" si="81"/>
        <v>720.11422817467246</v>
      </c>
      <c r="CV61" s="46">
        <f t="shared" si="82"/>
        <v>103.14899480926205</v>
      </c>
      <c r="CW61" s="46">
        <f t="shared" si="83"/>
        <v>278.75507919855983</v>
      </c>
      <c r="CX61" s="46">
        <f>$CI$55*CR61*((1+COS(RADIANS(Insolation!$L$7)))/2)</f>
        <v>51.574497404631025</v>
      </c>
      <c r="CY61" s="46">
        <f t="shared" si="84"/>
        <v>829.88195237611444</v>
      </c>
      <c r="CZ61" s="46">
        <f t="shared" si="101"/>
        <v>82.209425647373621</v>
      </c>
      <c r="DA61" s="46">
        <f t="shared" si="85"/>
        <v>876.60989585932543</v>
      </c>
      <c r="DB61" s="46">
        <f t="shared" si="86"/>
        <v>93.941723199664153</v>
      </c>
      <c r="DE61" s="212">
        <v>14</v>
      </c>
      <c r="DF61" s="46">
        <f t="shared" si="87"/>
        <v>58.568880112135957</v>
      </c>
      <c r="DG61" s="207">
        <f t="shared" si="18"/>
        <v>-30</v>
      </c>
      <c r="DH61" s="46">
        <f t="shared" si="88"/>
        <v>-61.706520349601277</v>
      </c>
      <c r="DI61" s="46">
        <f t="shared" si="89"/>
        <v>-61.706520349601277</v>
      </c>
      <c r="DJ61" s="46">
        <f t="shared" si="90"/>
        <v>241.70652034960128</v>
      </c>
      <c r="DK61" s="46">
        <f t="shared" si="106"/>
        <v>-118.29347965039872</v>
      </c>
      <c r="DL61" s="46">
        <f t="shared" si="92"/>
        <v>1.1719651572622869</v>
      </c>
      <c r="DM61" s="46">
        <f t="shared" si="93"/>
        <v>855.25989009374848</v>
      </c>
      <c r="DN61" s="47">
        <f>COS(RADIANS(DF61))*COS(RADIANS(DH61-Insolation!$L$6))*SIN(RADIANS(0))+(SIN(RADIANS(DF61))*COS(RADIANS(0)))</f>
        <v>0.85326768786881191</v>
      </c>
      <c r="DO61" s="47">
        <f>COS(RADIANS(DF61))*COS(RADIANS(DH61-Insolation!$L$6))*SIN(RADIANS(Insolation!$L$7))+SIN(RADIANS(DF61))*COS(RADIANS(Insolation!$L$7))</f>
        <v>0.24717202172394892</v>
      </c>
      <c r="DP61" s="46">
        <f t="shared" si="94"/>
        <v>729.7656289472269</v>
      </c>
      <c r="DQ61" s="46">
        <f t="shared" si="95"/>
        <v>112.27899091294987</v>
      </c>
      <c r="DR61" s="46">
        <f t="shared" si="96"/>
        <v>211.39631613387417</v>
      </c>
      <c r="DS61" s="46">
        <f>$DD$55*DM61*((1+COS(RADIANS(Insolation!$L$7)))/2)</f>
        <v>56.139495456474933</v>
      </c>
      <c r="DT61" s="46">
        <f t="shared" si="97"/>
        <v>785.42524516457001</v>
      </c>
      <c r="DU61" s="46">
        <f t="shared" si="98"/>
        <v>88.543712007498499</v>
      </c>
      <c r="DV61" s="46">
        <f t="shared" si="99"/>
        <v>855.25989009374848</v>
      </c>
      <c r="DW61" s="46">
        <f t="shared" si="100"/>
        <v>104.04151294274297</v>
      </c>
    </row>
    <row r="62" spans="1:127" x14ac:dyDescent="0.25">
      <c r="D62" s="212">
        <v>14.5</v>
      </c>
      <c r="E62" s="46">
        <f t="shared" si="12"/>
        <v>17.368116097146689</v>
      </c>
      <c r="F62" s="207">
        <f t="shared" si="13"/>
        <v>-37.5</v>
      </c>
      <c r="G62" s="46">
        <f t="shared" si="19"/>
        <v>-36.469583164699948</v>
      </c>
      <c r="H62" s="46">
        <f t="shared" si="20"/>
        <v>-36.469583164699948</v>
      </c>
      <c r="I62" s="46">
        <f t="shared" si="21"/>
        <v>216.46958316469994</v>
      </c>
      <c r="J62" s="46">
        <f t="shared" si="22"/>
        <v>-143.53041683530006</v>
      </c>
      <c r="K62" s="46">
        <f t="shared" si="23"/>
        <v>3.3499745418180265</v>
      </c>
      <c r="L62" s="46">
        <f t="shared" si="24"/>
        <v>773.40835373747052</v>
      </c>
      <c r="M62" s="47">
        <f>COS(RADIANS(E62))*COS(RADIANS(G62-Insolation!$L$6))*SIN(RADIANS(0))+(SIN(RADIANS(E62))*COS(RADIANS(0)))</f>
        <v>0.2985097311985247</v>
      </c>
      <c r="N62" s="47">
        <f>COS(RADIANS(E62))*COS(RADIANS(G62-Insolation!$L$6))*SIN(RADIANS(Insolation!$L$7))+SIN(RADIANS(E62))*COS(RADIANS(Insolation!$L$7))</f>
        <v>0.76750755623873934</v>
      </c>
      <c r="O62" s="46">
        <f t="shared" si="25"/>
        <v>230.86991978086584</v>
      </c>
      <c r="P62" s="46">
        <f t="shared" si="26"/>
        <v>42.716336219973101</v>
      </c>
      <c r="Q62" s="46">
        <f t="shared" si="27"/>
        <v>593.59675555167246</v>
      </c>
      <c r="R62" s="46">
        <f>$C$55*L62*((1+COS(RADIANS(Insolation!$L$7)))/2)</f>
        <v>21.358168109986551</v>
      </c>
      <c r="S62" s="46">
        <f t="shared" si="28"/>
        <v>720.72735649076321</v>
      </c>
      <c r="T62" s="46">
        <f t="shared" si="29"/>
        <v>34.69404155746183</v>
      </c>
      <c r="U62" s="46">
        <f t="shared" si="30"/>
        <v>773.40835373747052</v>
      </c>
      <c r="V62" s="46">
        <f t="shared" si="31"/>
        <v>27.733789131391539</v>
      </c>
      <c r="Y62" s="212">
        <v>14.5</v>
      </c>
      <c r="Z62" s="46">
        <f t="shared" si="32"/>
        <v>24.369234550087153</v>
      </c>
      <c r="AA62" s="207">
        <f t="shared" si="14"/>
        <v>-37.5</v>
      </c>
      <c r="AB62" s="46">
        <f t="shared" si="33"/>
        <v>-40.57238109013921</v>
      </c>
      <c r="AC62" s="46">
        <f t="shared" si="34"/>
        <v>-40.57238109013921</v>
      </c>
      <c r="AD62" s="46">
        <f t="shared" si="35"/>
        <v>220.5723810901392</v>
      </c>
      <c r="AE62" s="46">
        <f t="shared" si="102"/>
        <v>-139.4276189098608</v>
      </c>
      <c r="AF62" s="46">
        <f t="shared" si="37"/>
        <v>2.423564583747738</v>
      </c>
      <c r="AG62" s="46">
        <f t="shared" si="38"/>
        <v>852.1882622976857</v>
      </c>
      <c r="AH62" s="47">
        <f>COS(RADIANS(Z62))*COS(RADIANS(AB62-Insolation!$L$6))*SIN(RADIANS(0))+(SIN(RADIANS(Z62))*COS(RADIANS(0)))</f>
        <v>0.41261537105548296</v>
      </c>
      <c r="AI62" s="47">
        <f>COS(RADIANS(Z62))*COS(RADIANS(AB62-Insolation!$L$6))*SIN(RADIANS(Insolation!$L$7))+SIN(RADIANS(Z62))*COS(RADIANS(Insolation!$L$7))</f>
        <v>0.69190996595734255</v>
      </c>
      <c r="AJ62" s="46">
        <f t="shared" si="39"/>
        <v>351.6259760570868</v>
      </c>
      <c r="AK62" s="46">
        <f t="shared" si="40"/>
        <v>53.641464390097745</v>
      </c>
      <c r="AL62" s="46">
        <f t="shared" si="41"/>
        <v>589.63755155563865</v>
      </c>
      <c r="AM62" s="46">
        <f>$X$55*AG62*((1+COS(RADIANS(Insolation!$L$7)))/2)</f>
        <v>26.820732195048873</v>
      </c>
      <c r="AN62" s="46">
        <f t="shared" si="42"/>
        <v>829.36870130375996</v>
      </c>
      <c r="AO62" s="46">
        <f t="shared" si="43"/>
        <v>43.206919618540894</v>
      </c>
      <c r="AP62" s="46">
        <f t="shared" si="44"/>
        <v>852.1882622976857</v>
      </c>
      <c r="AQ62" s="46">
        <f t="shared" si="45"/>
        <v>37.887378561688699</v>
      </c>
      <c r="AT62" s="212">
        <v>14.5</v>
      </c>
      <c r="AU62" s="46">
        <f t="shared" si="46"/>
        <v>33.35832335988438</v>
      </c>
      <c r="AV62" s="207">
        <f t="shared" si="15"/>
        <v>-37.5</v>
      </c>
      <c r="AW62" s="46">
        <f t="shared" si="47"/>
        <v>-46.715409348804734</v>
      </c>
      <c r="AX62" s="46">
        <f t="shared" si="48"/>
        <v>-46.715409348804734</v>
      </c>
      <c r="AY62" s="46">
        <f t="shared" si="49"/>
        <v>226.71540934880474</v>
      </c>
      <c r="AZ62" s="46">
        <f t="shared" si="103"/>
        <v>-133.28459065119526</v>
      </c>
      <c r="BA62" s="46">
        <f t="shared" si="51"/>
        <v>1.8186006561711734</v>
      </c>
      <c r="BB62" s="46">
        <f t="shared" si="52"/>
        <v>886.54083125764964</v>
      </c>
      <c r="BC62" s="47">
        <f>COS(RADIANS(AU62))*COS(RADIANS(AW62-Insolation!$L$6))*SIN(RADIANS(0))+(SIN(RADIANS(AU62))*COS(RADIANS(0)))</f>
        <v>0.54987333068787603</v>
      </c>
      <c r="BD62" s="47">
        <f>COS(RADIANS(AU62))*COS(RADIANS(AW62-Insolation!$L$6))*SIN(RADIANS(Insolation!$L$7))+SIN(RADIANS(AU62))*COS(RADIANS(Insolation!$L$7))</f>
        <v>0.57266494432769954</v>
      </c>
      <c r="BE62" s="46">
        <f t="shared" si="53"/>
        <v>487.48515967444206</v>
      </c>
      <c r="BF62" s="46">
        <f t="shared" si="54"/>
        <v>68.874449626769476</v>
      </c>
      <c r="BG62" s="46">
        <f t="shared" si="55"/>
        <v>507.69085577639441</v>
      </c>
      <c r="BH62" s="46">
        <f>$AS$55*BB62*((1+COS(RADIANS(Insolation!$L$7)))/2)</f>
        <v>34.437224813384738</v>
      </c>
      <c r="BI62" s="46">
        <f t="shared" si="56"/>
        <v>885.46810566838712</v>
      </c>
      <c r="BJ62" s="46">
        <f t="shared" si="57"/>
        <v>54.764985925588213</v>
      </c>
      <c r="BK62" s="46">
        <f t="shared" si="58"/>
        <v>886.54083125764964</v>
      </c>
      <c r="BL62" s="46">
        <f t="shared" si="59"/>
        <v>53.373336321167777</v>
      </c>
      <c r="BO62" s="212">
        <v>14.5</v>
      </c>
      <c r="BP62" s="46">
        <f t="shared" si="60"/>
        <v>43.374168022644</v>
      </c>
      <c r="BQ62" s="207">
        <f t="shared" si="16"/>
        <v>-37.5</v>
      </c>
      <c r="BR62" s="46">
        <f t="shared" si="61"/>
        <v>-55.711649686421147</v>
      </c>
      <c r="BS62" s="46">
        <f t="shared" si="62"/>
        <v>-55.711649686421147</v>
      </c>
      <c r="BT62" s="46">
        <f t="shared" si="63"/>
        <v>235.71164968642114</v>
      </c>
      <c r="BU62" s="46">
        <f t="shared" si="104"/>
        <v>-124.28835031357886</v>
      </c>
      <c r="BV62" s="46">
        <f t="shared" si="65"/>
        <v>1.4561130527554806</v>
      </c>
      <c r="BW62" s="46">
        <f t="shared" si="66"/>
        <v>884.06368032824253</v>
      </c>
      <c r="BX62" s="47">
        <f>COS(RADIANS(BP62))*COS(RADIANS(BR62-Insolation!$L$6))*SIN(RADIANS(0))+(SIN(RADIANS(BP62))*COS(RADIANS(0)))</f>
        <v>0.68675986257224086</v>
      </c>
      <c r="BY62" s="47">
        <f>COS(RADIANS(BP62))*COS(RADIANS(BR62-Insolation!$L$6))*SIN(RADIANS(Insolation!$L$7))+SIN(RADIANS(BP62))*COS(RADIANS(Insolation!$L$7))</f>
        <v>0.40949617766266039</v>
      </c>
      <c r="BZ62" s="46">
        <f t="shared" si="67"/>
        <v>607.13945160733329</v>
      </c>
      <c r="CA62" s="46">
        <f t="shared" si="68"/>
        <v>87.025983885203189</v>
      </c>
      <c r="CB62" s="46">
        <f t="shared" si="69"/>
        <v>362.02069790479942</v>
      </c>
      <c r="CC62" s="46">
        <f>$BN$55*BW62*((1+COS(RADIANS(Insolation!$L$7)))/2)</f>
        <v>43.512991942601595</v>
      </c>
      <c r="CD62" s="46">
        <f t="shared" si="70"/>
        <v>872.15505405162139</v>
      </c>
      <c r="CE62" s="46">
        <f t="shared" si="71"/>
        <v>67.81950109420255</v>
      </c>
      <c r="CF62" s="46">
        <f t="shared" si="72"/>
        <v>884.06368032824253</v>
      </c>
      <c r="CG62" s="46">
        <f t="shared" si="73"/>
        <v>73.395968309209692</v>
      </c>
      <c r="CJ62" s="212">
        <v>14.5</v>
      </c>
      <c r="CK62" s="46">
        <f t="shared" si="74"/>
        <v>50.429703944431054</v>
      </c>
      <c r="CL62" s="207">
        <f t="shared" si="17"/>
        <v>-37.5</v>
      </c>
      <c r="CM62" s="46">
        <f t="shared" si="75"/>
        <v>-64.781897037004995</v>
      </c>
      <c r="CN62" s="46">
        <f t="shared" si="76"/>
        <v>-64.781897037004995</v>
      </c>
      <c r="CO62" s="46">
        <f t="shared" si="77"/>
        <v>244.781897037005</v>
      </c>
      <c r="CP62" s="46">
        <f t="shared" si="105"/>
        <v>-115.218102962995</v>
      </c>
      <c r="CQ62" s="46">
        <f t="shared" si="79"/>
        <v>1.2972800189740294</v>
      </c>
      <c r="CR62" s="46">
        <f t="shared" si="80"/>
        <v>863.12815633724074</v>
      </c>
      <c r="CS62" s="47">
        <f>COS(RADIANS(CK62))*COS(RADIANS(CM62-Insolation!$L$6))*SIN(RADIANS(0))+(SIN(RADIANS(CK62))*COS(RADIANS(0)))</f>
        <v>0.77084359997378427</v>
      </c>
      <c r="CT62" s="47">
        <f>COS(RADIANS(CK62))*COS(RADIANS(CM62-Insolation!$L$6))*SIN(RADIANS(Insolation!$L$7))+SIN(RADIANS(CK62))*COS(RADIANS(Insolation!$L$7))</f>
        <v>0.2714139198981938</v>
      </c>
      <c r="CU62" s="46">
        <f t="shared" si="81"/>
        <v>665.33681526973396</v>
      </c>
      <c r="CV62" s="46">
        <f t="shared" si="82"/>
        <v>101.56262453606301</v>
      </c>
      <c r="CW62" s="46">
        <f t="shared" si="83"/>
        <v>234.26499628599154</v>
      </c>
      <c r="CX62" s="46">
        <f>$CI$55*CR62*((1+COS(RADIANS(Insolation!$L$7)))/2)</f>
        <v>50.781312268031506</v>
      </c>
      <c r="CY62" s="46">
        <f t="shared" si="84"/>
        <v>817.11886087000471</v>
      </c>
      <c r="CZ62" s="46">
        <f t="shared" si="101"/>
        <v>77.418522858576125</v>
      </c>
      <c r="DA62" s="46">
        <f t="shared" si="85"/>
        <v>863.12815633724074</v>
      </c>
      <c r="DB62" s="46">
        <f t="shared" si="86"/>
        <v>89.925761828113806</v>
      </c>
      <c r="DE62" s="212">
        <v>14.5</v>
      </c>
      <c r="DF62" s="46">
        <f t="shared" si="87"/>
        <v>53.528357847560791</v>
      </c>
      <c r="DG62" s="207">
        <f t="shared" si="18"/>
        <v>-37.5</v>
      </c>
      <c r="DH62" s="46">
        <f t="shared" si="88"/>
        <v>-70.135008206791809</v>
      </c>
      <c r="DI62" s="46">
        <f t="shared" si="89"/>
        <v>-70.135008206791809</v>
      </c>
      <c r="DJ62" s="46">
        <f t="shared" si="90"/>
        <v>250.13500820679181</v>
      </c>
      <c r="DK62" s="46">
        <f t="shared" si="106"/>
        <v>-109.86499179320819</v>
      </c>
      <c r="DL62" s="46">
        <f t="shared" si="92"/>
        <v>1.2435472914981649</v>
      </c>
      <c r="DM62" s="46">
        <f t="shared" si="93"/>
        <v>842.75617977517174</v>
      </c>
      <c r="DN62" s="47">
        <f>COS(RADIANS(DF62))*COS(RADIANS(DH62-Insolation!$L$6))*SIN(RADIANS(0))+(SIN(RADIANS(DF62))*COS(RADIANS(0)))</f>
        <v>0.80415116243407914</v>
      </c>
      <c r="DO62" s="47">
        <f>COS(RADIANS(DF62))*COS(RADIANS(DH62-Insolation!$L$6))*SIN(RADIANS(Insolation!$L$7))+SIN(RADIANS(DF62))*COS(RADIANS(Insolation!$L$7))</f>
        <v>0.20198851559849193</v>
      </c>
      <c r="DP62" s="46">
        <f t="shared" si="94"/>
        <v>677.70336161470811</v>
      </c>
      <c r="DQ62" s="46">
        <f t="shared" si="95"/>
        <v>110.63749691387581</v>
      </c>
      <c r="DR62" s="46">
        <f t="shared" si="96"/>
        <v>170.22706976424274</v>
      </c>
      <c r="DS62" s="46">
        <f>$DD$55*DM62*((1+COS(RADIANS(Insolation!$L$7)))/2)</f>
        <v>55.318748456937904</v>
      </c>
      <c r="DT62" s="46">
        <f t="shared" si="97"/>
        <v>773.94250189999536</v>
      </c>
      <c r="DU62" s="46">
        <f t="shared" si="98"/>
        <v>83.156820413087473</v>
      </c>
      <c r="DV62" s="46">
        <f t="shared" si="99"/>
        <v>842.75617977517174</v>
      </c>
      <c r="DW62" s="46">
        <f t="shared" si="100"/>
        <v>99.803384332982944</v>
      </c>
    </row>
    <row r="63" spans="1:127" x14ac:dyDescent="0.25">
      <c r="D63" s="212">
        <v>15</v>
      </c>
      <c r="E63" s="46">
        <f t="shared" si="12"/>
        <v>13.848733615779162</v>
      </c>
      <c r="F63" s="207">
        <f t="shared" si="13"/>
        <v>-45</v>
      </c>
      <c r="G63" s="46">
        <f t="shared" si="19"/>
        <v>-42.739813070089731</v>
      </c>
      <c r="H63" s="46">
        <f t="shared" si="20"/>
        <v>-42.739813070089731</v>
      </c>
      <c r="I63" s="46">
        <f t="shared" si="21"/>
        <v>222.73981307008972</v>
      </c>
      <c r="J63" s="46">
        <f t="shared" si="22"/>
        <v>-137.26018692991028</v>
      </c>
      <c r="K63" s="46">
        <f t="shared" si="23"/>
        <v>4.1778182879315411</v>
      </c>
      <c r="L63" s="46">
        <f t="shared" si="24"/>
        <v>689.22609472958436</v>
      </c>
      <c r="M63" s="47">
        <f>COS(RADIANS(E63))*COS(RADIANS(G63-Insolation!$L$6))*SIN(RADIANS(0))+(SIN(RADIANS(E63))*COS(RADIANS(0)))</f>
        <v>0.23935938116042499</v>
      </c>
      <c r="N63" s="47">
        <f>COS(RADIANS(E63))*COS(RADIANS(G63-Insolation!$L$6))*SIN(RADIANS(Insolation!$L$7))+SIN(RADIANS(E63))*COS(RADIANS(Insolation!$L$7))</f>
        <v>0.71309368678006124</v>
      </c>
      <c r="O63" s="46">
        <f t="shared" si="25"/>
        <v>164.97273151408976</v>
      </c>
      <c r="P63" s="46">
        <f t="shared" si="26"/>
        <v>38.066841988160917</v>
      </c>
      <c r="Q63" s="46">
        <f t="shared" si="27"/>
        <v>491.48277691574305</v>
      </c>
      <c r="R63" s="46">
        <f>$C$55*L63*((1+COS(RADIANS(Insolation!$L$7)))/2)</f>
        <v>19.033420994080458</v>
      </c>
      <c r="S63" s="46">
        <f t="shared" si="28"/>
        <v>642.27920331918585</v>
      </c>
      <c r="T63" s="46">
        <f t="shared" si="29"/>
        <v>29.982686027135085</v>
      </c>
      <c r="U63" s="46">
        <f t="shared" si="30"/>
        <v>689.22609472958436</v>
      </c>
      <c r="V63" s="46">
        <f t="shared" si="31"/>
        <v>23.589248864589401</v>
      </c>
      <c r="Y63" s="212">
        <v>15</v>
      </c>
      <c r="Z63" s="46">
        <f t="shared" si="32"/>
        <v>20.538772345784377</v>
      </c>
      <c r="AA63" s="207">
        <f t="shared" si="14"/>
        <v>-45</v>
      </c>
      <c r="AB63" s="46">
        <f t="shared" si="33"/>
        <v>-47.297511279853147</v>
      </c>
      <c r="AC63" s="46">
        <f t="shared" si="34"/>
        <v>-47.297511279853147</v>
      </c>
      <c r="AD63" s="46">
        <f t="shared" si="35"/>
        <v>227.29751127985315</v>
      </c>
      <c r="AE63" s="46">
        <f t="shared" si="102"/>
        <v>-132.70248872014685</v>
      </c>
      <c r="AF63" s="46">
        <f t="shared" si="37"/>
        <v>2.8502927740371504</v>
      </c>
      <c r="AG63" s="46">
        <f t="shared" si="38"/>
        <v>800.73133617716041</v>
      </c>
      <c r="AH63" s="47">
        <f>COS(RADIANS(Z63))*COS(RADIANS(AB63-Insolation!$L$6))*SIN(RADIANS(0))+(SIN(RADIANS(Z63))*COS(RADIANS(0)))</f>
        <v>0.3508411518665156</v>
      </c>
      <c r="AI63" s="47">
        <f>COS(RADIANS(Z63))*COS(RADIANS(AB63-Insolation!$L$6))*SIN(RADIANS(Insolation!$L$7))+SIN(RADIANS(Z63))*COS(RADIANS(Insolation!$L$7))</f>
        <v>0.63508233439311457</v>
      </c>
      <c r="AJ63" s="46">
        <f t="shared" si="39"/>
        <v>280.92950432000907</v>
      </c>
      <c r="AK63" s="46">
        <f t="shared" si="40"/>
        <v>50.402479541050567</v>
      </c>
      <c r="AL63" s="46">
        <f t="shared" si="41"/>
        <v>508.53032620110883</v>
      </c>
      <c r="AM63" s="46">
        <f>$X$55*AG63*((1+COS(RADIANS(Insolation!$L$7)))/2)</f>
        <v>25.201239770525284</v>
      </c>
      <c r="AN63" s="46">
        <f t="shared" si="42"/>
        <v>779.28966844475565</v>
      </c>
      <c r="AO63" s="46">
        <f t="shared" si="43"/>
        <v>39.230785284949029</v>
      </c>
      <c r="AP63" s="46">
        <f t="shared" si="44"/>
        <v>800.73133617716041</v>
      </c>
      <c r="AQ63" s="46">
        <f t="shared" si="45"/>
        <v>34.042871760080622</v>
      </c>
      <c r="AT63" s="212">
        <v>15</v>
      </c>
      <c r="AU63" s="46">
        <f t="shared" si="46"/>
        <v>29.109236770378558</v>
      </c>
      <c r="AV63" s="207">
        <f t="shared" si="15"/>
        <v>-45</v>
      </c>
      <c r="AW63" s="46">
        <f t="shared" si="47"/>
        <v>-53.935121014994486</v>
      </c>
      <c r="AX63" s="46">
        <f t="shared" si="48"/>
        <v>-53.935121014994486</v>
      </c>
      <c r="AY63" s="46">
        <f t="shared" si="49"/>
        <v>233.93512101499448</v>
      </c>
      <c r="AZ63" s="46">
        <f t="shared" si="103"/>
        <v>-126.06487898500552</v>
      </c>
      <c r="BA63" s="46">
        <f t="shared" si="51"/>
        <v>2.0555988648987351</v>
      </c>
      <c r="BB63" s="46">
        <f t="shared" si="52"/>
        <v>853.78494521986727</v>
      </c>
      <c r="BC63" s="47">
        <f>COS(RADIANS(AU63))*COS(RADIANS(AW63-Insolation!$L$6))*SIN(RADIANS(0))+(SIN(RADIANS(AU63))*COS(RADIANS(0)))</f>
        <v>0.48647623671910473</v>
      </c>
      <c r="BD63" s="47">
        <f>COS(RADIANS(AU63))*COS(RADIANS(AW63-Insolation!$L$6))*SIN(RADIANS(Insolation!$L$7))+SIN(RADIANS(AU63))*COS(RADIANS(Insolation!$L$7))</f>
        <v>0.51434439012887778</v>
      </c>
      <c r="BE63" s="46">
        <f t="shared" si="53"/>
        <v>415.34608711798802</v>
      </c>
      <c r="BF63" s="46">
        <f t="shared" si="54"/>
        <v>66.329678372760768</v>
      </c>
      <c r="BG63" s="46">
        <f t="shared" si="55"/>
        <v>439.13949695032994</v>
      </c>
      <c r="BH63" s="46">
        <f>$AS$55*BB63*((1+COS(RADIANS(Insolation!$L$7)))/2)</f>
        <v>33.164839186380384</v>
      </c>
      <c r="BI63" s="46">
        <f t="shared" si="56"/>
        <v>852.75185466591597</v>
      </c>
      <c r="BJ63" s="46">
        <f t="shared" si="57"/>
        <v>50.704225809483539</v>
      </c>
      <c r="BK63" s="46">
        <f t="shared" si="58"/>
        <v>853.78494521986727</v>
      </c>
      <c r="BL63" s="46">
        <f t="shared" si="59"/>
        <v>49.298745345165003</v>
      </c>
      <c r="BO63" s="212">
        <v>15</v>
      </c>
      <c r="BP63" s="46">
        <f t="shared" si="60"/>
        <v>38.619165299566802</v>
      </c>
      <c r="BQ63" s="207">
        <f t="shared" si="16"/>
        <v>-45</v>
      </c>
      <c r="BR63" s="46">
        <f t="shared" si="61"/>
        <v>-63.231576943167454</v>
      </c>
      <c r="BS63" s="46">
        <f t="shared" si="62"/>
        <v>-63.231576943167454</v>
      </c>
      <c r="BT63" s="46">
        <f t="shared" si="63"/>
        <v>243.23157694316745</v>
      </c>
      <c r="BU63" s="46">
        <f t="shared" si="104"/>
        <v>-116.76842305683255</v>
      </c>
      <c r="BV63" s="46">
        <f t="shared" si="65"/>
        <v>1.6022021216902589</v>
      </c>
      <c r="BW63" s="46">
        <f t="shared" si="66"/>
        <v>861.49568780838354</v>
      </c>
      <c r="BX63" s="47">
        <f>COS(RADIANS(BP63))*COS(RADIANS(BR63-Insolation!$L$6))*SIN(RADIANS(0))+(SIN(RADIANS(BP63))*COS(RADIANS(0)))</f>
        <v>0.62414097850840455</v>
      </c>
      <c r="BY63" s="47">
        <f>COS(RADIANS(BP63))*COS(RADIANS(BR63-Insolation!$L$6))*SIN(RADIANS(Insolation!$L$7))+SIN(RADIANS(BP63))*COS(RADIANS(Insolation!$L$7))</f>
        <v>0.35189151799618451</v>
      </c>
      <c r="BZ63" s="46">
        <f t="shared" si="67"/>
        <v>537.69476156949554</v>
      </c>
      <c r="CA63" s="46">
        <f t="shared" si="68"/>
        <v>84.804422478421472</v>
      </c>
      <c r="CB63" s="46">
        <f t="shared" si="69"/>
        <v>303.15302533005917</v>
      </c>
      <c r="CC63" s="46">
        <f>$BN$55*BW63*((1+COS(RADIANS(Insolation!$L$7)))/2)</f>
        <v>42.402211239210736</v>
      </c>
      <c r="CD63" s="46">
        <f t="shared" si="70"/>
        <v>849.89105975577365</v>
      </c>
      <c r="CE63" s="46">
        <f t="shared" si="71"/>
        <v>63.091299241159398</v>
      </c>
      <c r="CF63" s="46">
        <f t="shared" si="72"/>
        <v>861.49568780838354</v>
      </c>
      <c r="CG63" s="46">
        <f t="shared" si="73"/>
        <v>68.867168852971801</v>
      </c>
      <c r="CJ63" s="212">
        <v>15</v>
      </c>
      <c r="CK63" s="46">
        <f t="shared" si="74"/>
        <v>45.296230531132132</v>
      </c>
      <c r="CL63" s="207">
        <f t="shared" si="17"/>
        <v>-45</v>
      </c>
      <c r="CM63" s="46">
        <f t="shared" si="75"/>
        <v>-72.106172714451148</v>
      </c>
      <c r="CN63" s="46">
        <f t="shared" si="76"/>
        <v>-72.106172714451148</v>
      </c>
      <c r="CO63" s="46">
        <f t="shared" si="77"/>
        <v>252.10617271445113</v>
      </c>
      <c r="CP63" s="46">
        <f t="shared" si="105"/>
        <v>-107.89382728554887</v>
      </c>
      <c r="CQ63" s="46">
        <f t="shared" si="79"/>
        <v>1.4069581470448285</v>
      </c>
      <c r="CR63" s="46">
        <f t="shared" si="80"/>
        <v>844.97223528877316</v>
      </c>
      <c r="CS63" s="47">
        <f>COS(RADIANS(CK63))*COS(RADIANS(CM63-Insolation!$L$6))*SIN(RADIANS(0))+(SIN(RADIANS(CK63))*COS(RADIANS(0)))</f>
        <v>0.71075319624851496</v>
      </c>
      <c r="CT63" s="47">
        <f>COS(RADIANS(CK63))*COS(RADIANS(CM63-Insolation!$L$6))*SIN(RADIANS(Insolation!$L$7))+SIN(RADIANS(CK63))*COS(RADIANS(Insolation!$L$7))</f>
        <v>0.21613527181039791</v>
      </c>
      <c r="CU63" s="46">
        <f t="shared" si="81"/>
        <v>600.56671697274771</v>
      </c>
      <c r="CV63" s="46">
        <f t="shared" si="82"/>
        <v>99.426252342648624</v>
      </c>
      <c r="CW63" s="46">
        <f t="shared" si="83"/>
        <v>182.62830374637849</v>
      </c>
      <c r="CX63" s="46">
        <f>$CI$55*CR63*((1+COS(RADIANS(Insolation!$L$7)))/2)</f>
        <v>49.713126171324312</v>
      </c>
      <c r="CY63" s="46">
        <f t="shared" si="84"/>
        <v>799.93074643271711</v>
      </c>
      <c r="CZ63" s="46">
        <f t="shared" si="101"/>
        <v>71.898363329755227</v>
      </c>
      <c r="DA63" s="46">
        <f t="shared" si="85"/>
        <v>844.97223528877316</v>
      </c>
      <c r="DB63" s="46">
        <f t="shared" si="86"/>
        <v>85.04688949309876</v>
      </c>
      <c r="DE63" s="212">
        <v>15</v>
      </c>
      <c r="DF63" s="46">
        <f t="shared" si="87"/>
        <v>48.233028849681361</v>
      </c>
      <c r="DG63" s="207">
        <f t="shared" si="18"/>
        <v>-45</v>
      </c>
      <c r="DH63" s="46">
        <f t="shared" si="88"/>
        <v>-77.130208843488447</v>
      </c>
      <c r="DI63" s="46">
        <f t="shared" si="89"/>
        <v>-77.130208843488447</v>
      </c>
      <c r="DJ63" s="46">
        <f t="shared" si="90"/>
        <v>257.13020884348845</v>
      </c>
      <c r="DK63" s="46">
        <f t="shared" si="106"/>
        <v>-102.86979115651155</v>
      </c>
      <c r="DL63" s="46">
        <f t="shared" si="92"/>
        <v>1.3407339945002608</v>
      </c>
      <c r="DM63" s="46">
        <f t="shared" si="93"/>
        <v>826.07202062686406</v>
      </c>
      <c r="DN63" s="47">
        <f>COS(RADIANS(DF63))*COS(RADIANS(DH63-Insolation!$L$6))*SIN(RADIANS(0))+(SIN(RADIANS(DF63))*COS(RADIANS(0)))</f>
        <v>0.74586010655509305</v>
      </c>
      <c r="DO63" s="47">
        <f>COS(RADIANS(DF63))*COS(RADIANS(DH63-Insolation!$L$6))*SIN(RADIANS(Insolation!$L$7))+SIN(RADIANS(DF63))*COS(RADIANS(Insolation!$L$7))</f>
        <v>0.14836513208233984</v>
      </c>
      <c r="DP63" s="46">
        <f t="shared" si="94"/>
        <v>616.13416532693384</v>
      </c>
      <c r="DQ63" s="46">
        <f t="shared" si="95"/>
        <v>108.44719128268608</v>
      </c>
      <c r="DR63" s="46">
        <f t="shared" si="96"/>
        <v>122.56028444983005</v>
      </c>
      <c r="DS63" s="46">
        <f>$DD$55*DM63*((1+COS(RADIANS(Insolation!$L$7)))/2)</f>
        <v>54.223595641343039</v>
      </c>
      <c r="DT63" s="46">
        <f t="shared" si="97"/>
        <v>758.62065652737078</v>
      </c>
      <c r="DU63" s="46">
        <f t="shared" si="98"/>
        <v>77.06965278176537</v>
      </c>
      <c r="DV63" s="46">
        <f t="shared" si="99"/>
        <v>826.07202062686406</v>
      </c>
      <c r="DW63" s="46">
        <f t="shared" si="100"/>
        <v>94.666812464195431</v>
      </c>
    </row>
    <row r="64" spans="1:127" x14ac:dyDescent="0.25">
      <c r="D64" s="212">
        <v>15.5</v>
      </c>
      <c r="E64" s="46">
        <f t="shared" si="12"/>
        <v>9.8989666684707416</v>
      </c>
      <c r="F64" s="207">
        <f t="shared" si="13"/>
        <v>-52.5</v>
      </c>
      <c r="G64" s="46">
        <f t="shared" si="19"/>
        <v>-48.632555705391468</v>
      </c>
      <c r="H64" s="46">
        <f t="shared" si="20"/>
        <v>-48.632555705391468</v>
      </c>
      <c r="I64" s="46">
        <f t="shared" si="21"/>
        <v>228.63255570539147</v>
      </c>
      <c r="J64" s="46">
        <f t="shared" si="22"/>
        <v>-131.36744429460853</v>
      </c>
      <c r="K64" s="46">
        <f t="shared" si="23"/>
        <v>5.8169521350485773</v>
      </c>
      <c r="L64" s="46">
        <f t="shared" si="24"/>
        <v>548.61561676488236</v>
      </c>
      <c r="M64" s="47">
        <f>COS(RADIANS(E64))*COS(RADIANS(G64-Insolation!$L$6))*SIN(RADIANS(0))+(SIN(RADIANS(E64))*COS(RADIANS(0)))</f>
        <v>0.17191133376785969</v>
      </c>
      <c r="N64" s="47">
        <f>COS(RADIANS(E64))*COS(RADIANS(G64-Insolation!$L$6))*SIN(RADIANS(Insolation!$L$7))+SIN(RADIANS(E64))*COS(RADIANS(Insolation!$L$7))</f>
        <v>0.65104656036918118</v>
      </c>
      <c r="O64" s="46">
        <f t="shared" si="25"/>
        <v>94.313242403927887</v>
      </c>
      <c r="P64" s="46">
        <f t="shared" si="26"/>
        <v>30.300744785091194</v>
      </c>
      <c r="Q64" s="46">
        <f t="shared" si="27"/>
        <v>357.17431025959354</v>
      </c>
      <c r="R64" s="46">
        <f>$C$55*L64*((1+COS(RADIANS(Insolation!$L$7)))/2)</f>
        <v>15.150372392545597</v>
      </c>
      <c r="S64" s="46">
        <f t="shared" si="28"/>
        <v>511.24646028160248</v>
      </c>
      <c r="T64" s="46">
        <f t="shared" si="29"/>
        <v>22.99153523365975</v>
      </c>
      <c r="U64" s="46">
        <f t="shared" si="30"/>
        <v>548.61561676488236</v>
      </c>
      <c r="V64" s="46">
        <f t="shared" si="31"/>
        <v>17.754893117627866</v>
      </c>
      <c r="Y64" s="212">
        <v>15.5</v>
      </c>
      <c r="Z64" s="46">
        <f t="shared" si="32"/>
        <v>16.284148351568202</v>
      </c>
      <c r="AA64" s="207">
        <f t="shared" si="14"/>
        <v>-52.5</v>
      </c>
      <c r="AB64" s="46">
        <f t="shared" si="33"/>
        <v>-53.550282895239135</v>
      </c>
      <c r="AC64" s="46">
        <f t="shared" si="34"/>
        <v>-53.550282895239135</v>
      </c>
      <c r="AD64" s="46">
        <f t="shared" si="35"/>
        <v>233.55028289523915</v>
      </c>
      <c r="AE64" s="46">
        <f t="shared" si="102"/>
        <v>-126.44971710476085</v>
      </c>
      <c r="AF64" s="46">
        <f t="shared" si="37"/>
        <v>3.5663191170780166</v>
      </c>
      <c r="AG64" s="46">
        <f t="shared" si="38"/>
        <v>721.27446990940007</v>
      </c>
      <c r="AH64" s="47">
        <f>COS(RADIANS(Z64))*COS(RADIANS(AB64-Insolation!$L$6))*SIN(RADIANS(0))+(SIN(RADIANS(Z64))*COS(RADIANS(0)))</f>
        <v>0.28040115513255792</v>
      </c>
      <c r="AI64" s="47">
        <f>COS(RADIANS(Z64))*COS(RADIANS(AB64-Insolation!$L$6))*SIN(RADIANS(Insolation!$L$7))+SIN(RADIANS(Z64))*COS(RADIANS(Insolation!$L$7))</f>
        <v>0.57028283980884864</v>
      </c>
      <c r="AJ64" s="46">
        <f t="shared" si="39"/>
        <v>202.24619453021916</v>
      </c>
      <c r="AK64" s="46">
        <f t="shared" si="40"/>
        <v>45.401022878224623</v>
      </c>
      <c r="AL64" s="46">
        <f t="shared" si="41"/>
        <v>411.33045298155463</v>
      </c>
      <c r="AM64" s="46">
        <f>$X$55*AG64*((1+COS(RADIANS(Insolation!$L$7)))/2)</f>
        <v>22.700511439112312</v>
      </c>
      <c r="AN64" s="46">
        <f t="shared" si="42"/>
        <v>701.96046678633252</v>
      </c>
      <c r="AO64" s="46">
        <f t="shared" si="43"/>
        <v>33.904046821929562</v>
      </c>
      <c r="AP64" s="46">
        <f t="shared" si="44"/>
        <v>721.27446990940007</v>
      </c>
      <c r="AQ64" s="46">
        <f t="shared" si="45"/>
        <v>29.065761068739253</v>
      </c>
      <c r="AT64" s="212">
        <v>15.5</v>
      </c>
      <c r="AU64" s="46">
        <f t="shared" si="46"/>
        <v>24.468046973050601</v>
      </c>
      <c r="AV64" s="207">
        <f t="shared" si="15"/>
        <v>-52.5</v>
      </c>
      <c r="AW64" s="46">
        <f t="shared" si="47"/>
        <v>-60.52586307025225</v>
      </c>
      <c r="AX64" s="46">
        <f t="shared" si="48"/>
        <v>-60.52586307025225</v>
      </c>
      <c r="AY64" s="46">
        <f t="shared" si="49"/>
        <v>240.52586307025226</v>
      </c>
      <c r="AZ64" s="46">
        <f t="shared" si="103"/>
        <v>-119.47413692974774</v>
      </c>
      <c r="BA64" s="46">
        <f t="shared" si="51"/>
        <v>2.4143759323383418</v>
      </c>
      <c r="BB64" s="46">
        <f t="shared" si="52"/>
        <v>806.48603373417814</v>
      </c>
      <c r="BC64" s="47">
        <f>COS(RADIANS(AU64))*COS(RADIANS(AW64-Insolation!$L$6))*SIN(RADIANS(0))+(SIN(RADIANS(AU64))*COS(RADIANS(0)))</f>
        <v>0.41418570596480897</v>
      </c>
      <c r="BD64" s="47">
        <f>COS(RADIANS(AU64))*COS(RADIANS(AW64-Insolation!$L$6))*SIN(RADIANS(Insolation!$L$7))+SIN(RADIANS(AU64))*COS(RADIANS(Insolation!$L$7))</f>
        <v>0.44784254354590564</v>
      </c>
      <c r="BE64" s="46">
        <f t="shared" si="53"/>
        <v>334.03498723294933</v>
      </c>
      <c r="BF64" s="46">
        <f t="shared" si="54"/>
        <v>62.655074359428689</v>
      </c>
      <c r="BG64" s="46">
        <f t="shared" si="55"/>
        <v>361.17875668176339</v>
      </c>
      <c r="BH64" s="46">
        <f>$AS$55*BB64*((1+COS(RADIANS(Insolation!$L$7)))/2)</f>
        <v>31.327537179714344</v>
      </c>
      <c r="BI64" s="46">
        <f t="shared" si="56"/>
        <v>805.51017545978584</v>
      </c>
      <c r="BJ64" s="46">
        <f t="shared" si="57"/>
        <v>45.689545355452559</v>
      </c>
      <c r="BK64" s="46">
        <f t="shared" si="58"/>
        <v>806.48603373417814</v>
      </c>
      <c r="BL64" s="46">
        <f t="shared" si="59"/>
        <v>44.302955282633135</v>
      </c>
      <c r="BO64" s="212">
        <v>15.5</v>
      </c>
      <c r="BP64" s="46">
        <f t="shared" si="60"/>
        <v>33.555042782397578</v>
      </c>
      <c r="BQ64" s="207">
        <f t="shared" si="16"/>
        <v>-52.5</v>
      </c>
      <c r="BR64" s="46">
        <f t="shared" si="61"/>
        <v>-69.913514539852926</v>
      </c>
      <c r="BS64" s="46">
        <f t="shared" si="62"/>
        <v>-69.913514539852926</v>
      </c>
      <c r="BT64" s="46">
        <f t="shared" si="63"/>
        <v>249.91351453985294</v>
      </c>
      <c r="BU64" s="46">
        <f t="shared" si="104"/>
        <v>-110.08648546014706</v>
      </c>
      <c r="BV64" s="46">
        <f t="shared" si="65"/>
        <v>1.8091759832926451</v>
      </c>
      <c r="BW64" s="46">
        <f t="shared" si="66"/>
        <v>830.50492754962841</v>
      </c>
      <c r="BX64" s="47">
        <f>COS(RADIANS(BP64))*COS(RADIANS(BR64-Insolation!$L$6))*SIN(RADIANS(0))+(SIN(RADIANS(BP64))*COS(RADIANS(0)))</f>
        <v>0.55273782607926869</v>
      </c>
      <c r="BY64" s="47">
        <f>COS(RADIANS(BP64))*COS(RADIANS(BR64-Insolation!$L$6))*SIN(RADIANS(Insolation!$L$7))+SIN(RADIANS(BP64))*COS(RADIANS(Insolation!$L$7))</f>
        <v>0.28620599267444907</v>
      </c>
      <c r="BZ64" s="46">
        <f t="shared" si="67"/>
        <v>459.05148820190215</v>
      </c>
      <c r="CA64" s="46">
        <f t="shared" si="68"/>
        <v>81.753735675105162</v>
      </c>
      <c r="CB64" s="46">
        <f t="shared" si="69"/>
        <v>237.69548721036281</v>
      </c>
      <c r="CC64" s="46">
        <f>$BN$55*BW64*((1+COS(RADIANS(Insolation!$L$7)))/2)</f>
        <v>40.876867837552581</v>
      </c>
      <c r="CD64" s="46">
        <f t="shared" si="70"/>
        <v>819.31775515113247</v>
      </c>
      <c r="CE64" s="46">
        <f t="shared" si="71"/>
        <v>57.594281268214196</v>
      </c>
      <c r="CF64" s="46">
        <f t="shared" si="72"/>
        <v>830.50492754962841</v>
      </c>
      <c r="CG64" s="46">
        <f t="shared" si="73"/>
        <v>63.47105890301097</v>
      </c>
      <c r="CJ64" s="212">
        <v>15.5</v>
      </c>
      <c r="CK64" s="46">
        <f t="shared" si="74"/>
        <v>39.958547603886593</v>
      </c>
      <c r="CL64" s="207">
        <f t="shared" si="17"/>
        <v>-52.5</v>
      </c>
      <c r="CM64" s="46">
        <f t="shared" si="75"/>
        <v>-78.478283597967561</v>
      </c>
      <c r="CN64" s="46">
        <f t="shared" si="76"/>
        <v>-78.478283597967561</v>
      </c>
      <c r="CO64" s="46">
        <f t="shared" si="77"/>
        <v>258.47828359796756</v>
      </c>
      <c r="CP64" s="46">
        <f t="shared" si="105"/>
        <v>-101.52171640203244</v>
      </c>
      <c r="CQ64" s="46">
        <f t="shared" si="79"/>
        <v>1.5570667540754219</v>
      </c>
      <c r="CR64" s="46">
        <f t="shared" si="80"/>
        <v>820.74095273593502</v>
      </c>
      <c r="CS64" s="47">
        <f>COS(RADIANS(CK64))*COS(RADIANS(CM64-Insolation!$L$6))*SIN(RADIANS(0))+(SIN(RADIANS(CK64))*COS(RADIANS(0)))</f>
        <v>0.64223322306678798</v>
      </c>
      <c r="CT64" s="47">
        <f>COS(RADIANS(CK64))*COS(RADIANS(CM64-Insolation!$L$6))*SIN(RADIANS(Insolation!$L$7))+SIN(RADIANS(CK64))*COS(RADIANS(Insolation!$L$7))</f>
        <v>0.15310205436331528</v>
      </c>
      <c r="CU64" s="46">
        <f t="shared" si="81"/>
        <v>527.10710737850582</v>
      </c>
      <c r="CV64" s="46">
        <f t="shared" si="82"/>
        <v>96.575004084933809</v>
      </c>
      <c r="CW64" s="46">
        <f t="shared" si="83"/>
        <v>125.6571259639763</v>
      </c>
      <c r="CX64" s="46">
        <f>$CI$55*CR64*((1+COS(RADIANS(Insolation!$L$7)))/2)</f>
        <v>48.287502042466905</v>
      </c>
      <c r="CY64" s="46">
        <f t="shared" si="84"/>
        <v>776.99111938936278</v>
      </c>
      <c r="CZ64" s="46">
        <f t="shared" si="101"/>
        <v>65.723226171742525</v>
      </c>
      <c r="DA64" s="46">
        <f t="shared" si="85"/>
        <v>820.74095273593502</v>
      </c>
      <c r="DB64" s="46">
        <f t="shared" si="86"/>
        <v>79.299340113044536</v>
      </c>
      <c r="DE64" s="212">
        <v>15.5</v>
      </c>
      <c r="DF64" s="46">
        <f t="shared" si="87"/>
        <v>42.796141937029795</v>
      </c>
      <c r="DG64" s="207">
        <f t="shared" si="18"/>
        <v>-52.5</v>
      </c>
      <c r="DH64" s="46">
        <f t="shared" si="88"/>
        <v>-83.173464289511216</v>
      </c>
      <c r="DI64" s="46">
        <f t="shared" si="89"/>
        <v>-83.173464289511216</v>
      </c>
      <c r="DJ64" s="46">
        <f t="shared" si="90"/>
        <v>263.17346428951123</v>
      </c>
      <c r="DK64" s="46">
        <f t="shared" si="106"/>
        <v>-96.82653571048877</v>
      </c>
      <c r="DL64" s="46">
        <f t="shared" si="92"/>
        <v>1.471904515433283</v>
      </c>
      <c r="DM64" s="46">
        <f t="shared" si="93"/>
        <v>804.0763436975011</v>
      </c>
      <c r="DN64" s="47">
        <f>COS(RADIANS(DF64))*COS(RADIANS(DH64-Insolation!$L$6))*SIN(RADIANS(0))+(SIN(RADIANS(DF64))*COS(RADIANS(0)))</f>
        <v>0.67939189635927644</v>
      </c>
      <c r="DO64" s="47">
        <f>COS(RADIANS(DF64))*COS(RADIANS(DH64-Insolation!$L$6))*SIN(RADIANS(Insolation!$L$7))+SIN(RADIANS(DF64))*COS(RADIANS(Insolation!$L$7))</f>
        <v>8.7219382134664361E-2</v>
      </c>
      <c r="DP64" s="46">
        <f t="shared" si="94"/>
        <v>546.28295196227862</v>
      </c>
      <c r="DQ64" s="46">
        <f t="shared" si="95"/>
        <v>105.55958666252154</v>
      </c>
      <c r="DR64" s="46">
        <f t="shared" si="96"/>
        <v>70.131041886396062</v>
      </c>
      <c r="DS64" s="46">
        <f>$DD$55*DM64*((1+COS(RADIANS(Insolation!$L$7)))/2)</f>
        <v>52.77979333126077</v>
      </c>
      <c r="DT64" s="46">
        <f t="shared" si="97"/>
        <v>738.42099541276866</v>
      </c>
      <c r="DU64" s="46">
        <f t="shared" si="98"/>
        <v>70.382186595854577</v>
      </c>
      <c r="DV64" s="46">
        <f t="shared" si="99"/>
        <v>804.0763436975011</v>
      </c>
      <c r="DW64" s="46">
        <f t="shared" si="100"/>
        <v>88.63795721203671</v>
      </c>
    </row>
    <row r="65" spans="3:127" x14ac:dyDescent="0.25">
      <c r="D65" s="212">
        <v>16</v>
      </c>
      <c r="E65" s="46">
        <f t="shared" si="12"/>
        <v>5.5848444091378457</v>
      </c>
      <c r="F65" s="207">
        <f t="shared" si="13"/>
        <v>-60</v>
      </c>
      <c r="G65" s="46">
        <f t="shared" si="19"/>
        <v>-54.1824777326621</v>
      </c>
      <c r="H65" s="46">
        <f t="shared" si="20"/>
        <v>-54.1824777326621</v>
      </c>
      <c r="I65" s="46">
        <f t="shared" si="21"/>
        <v>234.18247773266211</v>
      </c>
      <c r="J65" s="46">
        <f t="shared" si="22"/>
        <v>-125.81752226733789</v>
      </c>
      <c r="K65" s="46">
        <f t="shared" si="23"/>
        <v>10.275417796774382</v>
      </c>
      <c r="L65" s="46">
        <f t="shared" si="24"/>
        <v>294.93914398189366</v>
      </c>
      <c r="M65" s="47">
        <f>COS(RADIANS(E65))*COS(RADIANS(G65-Insolation!$L$6))*SIN(RADIANS(0))+(SIN(RADIANS(E65))*COS(RADIANS(0)))</f>
        <v>9.7319643811847337E-2</v>
      </c>
      <c r="N65" s="47">
        <f>COS(RADIANS(E65))*COS(RADIANS(G65-Insolation!$L$6))*SIN(RADIANS(Insolation!$L$7))+SIN(RADIANS(E65))*COS(RADIANS(Insolation!$L$7))</f>
        <v>0.58242782054170228</v>
      </c>
      <c r="O65" s="46">
        <f t="shared" si="25"/>
        <v>28.703372438489048</v>
      </c>
      <c r="P65" s="46">
        <f t="shared" si="26"/>
        <v>16.289867542649009</v>
      </c>
      <c r="Q65" s="46">
        <f t="shared" si="27"/>
        <v>171.78076282180965</v>
      </c>
      <c r="R65" s="46">
        <f>$C$55*L65*((1+COS(RADIANS(Insolation!$L$7)))/2)</f>
        <v>8.1449337713245047</v>
      </c>
      <c r="S65" s="46">
        <f t="shared" si="28"/>
        <v>274.84925465373863</v>
      </c>
      <c r="T65" s="46">
        <f t="shared" si="29"/>
        <v>11.824192081205933</v>
      </c>
      <c r="U65" s="46">
        <f t="shared" si="30"/>
        <v>294.93914398189366</v>
      </c>
      <c r="V65" s="46">
        <f t="shared" si="31"/>
        <v>8.9375958248208924</v>
      </c>
      <c r="Y65" s="212">
        <v>16</v>
      </c>
      <c r="Z65" s="46">
        <f t="shared" si="32"/>
        <v>11.68322721837877</v>
      </c>
      <c r="AA65" s="207">
        <f t="shared" si="14"/>
        <v>-60</v>
      </c>
      <c r="AB65" s="46">
        <f t="shared" si="33"/>
        <v>-59.391499071010585</v>
      </c>
      <c r="AC65" s="46">
        <f t="shared" si="34"/>
        <v>-59.391499071010585</v>
      </c>
      <c r="AD65" s="46">
        <f t="shared" si="35"/>
        <v>239.39149907101057</v>
      </c>
      <c r="AE65" s="46">
        <f t="shared" si="102"/>
        <v>-120.60850092898943</v>
      </c>
      <c r="AF65" s="46">
        <f t="shared" si="37"/>
        <v>4.9382562725088794</v>
      </c>
      <c r="AG65" s="46">
        <f t="shared" si="38"/>
        <v>590.38937455586233</v>
      </c>
      <c r="AH65" s="47">
        <f>COS(RADIANS(Z65))*COS(RADIANS(AB65-Insolation!$L$6))*SIN(RADIANS(0))+(SIN(RADIANS(Z65))*COS(RADIANS(0)))</f>
        <v>0.20250062872738486</v>
      </c>
      <c r="AI65" s="47">
        <f>COS(RADIANS(Z65))*COS(RADIANS(AB65-Insolation!$L$6))*SIN(RADIANS(Insolation!$L$7))+SIN(RADIANS(Z65))*COS(RADIANS(Insolation!$L$7))</f>
        <v>0.49862021952269547</v>
      </c>
      <c r="AJ65" s="46">
        <f t="shared" si="39"/>
        <v>119.55421954152963</v>
      </c>
      <c r="AK65" s="46">
        <f t="shared" si="40"/>
        <v>37.162387717172827</v>
      </c>
      <c r="AL65" s="46">
        <f t="shared" si="41"/>
        <v>294.38007954491098</v>
      </c>
      <c r="AM65" s="46">
        <f>$X$55*AG65*((1+COS(RADIANS(Insolation!$L$7)))/2)</f>
        <v>18.581193858586413</v>
      </c>
      <c r="AN65" s="46">
        <f t="shared" si="42"/>
        <v>574.58016086578095</v>
      </c>
      <c r="AO65" s="46">
        <f t="shared" si="43"/>
        <v>26.425827771926173</v>
      </c>
      <c r="AP65" s="46">
        <f t="shared" si="44"/>
        <v>590.38937455586233</v>
      </c>
      <c r="AQ65" s="46">
        <f t="shared" si="45"/>
        <v>22.343897297455587</v>
      </c>
      <c r="AT65" s="212">
        <v>16</v>
      </c>
      <c r="AU65" s="46">
        <f t="shared" si="46"/>
        <v>19.526247268864513</v>
      </c>
      <c r="AV65" s="207">
        <f t="shared" si="15"/>
        <v>-60</v>
      </c>
      <c r="AW65" s="46">
        <f t="shared" si="47"/>
        <v>-66.600665055415135</v>
      </c>
      <c r="AX65" s="46">
        <f t="shared" si="48"/>
        <v>-66.600665055415135</v>
      </c>
      <c r="AY65" s="46">
        <f t="shared" si="49"/>
        <v>246.60066505541513</v>
      </c>
      <c r="AZ65" s="46">
        <f t="shared" si="103"/>
        <v>-113.39933494458487</v>
      </c>
      <c r="BA65" s="46">
        <f t="shared" si="51"/>
        <v>2.991874224147244</v>
      </c>
      <c r="BB65" s="46">
        <f t="shared" si="52"/>
        <v>735.79336725609005</v>
      </c>
      <c r="BC65" s="47">
        <f>COS(RADIANS(AU65))*COS(RADIANS(AW65-Insolation!$L$6))*SIN(RADIANS(0))+(SIN(RADIANS(AU65))*COS(RADIANS(0)))</f>
        <v>0.33423864944891657</v>
      </c>
      <c r="BD65" s="47">
        <f>COS(RADIANS(AU65))*COS(RADIANS(AW65-Insolation!$L$6))*SIN(RADIANS(Insolation!$L$7))+SIN(RADIANS(AU65))*COS(RADIANS(Insolation!$L$7))</f>
        <v>0.37429726961161325</v>
      </c>
      <c r="BE65" s="46">
        <f t="shared" si="53"/>
        <v>245.93058134514621</v>
      </c>
      <c r="BF65" s="46">
        <f t="shared" si="54"/>
        <v>57.1630334689713</v>
      </c>
      <c r="BG65" s="46">
        <f t="shared" si="55"/>
        <v>275.40544836228952</v>
      </c>
      <c r="BH65" s="46">
        <f>$AS$55*BB65*((1+COS(RADIANS(Insolation!$L$7)))/2)</f>
        <v>28.58151673448565</v>
      </c>
      <c r="BI65" s="46">
        <f t="shared" si="56"/>
        <v>734.90304799990247</v>
      </c>
      <c r="BJ65" s="46">
        <f t="shared" si="57"/>
        <v>39.44777304739317</v>
      </c>
      <c r="BK65" s="46">
        <f t="shared" si="58"/>
        <v>735.79336725609005</v>
      </c>
      <c r="BL65" s="46">
        <f t="shared" si="59"/>
        <v>38.134564287021739</v>
      </c>
      <c r="BO65" s="212">
        <v>16</v>
      </c>
      <c r="BP65" s="46">
        <f t="shared" si="60"/>
        <v>28.279433800547316</v>
      </c>
      <c r="BQ65" s="207">
        <f t="shared" si="16"/>
        <v>-60</v>
      </c>
      <c r="BR65" s="46">
        <f t="shared" si="61"/>
        <v>-75.965425414328465</v>
      </c>
      <c r="BS65" s="46">
        <f t="shared" si="62"/>
        <v>-75.965425414328465</v>
      </c>
      <c r="BT65" s="46">
        <f t="shared" si="63"/>
        <v>255.96542541432848</v>
      </c>
      <c r="BU65" s="46">
        <f t="shared" si="104"/>
        <v>-104.03457458567152</v>
      </c>
      <c r="BV65" s="46">
        <f t="shared" si="65"/>
        <v>2.1107193317312558</v>
      </c>
      <c r="BW65" s="46">
        <f t="shared" si="66"/>
        <v>787.33832314241215</v>
      </c>
      <c r="BX65" s="47">
        <f>COS(RADIANS(BP65))*COS(RADIANS(BR65-Insolation!$L$6))*SIN(RADIANS(0))+(SIN(RADIANS(BP65))*COS(RADIANS(0)))</f>
        <v>0.47377213301958965</v>
      </c>
      <c r="BY65" s="47">
        <f>COS(RADIANS(BP65))*COS(RADIANS(BR65-Insolation!$L$6))*SIN(RADIANS(Insolation!$L$7))+SIN(RADIANS(BP65))*COS(RADIANS(Insolation!$L$7))</f>
        <v>0.21356349924717827</v>
      </c>
      <c r="BZ65" s="46">
        <f t="shared" si="67"/>
        <v>373.01895676324756</v>
      </c>
      <c r="CA65" s="46">
        <f t="shared" si="68"/>
        <v>77.504475918017803</v>
      </c>
      <c r="CB65" s="46">
        <f t="shared" si="69"/>
        <v>168.14672738169915</v>
      </c>
      <c r="CC65" s="46">
        <f>$BN$55*BW65*((1+COS(RADIANS(Insolation!$L$7)))/2)</f>
        <v>38.752237959008902</v>
      </c>
      <c r="CD65" s="46">
        <f t="shared" si="70"/>
        <v>776.7326189921373</v>
      </c>
      <c r="CE65" s="46">
        <f t="shared" si="71"/>
        <v>51.282070260692144</v>
      </c>
      <c r="CF65" s="46">
        <f t="shared" si="72"/>
        <v>787.33832314241215</v>
      </c>
      <c r="CG65" s="46">
        <f t="shared" si="73"/>
        <v>57.11196839613126</v>
      </c>
      <c r="CJ65" s="212">
        <v>16</v>
      </c>
      <c r="CK65" s="46">
        <f t="shared" si="74"/>
        <v>34.503465048947334</v>
      </c>
      <c r="CL65" s="207">
        <f t="shared" si="17"/>
        <v>-60</v>
      </c>
      <c r="CM65" s="46">
        <f t="shared" si="75"/>
        <v>-84.192095809480847</v>
      </c>
      <c r="CN65" s="46">
        <f t="shared" si="76"/>
        <v>-84.192095809480847</v>
      </c>
      <c r="CO65" s="46">
        <f t="shared" si="77"/>
        <v>264.19209580948086</v>
      </c>
      <c r="CP65" s="46">
        <f t="shared" si="105"/>
        <v>-95.807904190519139</v>
      </c>
      <c r="CQ65" s="46">
        <f t="shared" si="79"/>
        <v>1.7653619443302841</v>
      </c>
      <c r="CR65" s="46">
        <f t="shared" si="80"/>
        <v>788.26373763798404</v>
      </c>
      <c r="CS65" s="47">
        <f>COS(RADIANS(CK65))*COS(RADIANS(CM65-Insolation!$L$6))*SIN(RADIANS(0))+(SIN(RADIANS(CK65))*COS(RADIANS(0)))</f>
        <v>0.56645607616706872</v>
      </c>
      <c r="CT65" s="47">
        <f>COS(RADIANS(CK65))*COS(RADIANS(CM65-Insolation!$L$6))*SIN(RADIANS(Insolation!$L$7))+SIN(RADIANS(CK65))*COS(RADIANS(Insolation!$L$7))</f>
        <v>8.3392783383574365E-2</v>
      </c>
      <c r="CU65" s="46">
        <f t="shared" si="81"/>
        <v>446.51678380720017</v>
      </c>
      <c r="CV65" s="46">
        <f t="shared" si="82"/>
        <v>92.75347285721034</v>
      </c>
      <c r="CW65" s="46">
        <f t="shared" si="83"/>
        <v>65.735507121971096</v>
      </c>
      <c r="CX65" s="46">
        <f>$CI$55*CR65*((1+COS(RADIANS(Insolation!$L$7)))/2)</f>
        <v>46.37673642860517</v>
      </c>
      <c r="CY65" s="46">
        <f t="shared" si="84"/>
        <v>746.24511161494024</v>
      </c>
      <c r="CZ65" s="46">
        <f t="shared" si="101"/>
        <v>58.93529989901522</v>
      </c>
      <c r="DA65" s="46">
        <f t="shared" si="85"/>
        <v>788.26373763798404</v>
      </c>
      <c r="DB65" s="46">
        <f t="shared" si="86"/>
        <v>72.647120571387205</v>
      </c>
      <c r="DE65" s="212">
        <v>16</v>
      </c>
      <c r="DF65" s="46">
        <f t="shared" si="87"/>
        <v>37.292467843933316</v>
      </c>
      <c r="DG65" s="207">
        <f t="shared" si="18"/>
        <v>-60</v>
      </c>
      <c r="DH65" s="46">
        <f t="shared" si="88"/>
        <v>-88.588445189997373</v>
      </c>
      <c r="DI65" s="46">
        <f t="shared" si="89"/>
        <v>-88.588445189997373</v>
      </c>
      <c r="DJ65" s="46">
        <f t="shared" si="90"/>
        <v>268.5884451899974</v>
      </c>
      <c r="DK65" s="46">
        <f t="shared" si="106"/>
        <v>-91.411554810002599</v>
      </c>
      <c r="DL65" s="46">
        <f t="shared" si="92"/>
        <v>1.6504814368030041</v>
      </c>
      <c r="DM65" s="46">
        <f t="shared" si="93"/>
        <v>775.06959436229204</v>
      </c>
      <c r="DN65" s="47">
        <f>COS(RADIANS(DF65))*COS(RADIANS(DH65-Insolation!$L$6))*SIN(RADIANS(0))+(SIN(RADIANS(DF65))*COS(RADIANS(0)))</f>
        <v>0.6058838213515495</v>
      </c>
      <c r="DO65" s="47">
        <f>COS(RADIANS(DF65))*COS(RADIANS(DH65-Insolation!$L$6))*SIN(RADIANS(Insolation!$L$7))+SIN(RADIANS(DF65))*COS(RADIANS(Insolation!$L$7))</f>
        <v>1.959748648987239E-2</v>
      </c>
      <c r="DP65" s="46">
        <f t="shared" si="94"/>
        <v>469.6021276456209</v>
      </c>
      <c r="DQ65" s="46">
        <f t="shared" si="95"/>
        <v>101.75156458321514</v>
      </c>
      <c r="DR65" s="46">
        <f t="shared" si="96"/>
        <v>15.189415904225891</v>
      </c>
      <c r="DS65" s="46">
        <f>$DD$55*DM65*((1+COS(RADIANS(Insolation!$L$7)))/2)</f>
        <v>50.875782291607571</v>
      </c>
      <c r="DT65" s="46">
        <f t="shared" si="97"/>
        <v>711.78273788202387</v>
      </c>
      <c r="DU65" s="46">
        <f t="shared" si="98"/>
        <v>63.164842362188651</v>
      </c>
      <c r="DV65" s="46">
        <f t="shared" si="99"/>
        <v>775.06959436229204</v>
      </c>
      <c r="DW65" s="46">
        <f t="shared" si="100"/>
        <v>81.700595680696253</v>
      </c>
    </row>
    <row r="66" spans="3:127" x14ac:dyDescent="0.25">
      <c r="D66" s="212">
        <v>16.5</v>
      </c>
      <c r="E66" s="46">
        <f t="shared" si="12"/>
        <v>0.96608675557127077</v>
      </c>
      <c r="F66" s="207">
        <f t="shared" si="13"/>
        <v>-67.5</v>
      </c>
      <c r="G66" s="46">
        <f t="shared" si="19"/>
        <v>-59.437108645976807</v>
      </c>
      <c r="H66" s="46">
        <f t="shared" si="20"/>
        <v>-59.437108645976807</v>
      </c>
      <c r="I66" s="46">
        <f t="shared" si="21"/>
        <v>239.43710864597682</v>
      </c>
      <c r="J66" s="46">
        <f t="shared" si="22"/>
        <v>-120.56289135402318</v>
      </c>
      <c r="K66" s="46">
        <f t="shared" si="23"/>
        <v>59.309885164104102</v>
      </c>
      <c r="L66" s="46">
        <f t="shared" si="24"/>
        <v>0.32015654952926664</v>
      </c>
      <c r="M66" s="47">
        <f>COS(RADIANS(E66))*COS(RADIANS(G66-Insolation!$L$6))*SIN(RADIANS(0))+(SIN(RADIANS(E66))*COS(RADIANS(0)))</f>
        <v>1.6860595788258687E-2</v>
      </c>
      <c r="N66" s="47">
        <f>COS(RADIANS(E66))*COS(RADIANS(G66-Insolation!$L$6))*SIN(RADIANS(Insolation!$L$7))+SIN(RADIANS(E66))*COS(RADIANS(Insolation!$L$7))</f>
        <v>0.50841155296078244</v>
      </c>
      <c r="O66" s="46">
        <f t="shared" si="25"/>
        <v>5.3980301705765866E-3</v>
      </c>
      <c r="P66" s="46">
        <f t="shared" si="26"/>
        <v>1.7682657223225241E-2</v>
      </c>
      <c r="Q66" s="46">
        <f t="shared" si="27"/>
        <v>0.16277128853674011</v>
      </c>
      <c r="R66" s="46">
        <f>$C$55*L66*((1+COS(RADIANS(Insolation!$L$7)))/2)</f>
        <v>8.8413286116126207E-3</v>
      </c>
      <c r="S66" s="46">
        <f t="shared" si="28"/>
        <v>0.29834896725689858</v>
      </c>
      <c r="T66" s="46">
        <f t="shared" si="29"/>
        <v>1.2187023127782233E-2</v>
      </c>
      <c r="U66" s="46">
        <f t="shared" si="30"/>
        <v>0.32015654952926664</v>
      </c>
      <c r="V66" s="46">
        <f t="shared" si="31"/>
        <v>8.990398679564188E-3</v>
      </c>
      <c r="Y66" s="212">
        <v>16.5</v>
      </c>
      <c r="Z66" s="46">
        <f t="shared" si="32"/>
        <v>6.8039528093331176</v>
      </c>
      <c r="AA66" s="207">
        <f t="shared" si="14"/>
        <v>-67.5</v>
      </c>
      <c r="AB66" s="46">
        <f t="shared" si="33"/>
        <v>-64.893072781665865</v>
      </c>
      <c r="AC66" s="46">
        <f t="shared" si="34"/>
        <v>-64.893072781665865</v>
      </c>
      <c r="AD66" s="46">
        <f t="shared" si="35"/>
        <v>244.89307278166586</v>
      </c>
      <c r="AE66" s="46">
        <f t="shared" si="102"/>
        <v>-115.10692721833414</v>
      </c>
      <c r="AF66" s="46">
        <f t="shared" si="37"/>
        <v>8.4407793722751521</v>
      </c>
      <c r="AG66" s="46">
        <f t="shared" si="38"/>
        <v>354.1004950008591</v>
      </c>
      <c r="AH66" s="47">
        <f>COS(RADIANS(Z66))*COS(RADIANS(AB66-Insolation!$L$6))*SIN(RADIANS(0))+(SIN(RADIANS(Z66))*COS(RADIANS(0)))</f>
        <v>0.11847247225589515</v>
      </c>
      <c r="AI66" s="47">
        <f>COS(RADIANS(Z66))*COS(RADIANS(AB66-Insolation!$L$6))*SIN(RADIANS(Insolation!$L$7))+SIN(RADIANS(Z66))*COS(RADIANS(Insolation!$L$7))</f>
        <v>0.4213206408363826</v>
      </c>
      <c r="AJ66" s="46">
        <f t="shared" si="39"/>
        <v>41.951161069788014</v>
      </c>
      <c r="AK66" s="46">
        <f t="shared" si="40"/>
        <v>22.289052705198415</v>
      </c>
      <c r="AL66" s="46">
        <f t="shared" si="41"/>
        <v>149.18984747424224</v>
      </c>
      <c r="AM66" s="46">
        <f>$X$55*AG66*((1+COS(RADIANS(Insolation!$L$7)))/2)</f>
        <v>11.144526352599208</v>
      </c>
      <c r="AN66" s="46">
        <f t="shared" si="42"/>
        <v>344.61853168225525</v>
      </c>
      <c r="AO66" s="46">
        <f t="shared" si="43"/>
        <v>14.973192122790332</v>
      </c>
      <c r="AP66" s="46">
        <f t="shared" si="44"/>
        <v>354.1004950008591</v>
      </c>
      <c r="AQ66" s="46">
        <f t="shared" si="45"/>
        <v>12.464845941712607</v>
      </c>
      <c r="AT66" s="212">
        <v>16.5</v>
      </c>
      <c r="AU66" s="46">
        <f t="shared" si="46"/>
        <v>14.359370444612894</v>
      </c>
      <c r="AV66" s="207">
        <f t="shared" si="15"/>
        <v>-67.5</v>
      </c>
      <c r="AW66" s="46">
        <f t="shared" si="47"/>
        <v>-72.273172044834979</v>
      </c>
      <c r="AX66" s="46">
        <f t="shared" si="48"/>
        <v>-72.273172044834979</v>
      </c>
      <c r="AY66" s="46">
        <f t="shared" si="49"/>
        <v>252.27317204483498</v>
      </c>
      <c r="AZ66" s="46">
        <f t="shared" si="103"/>
        <v>-107.72682795516502</v>
      </c>
      <c r="BA66" s="46">
        <f t="shared" si="51"/>
        <v>4.0322095564835658</v>
      </c>
      <c r="BB66" s="46">
        <f t="shared" si="52"/>
        <v>623.71222952857875</v>
      </c>
      <c r="BC66" s="47">
        <f>COS(RADIANS(AU66))*COS(RADIANS(AW66-Insolation!$L$6))*SIN(RADIANS(0))+(SIN(RADIANS(AU66))*COS(RADIANS(0)))</f>
        <v>0.24800298347392594</v>
      </c>
      <c r="BD66" s="47">
        <f>COS(RADIANS(AU66))*COS(RADIANS(AW66-Insolation!$L$6))*SIN(RADIANS(Insolation!$L$7))+SIN(RADIANS(AU66))*COS(RADIANS(Insolation!$L$7))</f>
        <v>0.29496694835361831</v>
      </c>
      <c r="BE66" s="46">
        <f t="shared" si="53"/>
        <v>154.68249375226162</v>
      </c>
      <c r="BF66" s="46">
        <f t="shared" si="54"/>
        <v>48.455564616607738</v>
      </c>
      <c r="BG66" s="46">
        <f t="shared" si="55"/>
        <v>183.97449299487641</v>
      </c>
      <c r="BH66" s="46">
        <f>$AS$55*BB66*((1+COS(RADIANS(Insolation!$L$7)))/2)</f>
        <v>24.227782308303869</v>
      </c>
      <c r="BI66" s="46">
        <f t="shared" si="56"/>
        <v>622.95752986291063</v>
      </c>
      <c r="BJ66" s="46">
        <f t="shared" si="57"/>
        <v>31.383345912847776</v>
      </c>
      <c r="BK66" s="46">
        <f t="shared" si="58"/>
        <v>623.71222952857875</v>
      </c>
      <c r="BL66" s="46">
        <f t="shared" si="59"/>
        <v>30.236344603720028</v>
      </c>
      <c r="BO66" s="212">
        <v>16.5</v>
      </c>
      <c r="BP66" s="46">
        <f t="shared" si="60"/>
        <v>22.86710591648222</v>
      </c>
      <c r="BQ66" s="207">
        <f t="shared" si="16"/>
        <v>-67.5</v>
      </c>
      <c r="BR66" s="46">
        <f t="shared" si="61"/>
        <v>-81.561981881696127</v>
      </c>
      <c r="BS66" s="46">
        <f t="shared" si="62"/>
        <v>-81.561981881696127</v>
      </c>
      <c r="BT66" s="46">
        <f t="shared" si="63"/>
        <v>261.56198188169611</v>
      </c>
      <c r="BU66" s="46">
        <f t="shared" si="104"/>
        <v>-98.438018118303887</v>
      </c>
      <c r="BV66" s="46">
        <f t="shared" si="65"/>
        <v>2.5733731459346627</v>
      </c>
      <c r="BW66" s="46">
        <f t="shared" si="66"/>
        <v>725.42976898474069</v>
      </c>
      <c r="BX66" s="47">
        <f>COS(RADIANS(BP66))*COS(RADIANS(BR66-Insolation!$L$6))*SIN(RADIANS(0))+(SIN(RADIANS(BP66))*COS(RADIANS(0)))</f>
        <v>0.38859502423104469</v>
      </c>
      <c r="BY66" s="47">
        <f>COS(RADIANS(BP66))*COS(RADIANS(BR66-Insolation!$L$6))*SIN(RADIANS(Insolation!$L$7))+SIN(RADIANS(BP66))*COS(RADIANS(Insolation!$L$7))</f>
        <v>0.13520697091721712</v>
      </c>
      <c r="BZ66" s="46">
        <f t="shared" si="67"/>
        <v>281.89839865654648</v>
      </c>
      <c r="CA66" s="46">
        <f t="shared" si="68"/>
        <v>71.410285017107384</v>
      </c>
      <c r="CB66" s="46">
        <f t="shared" si="69"/>
        <v>98.083161677603371</v>
      </c>
      <c r="CC66" s="46">
        <f>$BN$55*BW66*((1+COS(RADIANS(Insolation!$L$7)))/2)</f>
        <v>35.705142508553692</v>
      </c>
      <c r="CD66" s="46">
        <f t="shared" si="70"/>
        <v>715.65799326201522</v>
      </c>
      <c r="CE66" s="46">
        <f t="shared" si="71"/>
        <v>44.011382612782221</v>
      </c>
      <c r="CF66" s="46">
        <f t="shared" si="72"/>
        <v>725.42976898474069</v>
      </c>
      <c r="CG66" s="46">
        <f t="shared" si="73"/>
        <v>49.579983226838017</v>
      </c>
      <c r="CJ66" s="212">
        <v>16.5</v>
      </c>
      <c r="CK66" s="46">
        <f t="shared" si="74"/>
        <v>28.994019384113916</v>
      </c>
      <c r="CL66" s="207">
        <f t="shared" si="17"/>
        <v>-67.5</v>
      </c>
      <c r="CM66" s="46">
        <f t="shared" si="75"/>
        <v>-89.462833082122955</v>
      </c>
      <c r="CN66" s="46">
        <f t="shared" si="76"/>
        <v>-89.462833082122955</v>
      </c>
      <c r="CO66" s="46">
        <f t="shared" si="77"/>
        <v>269.46283308212298</v>
      </c>
      <c r="CP66" s="46">
        <f t="shared" si="105"/>
        <v>-90.537166917877016</v>
      </c>
      <c r="CQ66" s="46">
        <f t="shared" si="79"/>
        <v>2.0630538426776197</v>
      </c>
      <c r="CR66" s="46">
        <f t="shared" si="80"/>
        <v>744.066005319645</v>
      </c>
      <c r="CS66" s="47">
        <f>COS(RADIANS(CK66))*COS(RADIANS(CM66-Insolation!$L$6))*SIN(RADIANS(0))+(SIN(RADIANS(CK66))*COS(RADIANS(0)))</f>
        <v>0.48471832354220512</v>
      </c>
      <c r="CT66" s="47">
        <f>COS(RADIANS(CK66))*COS(RADIANS(CM66-Insolation!$L$6))*SIN(RADIANS(Insolation!$L$7))+SIN(RADIANS(CK66))*COS(RADIANS(Insolation!$L$7))</f>
        <v>8.200203824700698E-3</v>
      </c>
      <c r="CU66" s="46">
        <f t="shared" si="81"/>
        <v>360.66242670328381</v>
      </c>
      <c r="CV66" s="46">
        <f t="shared" si="82"/>
        <v>87.552810985812627</v>
      </c>
      <c r="CW66" s="46">
        <f t="shared" si="83"/>
        <v>6.1014929026519225</v>
      </c>
      <c r="CX66" s="46">
        <f>$CI$55*CR66*((1+COS(RADIANS(Insolation!$L$7)))/2)</f>
        <v>43.776405492906314</v>
      </c>
      <c r="CY66" s="46">
        <f t="shared" si="84"/>
        <v>704.40335217303436</v>
      </c>
      <c r="CZ66" s="46">
        <f t="shared" si="101"/>
        <v>51.530119421098725</v>
      </c>
      <c r="DA66" s="46">
        <f t="shared" si="85"/>
        <v>744.066005319645</v>
      </c>
      <c r="DB66" s="46">
        <f t="shared" si="86"/>
        <v>64.995631374131648</v>
      </c>
      <c r="DE66" s="212">
        <v>16.5</v>
      </c>
      <c r="DF66" s="46">
        <f t="shared" si="87"/>
        <v>31.775587392660867</v>
      </c>
      <c r="DG66" s="207">
        <f t="shared" si="18"/>
        <v>-67.5</v>
      </c>
      <c r="DH66" s="46">
        <f t="shared" si="88"/>
        <v>-93.597584326522565</v>
      </c>
      <c r="DI66" s="46">
        <f t="shared" si="89"/>
        <v>-86.402415673477407</v>
      </c>
      <c r="DJ66" s="46">
        <f t="shared" si="90"/>
        <v>266.40241567347744</v>
      </c>
      <c r="DK66" s="46">
        <f t="shared" si="106"/>
        <v>-93.597584326522565</v>
      </c>
      <c r="DL66" s="46">
        <f t="shared" si="92"/>
        <v>1.8989975426619872</v>
      </c>
      <c r="DM66" s="46">
        <f t="shared" si="93"/>
        <v>736.43557545613851</v>
      </c>
      <c r="DN66" s="47">
        <f>COS(RADIANS(DF66))*COS(RADIANS(DH66-Insolation!$L$6))*SIN(RADIANS(0))+(SIN(RADIANS(DF66))*COS(RADIANS(0)))</f>
        <v>0.52659362507558305</v>
      </c>
      <c r="DO66" s="47">
        <f>COS(RADIANS(DF66))*COS(RADIANS(DH66-Insolation!$L$6))*SIN(RADIANS(Insolation!$L$7))+SIN(RADIANS(DF66))*COS(RADIANS(Insolation!$L$7))</f>
        <v>-5.3343525469214378E-2</v>
      </c>
      <c r="DP66" s="46">
        <f t="shared" si="94"/>
        <v>387.80227931407103</v>
      </c>
      <c r="DQ66" s="46">
        <f t="shared" si="95"/>
        <v>96.679669235452181</v>
      </c>
      <c r="DR66" s="46">
        <f t="shared" si="96"/>
        <v>0</v>
      </c>
      <c r="DS66" s="46">
        <f>$DD$55*DM66*((1+COS(RADIANS(Insolation!$L$7)))/2)</f>
        <v>48.33983461772609</v>
      </c>
      <c r="DT66" s="46">
        <f t="shared" si="97"/>
        <v>676.30330745096251</v>
      </c>
      <c r="DU66" s="46">
        <f t="shared" si="98"/>
        <v>55.452521097882276</v>
      </c>
      <c r="DV66" s="46">
        <f t="shared" si="99"/>
        <v>736.43557545613851</v>
      </c>
      <c r="DW66" s="46">
        <f t="shared" si="100"/>
        <v>73.795283364628631</v>
      </c>
    </row>
    <row r="67" spans="3:127" x14ac:dyDescent="0.25">
      <c r="D67" s="212">
        <v>17</v>
      </c>
      <c r="E67" s="46">
        <f t="shared" si="12"/>
        <v>-3.9042407243203359</v>
      </c>
      <c r="F67" s="207">
        <f t="shared" si="13"/>
        <v>-75</v>
      </c>
      <c r="G67" s="46">
        <f t="shared" si="19"/>
        <v>-64.452129257763744</v>
      </c>
      <c r="H67" s="46">
        <f t="shared" si="20"/>
        <v>-64.452129257763744</v>
      </c>
      <c r="I67" s="46">
        <f t="shared" si="21"/>
        <v>244.45212925776374</v>
      </c>
      <c r="J67" s="46">
        <f t="shared" si="22"/>
        <v>-115.54787074223626</v>
      </c>
      <c r="K67" s="46">
        <f t="shared" si="23"/>
        <v>14.686631271364059</v>
      </c>
      <c r="L67" s="46">
        <f t="shared" si="24"/>
        <v>0</v>
      </c>
      <c r="M67" s="47">
        <f>COS(RADIANS(E67))*COS(RADIANS(G67-Insolation!$L$6))*SIN(RADIANS(0))+(SIN(RADIANS(E67))*COS(RADIANS(0)))</f>
        <v>-6.808913368376017E-2</v>
      </c>
      <c r="N67" s="47">
        <f>COS(RADIANS(E67))*COS(RADIANS(G67-Insolation!$L$6))*SIN(RADIANS(Insolation!$L$7))+SIN(RADIANS(E67))*COS(RADIANS(Insolation!$L$7))</f>
        <v>0.43026419648591713</v>
      </c>
      <c r="O67" s="46">
        <f t="shared" si="25"/>
        <v>0</v>
      </c>
      <c r="P67" s="46">
        <f t="shared" si="26"/>
        <v>0</v>
      </c>
      <c r="Q67" s="46">
        <f t="shared" si="27"/>
        <v>0</v>
      </c>
      <c r="R67" s="46">
        <f>$C$55*L67*((1+COS(RADIANS(Insolation!$L$7)))/2)</f>
        <v>0</v>
      </c>
      <c r="S67" s="46">
        <f t="shared" si="28"/>
        <v>0</v>
      </c>
      <c r="T67" s="46">
        <f t="shared" si="29"/>
        <v>0</v>
      </c>
      <c r="U67" s="46">
        <f t="shared" si="30"/>
        <v>0</v>
      </c>
      <c r="V67" s="46">
        <f t="shared" si="31"/>
        <v>0</v>
      </c>
      <c r="Y67" s="212">
        <v>17</v>
      </c>
      <c r="Z67" s="46">
        <f t="shared" si="32"/>
        <v>1.7050549564961923</v>
      </c>
      <c r="AA67" s="207">
        <f t="shared" si="14"/>
        <v>-75</v>
      </c>
      <c r="AB67" s="46">
        <f t="shared" si="33"/>
        <v>-70.131826047998075</v>
      </c>
      <c r="AC67" s="46">
        <f t="shared" si="34"/>
        <v>-70.131826047998075</v>
      </c>
      <c r="AD67" s="46">
        <f t="shared" si="35"/>
        <v>250.13182604799806</v>
      </c>
      <c r="AE67" s="46">
        <f t="shared" si="102"/>
        <v>-109.86817395200194</v>
      </c>
      <c r="AF67" s="46">
        <f t="shared" si="37"/>
        <v>33.608439954771534</v>
      </c>
      <c r="AG67" s="46">
        <f t="shared" si="38"/>
        <v>8.9916938996882756</v>
      </c>
      <c r="AH67" s="47">
        <f>COS(RADIANS(Z67))*COS(RADIANS(AB67-Insolation!$L$6))*SIN(RADIANS(0))+(SIN(RADIANS(Z67))*COS(RADIANS(0)))</f>
        <v>2.9754430772322288E-2</v>
      </c>
      <c r="AI67" s="47">
        <f>COS(RADIANS(Z67))*COS(RADIANS(AB67-Insolation!$L$6))*SIN(RADIANS(Insolation!$L$7))+SIN(RADIANS(Z67))*COS(RADIANS(Insolation!$L$7))</f>
        <v>0.33970672097272581</v>
      </c>
      <c r="AJ67" s="46">
        <f t="shared" si="39"/>
        <v>0.2675427336641874</v>
      </c>
      <c r="AK67" s="46">
        <f t="shared" si="40"/>
        <v>0.56598717615087435</v>
      </c>
      <c r="AL67" s="46">
        <f t="shared" si="41"/>
        <v>3.0545388506535658</v>
      </c>
      <c r="AM67" s="46">
        <f>$X$55*AG67*((1+COS(RADIANS(Insolation!$L$7)))/2)</f>
        <v>0.28299358807543717</v>
      </c>
      <c r="AN67" s="46">
        <f t="shared" si="42"/>
        <v>8.7509178687800127</v>
      </c>
      <c r="AO67" s="46">
        <f t="shared" si="43"/>
        <v>0.35621010003614201</v>
      </c>
      <c r="AP67" s="46">
        <f t="shared" si="44"/>
        <v>8.9916938996882756</v>
      </c>
      <c r="AQ67" s="46">
        <f t="shared" si="45"/>
        <v>0.29141390120083888</v>
      </c>
      <c r="AT67" s="212">
        <v>17</v>
      </c>
      <c r="AU67" s="46">
        <f t="shared" si="46"/>
        <v>9.0301524753939368</v>
      </c>
      <c r="AV67" s="207">
        <f t="shared" si="15"/>
        <v>-75</v>
      </c>
      <c r="AW67" s="46">
        <f t="shared" si="47"/>
        <v>-77.651372093381752</v>
      </c>
      <c r="AX67" s="46">
        <f t="shared" si="48"/>
        <v>-77.651372093381752</v>
      </c>
      <c r="AY67" s="46">
        <f t="shared" si="49"/>
        <v>257.65137209338172</v>
      </c>
      <c r="AZ67" s="46">
        <f t="shared" si="103"/>
        <v>-102.34862790661828</v>
      </c>
      <c r="BA67" s="46">
        <f t="shared" si="51"/>
        <v>6.3712843992385997</v>
      </c>
      <c r="BB67" s="46">
        <f t="shared" si="52"/>
        <v>430.14414621528459</v>
      </c>
      <c r="BC67" s="47">
        <f>COS(RADIANS(AU67))*COS(RADIANS(AW67-Insolation!$L$6))*SIN(RADIANS(0))+(SIN(RADIANS(AU67))*COS(RADIANS(0)))</f>
        <v>0.1569542241937128</v>
      </c>
      <c r="BD67" s="47">
        <f>COS(RADIANS(AU67))*COS(RADIANS(AW67-Insolation!$L$6))*SIN(RADIANS(Insolation!$L$7))+SIN(RADIANS(AU67))*COS(RADIANS(Insolation!$L$7))</f>
        <v>0.21120894356316433</v>
      </c>
      <c r="BE67" s="46">
        <f t="shared" si="53"/>
        <v>67.512940760686959</v>
      </c>
      <c r="BF67" s="46">
        <f t="shared" si="54"/>
        <v>33.417458380035271</v>
      </c>
      <c r="BG67" s="46">
        <f t="shared" si="55"/>
        <v>90.850290702009545</v>
      </c>
      <c r="BH67" s="46">
        <f>$AS$55*BB67*((1+COS(RADIANS(Insolation!$L$7)))/2)</f>
        <v>16.708729190017635</v>
      </c>
      <c r="BI67" s="46">
        <f t="shared" si="56"/>
        <v>429.6236663722276</v>
      </c>
      <c r="BJ67" s="46">
        <f t="shared" si="57"/>
        <v>20.139593493952827</v>
      </c>
      <c r="BK67" s="46">
        <f t="shared" si="58"/>
        <v>430.14414621528459</v>
      </c>
      <c r="BL67" s="46">
        <f t="shared" si="59"/>
        <v>19.331234817299695</v>
      </c>
      <c r="BO67" s="212">
        <v>17</v>
      </c>
      <c r="BP67" s="46">
        <f t="shared" si="60"/>
        <v>17.377371748436321</v>
      </c>
      <c r="BQ67" s="207">
        <f t="shared" si="16"/>
        <v>-75</v>
      </c>
      <c r="BR67" s="46">
        <f t="shared" si="61"/>
        <v>-86.847898794944882</v>
      </c>
      <c r="BS67" s="46">
        <f t="shared" si="62"/>
        <v>-86.847898794944882</v>
      </c>
      <c r="BT67" s="46">
        <f t="shared" si="63"/>
        <v>266.84789879494485</v>
      </c>
      <c r="BU67" s="46">
        <f t="shared" si="104"/>
        <v>-93.152101205055146</v>
      </c>
      <c r="BV67" s="46">
        <f t="shared" si="65"/>
        <v>3.3482452607882669</v>
      </c>
      <c r="BW67" s="46">
        <f t="shared" si="66"/>
        <v>632.45249158380568</v>
      </c>
      <c r="BX67" s="47">
        <f>COS(RADIANS(BP67))*COS(RADIANS(BR67-Insolation!$L$6))*SIN(RADIANS(0))+(SIN(RADIANS(BP67))*COS(RADIANS(0)))</f>
        <v>0.29866390366056195</v>
      </c>
      <c r="BY67" s="47">
        <f>COS(RADIANS(BP67))*COS(RADIANS(BR67-Insolation!$L$6))*SIN(RADIANS(Insolation!$L$7))+SIN(RADIANS(BP67))*COS(RADIANS(Insolation!$L$7))</f>
        <v>5.2477109608822806E-2</v>
      </c>
      <c r="BZ67" s="46">
        <f t="shared" si="67"/>
        <v>188.89073001626809</v>
      </c>
      <c r="CA67" s="46">
        <f t="shared" si="68"/>
        <v>62.257732746461478</v>
      </c>
      <c r="CB67" s="46">
        <f t="shared" si="69"/>
        <v>33.189278723216454</v>
      </c>
      <c r="CC67" s="46">
        <f>$BN$55*BW67*((1+COS(RADIANS(Insolation!$L$7)))/2)</f>
        <v>31.128866373230739</v>
      </c>
      <c r="CD67" s="46">
        <f t="shared" si="70"/>
        <v>623.93315012958715</v>
      </c>
      <c r="CE67" s="46">
        <f t="shared" si="71"/>
        <v>35.440979168944608</v>
      </c>
      <c r="CF67" s="46">
        <f t="shared" si="72"/>
        <v>632.45249158380568</v>
      </c>
      <c r="CG67" s="46">
        <f t="shared" si="73"/>
        <v>40.425935120787834</v>
      </c>
      <c r="CJ67" s="212">
        <v>17</v>
      </c>
      <c r="CK67" s="46">
        <f t="shared" si="74"/>
        <v>23.479349740030724</v>
      </c>
      <c r="CL67" s="207">
        <f t="shared" si="17"/>
        <v>-75</v>
      </c>
      <c r="CM67" s="46">
        <f t="shared" si="75"/>
        <v>-94.451510927422646</v>
      </c>
      <c r="CN67" s="46">
        <f t="shared" si="76"/>
        <v>-85.54848907257734</v>
      </c>
      <c r="CO67" s="46">
        <f t="shared" si="77"/>
        <v>265.54848907257735</v>
      </c>
      <c r="CP67" s="46">
        <f t="shared" si="105"/>
        <v>-94.451510927422646</v>
      </c>
      <c r="CQ67" s="46">
        <f t="shared" si="79"/>
        <v>2.5099234794307677</v>
      </c>
      <c r="CR67" s="46">
        <f t="shared" si="80"/>
        <v>682.32833229723269</v>
      </c>
      <c r="CS67" s="47">
        <f>COS(RADIANS(CK67))*COS(RADIANS(CM67-Insolation!$L$6))*SIN(RADIANS(0))+(SIN(RADIANS(CK67))*COS(RADIANS(0)))</f>
        <v>0.3984185208015954</v>
      </c>
      <c r="CT67" s="47">
        <f>COS(RADIANS(CK67))*COS(RADIANS(CM67-Insolation!$L$6))*SIN(RADIANS(Insolation!$L$7))+SIN(RADIANS(CK67))*COS(RADIANS(Insolation!$L$7))</f>
        <v>-7.1189118429733758E-2</v>
      </c>
      <c r="CU67" s="46">
        <f t="shared" si="81"/>
        <v>271.85224485488288</v>
      </c>
      <c r="CV67" s="46">
        <f t="shared" si="82"/>
        <v>80.288258139438355</v>
      </c>
      <c r="CW67" s="46">
        <f t="shared" si="83"/>
        <v>0</v>
      </c>
      <c r="CX67" s="46">
        <f>$CI$55*CR67*((1+COS(RADIANS(Insolation!$L$7)))/2)</f>
        <v>40.144129069719177</v>
      </c>
      <c r="CY67" s="46">
        <f t="shared" si="84"/>
        <v>645.95662362820883</v>
      </c>
      <c r="CZ67" s="46">
        <f t="shared" si="101"/>
        <v>43.424703088058344</v>
      </c>
      <c r="DA67" s="46">
        <f t="shared" si="85"/>
        <v>682.32833229723269</v>
      </c>
      <c r="DB67" s="46">
        <f t="shared" si="86"/>
        <v>56.138293592545025</v>
      </c>
      <c r="DE67" s="212">
        <v>17</v>
      </c>
      <c r="DF67" s="46">
        <f t="shared" si="87"/>
        <v>26.287652571717953</v>
      </c>
      <c r="DG67" s="207">
        <f t="shared" si="18"/>
        <v>-75</v>
      </c>
      <c r="DH67" s="46">
        <f t="shared" si="88"/>
        <v>-98.359965370074804</v>
      </c>
      <c r="DI67" s="46">
        <f t="shared" si="89"/>
        <v>-81.640034629925196</v>
      </c>
      <c r="DJ67" s="46">
        <f t="shared" si="90"/>
        <v>261.6400346299252</v>
      </c>
      <c r="DK67" s="46">
        <f t="shared" si="106"/>
        <v>-98.359965370074804</v>
      </c>
      <c r="DL67" s="46">
        <f t="shared" si="92"/>
        <v>2.2579582512154759</v>
      </c>
      <c r="DM67" s="46">
        <f t="shared" si="93"/>
        <v>684.00635850138042</v>
      </c>
      <c r="DN67" s="47">
        <f>COS(RADIANS(DF67))*COS(RADIANS(DH67-Insolation!$L$6))*SIN(RADIANS(0))+(SIN(RADIANS(DF67))*COS(RADIANS(0)))</f>
        <v>0.4428779847730544</v>
      </c>
      <c r="DO67" s="47">
        <f>COS(RADIANS(DF67))*COS(RADIANS(DH67-Insolation!$L$6))*SIN(RADIANS(Insolation!$L$7))+SIN(RADIANS(DF67))*COS(RADIANS(Insolation!$L$7))</f>
        <v>-0.13035561280491623</v>
      </c>
      <c r="DP67" s="46">
        <f t="shared" si="94"/>
        <v>302.93135762504676</v>
      </c>
      <c r="DQ67" s="46">
        <f t="shared" si="95"/>
        <v>89.796732665854492</v>
      </c>
      <c r="DR67" s="46">
        <f t="shared" si="96"/>
        <v>0</v>
      </c>
      <c r="DS67" s="46">
        <f>$DD$55*DM67*((1+COS(RADIANS(Insolation!$L$7)))/2)</f>
        <v>44.898366332927246</v>
      </c>
      <c r="DT67" s="46">
        <f t="shared" si="97"/>
        <v>628.15510003770066</v>
      </c>
      <c r="DU67" s="46">
        <f t="shared" si="98"/>
        <v>47.227226042472196</v>
      </c>
      <c r="DV67" s="46">
        <f t="shared" si="99"/>
        <v>684.00635850138042</v>
      </c>
      <c r="DW67" s="46">
        <f t="shared" si="100"/>
        <v>64.782864334056413</v>
      </c>
    </row>
    <row r="68" spans="3:127" x14ac:dyDescent="0.25">
      <c r="D68" s="212">
        <v>17.5</v>
      </c>
      <c r="E68" s="46">
        <f t="shared" si="12"/>
        <v>-8.9792078565309392</v>
      </c>
      <c r="F68" s="207">
        <f t="shared" si="13"/>
        <v>-82.5</v>
      </c>
      <c r="G68" s="46">
        <f t="shared" si="19"/>
        <v>-69.288847208938591</v>
      </c>
      <c r="H68" s="46">
        <f t="shared" si="20"/>
        <v>-69.288847208938591</v>
      </c>
      <c r="I68" s="46">
        <f t="shared" si="21"/>
        <v>249.28884720893859</v>
      </c>
      <c r="J68" s="46">
        <f t="shared" si="22"/>
        <v>-110.71115279106141</v>
      </c>
      <c r="K68" s="46">
        <f t="shared" si="23"/>
        <v>6.4071337055205637</v>
      </c>
      <c r="L68" s="46">
        <f t="shared" si="24"/>
        <v>0</v>
      </c>
      <c r="M68" s="47">
        <f>COS(RADIANS(E68))*COS(RADIANS(G68-Insolation!$L$6))*SIN(RADIANS(0))+(SIN(RADIANS(E68))*COS(RADIANS(0)))</f>
        <v>-0.1560760311804282</v>
      </c>
      <c r="N68" s="47">
        <f>COS(RADIANS(E68))*COS(RADIANS(G68-Insolation!$L$6))*SIN(RADIANS(Insolation!$L$7))+SIN(RADIANS(E68))*COS(RADIANS(Insolation!$L$7))</f>
        <v>0.34932287405293211</v>
      </c>
      <c r="O68" s="46">
        <f t="shared" si="25"/>
        <v>0</v>
      </c>
      <c r="P68" s="46">
        <f t="shared" si="26"/>
        <v>0</v>
      </c>
      <c r="Q68" s="46">
        <f t="shared" si="27"/>
        <v>0</v>
      </c>
      <c r="R68" s="46">
        <f>$C$55*L68*((1+COS(RADIANS(Insolation!$L$7)))/2)</f>
        <v>0</v>
      </c>
      <c r="S68" s="46">
        <f t="shared" si="28"/>
        <v>0</v>
      </c>
      <c r="T68" s="46">
        <f t="shared" si="29"/>
        <v>0</v>
      </c>
      <c r="U68" s="46">
        <f t="shared" si="30"/>
        <v>0</v>
      </c>
      <c r="V68" s="46">
        <f t="shared" si="31"/>
        <v>0</v>
      </c>
      <c r="Y68" s="212">
        <v>17.5</v>
      </c>
      <c r="Z68" s="46">
        <f t="shared" si="32"/>
        <v>-3.5623970281702753</v>
      </c>
      <c r="AA68" s="207">
        <f t="shared" si="14"/>
        <v>-82.5</v>
      </c>
      <c r="AB68" s="46">
        <f t="shared" si="33"/>
        <v>-75.186774591572046</v>
      </c>
      <c r="AC68" s="46">
        <f t="shared" si="34"/>
        <v>-75.186774591572046</v>
      </c>
      <c r="AD68" s="46">
        <f t="shared" si="35"/>
        <v>255.18677459157203</v>
      </c>
      <c r="AE68" s="46">
        <f t="shared" si="102"/>
        <v>-104.81322540842797</v>
      </c>
      <c r="AF68" s="46">
        <f>ABS(1/SIN(RADIANS(Z68)))</f>
        <v>16.093857979891986</v>
      </c>
      <c r="AG68" s="46">
        <f t="shared" si="38"/>
        <v>0</v>
      </c>
      <c r="AH68" s="47">
        <f>COS(RADIANS(Z68))*COS(RADIANS(AB68-Insolation!$L$6))*SIN(RADIANS(0))+(SIN(RADIANS(Z68))*COS(RADIANS(0)))</f>
        <v>-6.2135505436261562E-2</v>
      </c>
      <c r="AI68" s="47">
        <f>COS(RADIANS(Z68))*COS(RADIANS(AB68-Insolation!$L$6))*SIN(RADIANS(Insolation!$L$7))+SIN(RADIANS(Z68))*COS(RADIANS(Insolation!$L$7))</f>
        <v>0.25517489672824506</v>
      </c>
      <c r="AJ68" s="46">
        <f t="shared" si="39"/>
        <v>0</v>
      </c>
      <c r="AK68" s="46">
        <f t="shared" si="40"/>
        <v>0</v>
      </c>
      <c r="AL68" s="46">
        <f t="shared" si="41"/>
        <v>0</v>
      </c>
      <c r="AM68" s="46">
        <f>$X$55*AG68*((1+COS(RADIANS(Insolation!$L$7)))/2)</f>
        <v>0</v>
      </c>
      <c r="AN68" s="46">
        <f t="shared" si="42"/>
        <v>0</v>
      </c>
      <c r="AO68" s="46">
        <f t="shared" si="43"/>
        <v>0</v>
      </c>
      <c r="AP68" s="46">
        <f t="shared" si="44"/>
        <v>0</v>
      </c>
      <c r="AQ68" s="46">
        <f t="shared" si="45"/>
        <v>0</v>
      </c>
      <c r="AT68" s="212">
        <v>17.5</v>
      </c>
      <c r="AU68" s="46">
        <f t="shared" si="46"/>
        <v>3.5919467836917938</v>
      </c>
      <c r="AV68" s="207">
        <f t="shared" si="15"/>
        <v>-82.5</v>
      </c>
      <c r="AW68" s="46">
        <f t="shared" si="47"/>
        <v>-82.836490648886652</v>
      </c>
      <c r="AX68" s="46">
        <f t="shared" si="48"/>
        <v>-82.836490648886652</v>
      </c>
      <c r="AY68" s="46">
        <f t="shared" si="49"/>
        <v>262.83649064888664</v>
      </c>
      <c r="AZ68" s="46">
        <f t="shared" si="103"/>
        <v>-97.163509351113362</v>
      </c>
      <c r="BA68" s="46">
        <f>ABS(1/SIN(RADIANS(AU68)))</f>
        <v>15.961630507310762</v>
      </c>
      <c r="BB68" s="46">
        <f t="shared" si="52"/>
        <v>93.753268069745261</v>
      </c>
      <c r="BC68" s="47">
        <f>COS(RADIANS(AU68))*COS(RADIANS(AW68-Insolation!$L$6))*SIN(RADIANS(0))+(SIN(RADIANS(AU68))*COS(RADIANS(0)))</f>
        <v>6.265024112304686E-2</v>
      </c>
      <c r="BD68" s="47">
        <f>COS(RADIANS(AU68))*COS(RADIANS(AW68-Insolation!$L$6))*SIN(RADIANS(Insolation!$L$7))+SIN(RADIANS(AU68))*COS(RADIANS(Insolation!$L$7))</f>
        <v>0.12445637792432587</v>
      </c>
      <c r="BE68" s="46">
        <f t="shared" si="53"/>
        <v>5.8736648506431903</v>
      </c>
      <c r="BF68" s="46">
        <f t="shared" si="54"/>
        <v>7.2835954209288634</v>
      </c>
      <c r="BG68" s="46">
        <f t="shared" si="55"/>
        <v>11.66819216252885</v>
      </c>
      <c r="BH68" s="46">
        <f>$AS$55*BB68*((1+COS(RADIANS(Insolation!$L$7)))/2)</f>
        <v>3.6417977104644317</v>
      </c>
      <c r="BI68" s="46">
        <f t="shared" si="56"/>
        <v>93.639825432712144</v>
      </c>
      <c r="BJ68" s="46">
        <f t="shared" si="57"/>
        <v>4.0484287966242745</v>
      </c>
      <c r="BK68" s="46">
        <f t="shared" si="58"/>
        <v>93.753268069745261</v>
      </c>
      <c r="BL68" s="46">
        <f t="shared" si="59"/>
        <v>3.8699572151463886</v>
      </c>
      <c r="BO68" s="212">
        <v>17.5</v>
      </c>
      <c r="BP68" s="46">
        <f t="shared" si="60"/>
        <v>11.859795714406513</v>
      </c>
      <c r="BQ68" s="207">
        <f t="shared" si="16"/>
        <v>-82.5</v>
      </c>
      <c r="BR68" s="46">
        <f t="shared" si="61"/>
        <v>-91.944702685803804</v>
      </c>
      <c r="BS68" s="46">
        <f t="shared" si="62"/>
        <v>-88.055297314196167</v>
      </c>
      <c r="BT68" s="46">
        <f t="shared" si="63"/>
        <v>268.0552973141962</v>
      </c>
      <c r="BU68" s="46">
        <f t="shared" si="104"/>
        <v>-91.944702685803804</v>
      </c>
      <c r="BV68" s="46">
        <f>ABS(1/SIN(RADIANS(BP68)))</f>
        <v>4.86576526964532</v>
      </c>
      <c r="BW68" s="46">
        <f t="shared" si="66"/>
        <v>483.47072189162287</v>
      </c>
      <c r="BX68" s="47">
        <f>COS(RADIANS(BP68))*COS(RADIANS(BR68-Insolation!$L$6))*SIN(RADIANS(0))+(SIN(RADIANS(BP68))*COS(RADIANS(0)))</f>
        <v>0.20551751771471971</v>
      </c>
      <c r="BY68" s="47">
        <f>COS(RADIANS(BP68))*COS(RADIANS(BR68-Insolation!$L$6))*SIN(RADIANS(Insolation!$L$7))+SIN(RADIANS(BP68))*COS(RADIANS(Insolation!$L$7))</f>
        <v>-3.3210553813958064E-2</v>
      </c>
      <c r="BZ68" s="46">
        <f t="shared" si="67"/>
        <v>99.361702650909933</v>
      </c>
      <c r="CA68" s="46">
        <f t="shared" si="68"/>
        <v>47.592177111818629</v>
      </c>
      <c r="CB68" s="46">
        <f t="shared" si="69"/>
        <v>0</v>
      </c>
      <c r="CC68" s="46">
        <f>$BN$55*BW68*((1+COS(RADIANS(Insolation!$L$7)))/2)</f>
        <v>23.796088555909314</v>
      </c>
      <c r="CD68" s="46">
        <f t="shared" si="70"/>
        <v>476.95821349340673</v>
      </c>
      <c r="CE68" s="46">
        <f t="shared" si="71"/>
        <v>24.811197509777337</v>
      </c>
      <c r="CF68" s="46">
        <f t="shared" si="72"/>
        <v>483.47072189162287</v>
      </c>
      <c r="CG68" s="46">
        <f t="shared" si="73"/>
        <v>28.686601607239446</v>
      </c>
      <c r="CJ68" s="212">
        <v>17.5</v>
      </c>
      <c r="CK68" s="46">
        <f t="shared" si="74"/>
        <v>18.000981209772402</v>
      </c>
      <c r="CL68" s="207">
        <f t="shared" si="17"/>
        <v>-82.5</v>
      </c>
      <c r="CM68" s="46">
        <f t="shared" si="75"/>
        <v>-99.283108562860775</v>
      </c>
      <c r="CN68" s="46">
        <f t="shared" si="76"/>
        <v>-80.716891437139196</v>
      </c>
      <c r="CO68" s="46">
        <f t="shared" si="77"/>
        <v>260.71689143713922</v>
      </c>
      <c r="CP68" s="46">
        <f t="shared" si="105"/>
        <v>-99.283108562860775</v>
      </c>
      <c r="CQ68" s="46">
        <f>ABS(1/SIN(RADIANS(CK68)))</f>
        <v>3.2358974255329427</v>
      </c>
      <c r="CR68" s="46">
        <f t="shared" si="80"/>
        <v>592.76150018712292</v>
      </c>
      <c r="CS68" s="47">
        <f>COS(RADIANS(CK68))*COS(RADIANS(CM68-Insolation!$L$6))*SIN(RADIANS(0))+(SIN(RADIANS(CK68))*COS(RADIANS(0)))</f>
        <v>0.30903328149695691</v>
      </c>
      <c r="CT68" s="47">
        <f>COS(RADIANS(CK68))*COS(RADIANS(CM68-Insolation!$L$6))*SIN(RADIANS(Insolation!$L$7))+SIN(RADIANS(CK68))*COS(RADIANS(Insolation!$L$7))</f>
        <v>-0.15341681006507324</v>
      </c>
      <c r="CU68" s="46">
        <f t="shared" si="81"/>
        <v>183.18303154788563</v>
      </c>
      <c r="CV68" s="46">
        <f t="shared" si="82"/>
        <v>69.749101846488685</v>
      </c>
      <c r="CW68" s="46">
        <f t="shared" si="83"/>
        <v>0</v>
      </c>
      <c r="CX68" s="46">
        <f>$CI$55*CR68*((1+COS(RADIANS(Insolation!$L$7)))/2)</f>
        <v>34.874550923244342</v>
      </c>
      <c r="CY68" s="46">
        <f t="shared" si="84"/>
        <v>561.16417735218636</v>
      </c>
      <c r="CZ68" s="46">
        <f t="shared" si="101"/>
        <v>34.393142471786888</v>
      </c>
      <c r="DA68" s="46">
        <f t="shared" si="85"/>
        <v>592.76150018712292</v>
      </c>
      <c r="DB68" s="46">
        <f t="shared" si="86"/>
        <v>45.651947835787269</v>
      </c>
      <c r="DE68" s="212">
        <v>17.5</v>
      </c>
      <c r="DF68" s="46">
        <f t="shared" si="87"/>
        <v>20.8651249945332</v>
      </c>
      <c r="DG68" s="207">
        <f t="shared" si="18"/>
        <v>-82.5</v>
      </c>
      <c r="DH68" s="46">
        <f t="shared" si="88"/>
        <v>-102.99509082482632</v>
      </c>
      <c r="DI68" s="46">
        <f t="shared" si="89"/>
        <v>-77.004909175173651</v>
      </c>
      <c r="DJ68" s="46">
        <f t="shared" si="90"/>
        <v>257.00490917517368</v>
      </c>
      <c r="DK68" s="46">
        <f t="shared" si="106"/>
        <v>-102.99509082482632</v>
      </c>
      <c r="DL68" s="46">
        <f>ABS(1/SIN(RADIANS(DF68)))</f>
        <v>2.8076535649916958</v>
      </c>
      <c r="DM68" s="46">
        <f t="shared" si="93"/>
        <v>610.86127376952822</v>
      </c>
      <c r="DN68" s="47">
        <f>COS(RADIANS(DF68))*COS(RADIANS(DH68-Insolation!$L$6))*SIN(RADIANS(0))+(SIN(RADIANS(DF68))*COS(RADIANS(0)))</f>
        <v>0.3561692982599004</v>
      </c>
      <c r="DO68" s="47">
        <f>COS(RADIANS(DF68))*COS(RADIANS(DH68-Insolation!$L$6))*SIN(RADIANS(Insolation!$L$7))+SIN(RADIANS(DF68))*COS(RADIANS(Insolation!$L$7))</f>
        <v>-0.21012107735113122</v>
      </c>
      <c r="DP68" s="46">
        <f t="shared" si="94"/>
        <v>217.57003121264177</v>
      </c>
      <c r="DQ68" s="46">
        <f t="shared" si="95"/>
        <v>80.19420552871216</v>
      </c>
      <c r="DR68" s="46">
        <f t="shared" si="96"/>
        <v>0</v>
      </c>
      <c r="DS68" s="46">
        <f>$DD$55*DM68*((1+COS(RADIANS(Insolation!$L$7)))/2)</f>
        <v>40.09710276435608</v>
      </c>
      <c r="DT68" s="46">
        <f t="shared" si="97"/>
        <v>560.98254024210348</v>
      </c>
      <c r="DU68" s="46">
        <f t="shared" si="98"/>
        <v>38.383550360498397</v>
      </c>
      <c r="DV68" s="46">
        <f t="shared" si="99"/>
        <v>610.86127376952822</v>
      </c>
      <c r="DW68" s="46">
        <f t="shared" si="100"/>
        <v>54.378459718191891</v>
      </c>
    </row>
    <row r="69" spans="3:127" x14ac:dyDescent="0.25">
      <c r="D69" s="212">
        <v>18</v>
      </c>
      <c r="E69" s="46">
        <f t="shared" si="12"/>
        <v>-14.216976427830033</v>
      </c>
      <c r="F69" s="207">
        <f t="shared" si="13"/>
        <v>-90</v>
      </c>
      <c r="G69" s="46">
        <f t="shared" si="19"/>
        <v>-74.013698609031266</v>
      </c>
      <c r="H69" s="46">
        <f t="shared" si="20"/>
        <v>-74.013698609031266</v>
      </c>
      <c r="I69" s="46">
        <f t="shared" si="21"/>
        <v>254.01369860903128</v>
      </c>
      <c r="J69" s="46">
        <f t="shared" si="22"/>
        <v>-105.98630139096872</v>
      </c>
      <c r="K69" s="46">
        <f t="shared" si="23"/>
        <v>4.0717504898428478</v>
      </c>
      <c r="L69" s="46">
        <f t="shared" si="24"/>
        <v>0</v>
      </c>
      <c r="M69" s="47">
        <f>COS(RADIANS(E69))*COS(RADIANS(G69-Insolation!$L$6))*SIN(RADIANS(0))+(SIN(RADIANS(E69))*COS(RADIANS(0)))</f>
        <v>-0.24559461649100106</v>
      </c>
      <c r="N69" s="47">
        <f>COS(RADIANS(E69))*COS(RADIANS(G69-Insolation!$L$6))*SIN(RADIANS(Insolation!$L$7))+SIN(RADIANS(E69))*COS(RADIANS(Insolation!$L$7))</f>
        <v>0.26697251412982753</v>
      </c>
      <c r="O69" s="46">
        <f t="shared" si="25"/>
        <v>0</v>
      </c>
      <c r="P69" s="46">
        <f t="shared" si="26"/>
        <v>0</v>
      </c>
      <c r="Q69" s="46">
        <f t="shared" si="27"/>
        <v>0</v>
      </c>
      <c r="R69" s="46">
        <f>$C$55*L69*((1+COS(RADIANS(Insolation!$L$7)))/2)</f>
        <v>0</v>
      </c>
      <c r="S69" s="46">
        <f t="shared" si="28"/>
        <v>0</v>
      </c>
      <c r="T69" s="46">
        <f t="shared" si="29"/>
        <v>0</v>
      </c>
      <c r="U69" s="46">
        <f t="shared" si="30"/>
        <v>0</v>
      </c>
      <c r="V69" s="46">
        <f t="shared" si="31"/>
        <v>0</v>
      </c>
      <c r="Y69" s="212">
        <v>18</v>
      </c>
      <c r="Z69" s="46">
        <f t="shared" si="32"/>
        <v>-8.9530502893945059</v>
      </c>
      <c r="AA69" s="207">
        <f t="shared" si="14"/>
        <v>-90</v>
      </c>
      <c r="AB69" s="46">
        <f t="shared" si="33"/>
        <v>-80.13902393275697</v>
      </c>
      <c r="AC69" s="46">
        <f t="shared" si="34"/>
        <v>-80.13902393275697</v>
      </c>
      <c r="AD69" s="46">
        <f t="shared" si="35"/>
        <v>260.13902393275697</v>
      </c>
      <c r="AE69" s="46">
        <f t="shared" si="102"/>
        <v>-99.86097606724303</v>
      </c>
      <c r="AF69" s="46">
        <f t="shared" si="37"/>
        <v>6.4256997523177368</v>
      </c>
      <c r="AG69" s="46">
        <f t="shared" si="38"/>
        <v>0</v>
      </c>
      <c r="AH69" s="47">
        <f>COS(RADIANS(Z69))*COS(RADIANS(AB69-Insolation!$L$6))*SIN(RADIANS(0))+(SIN(RADIANS(Z69))*COS(RADIANS(0)))</f>
        <v>-0.15562507408462434</v>
      </c>
      <c r="AI69" s="47">
        <f>COS(RADIANS(Z69))*COS(RADIANS(AB69-Insolation!$L$6))*SIN(RADIANS(Insolation!$L$7))+SIN(RADIANS(Z69))*COS(RADIANS(Insolation!$L$7))</f>
        <v>0.1691715310524132</v>
      </c>
      <c r="AJ69" s="46">
        <f t="shared" si="39"/>
        <v>0</v>
      </c>
      <c r="AK69" s="46">
        <f t="shared" si="40"/>
        <v>0</v>
      </c>
      <c r="AL69" s="46">
        <f t="shared" si="41"/>
        <v>0</v>
      </c>
      <c r="AM69" s="46">
        <f>$X$55*AG69*((1+COS(RADIANS(Insolation!$L$7)))/2)</f>
        <v>0</v>
      </c>
      <c r="AN69" s="46">
        <f t="shared" si="42"/>
        <v>0</v>
      </c>
      <c r="AO69" s="46">
        <f t="shared" si="43"/>
        <v>0</v>
      </c>
      <c r="AP69" s="46">
        <f t="shared" si="44"/>
        <v>0</v>
      </c>
      <c r="AQ69" s="46">
        <f t="shared" si="45"/>
        <v>0</v>
      </c>
      <c r="AT69" s="212">
        <v>18</v>
      </c>
      <c r="AU69" s="46">
        <f t="shared" si="46"/>
        <v>-1.9080384553884138</v>
      </c>
      <c r="AV69" s="207">
        <f t="shared" si="15"/>
        <v>-90</v>
      </c>
      <c r="AW69" s="46">
        <f t="shared" si="47"/>
        <v>-87.924654598380229</v>
      </c>
      <c r="AX69" s="46">
        <f t="shared" si="48"/>
        <v>-87.924654598380229</v>
      </c>
      <c r="AY69" s="46">
        <f t="shared" si="49"/>
        <v>267.92465459838024</v>
      </c>
      <c r="AZ69" s="46">
        <f t="shared" si="103"/>
        <v>-92.075345401619757</v>
      </c>
      <c r="BA69" s="46">
        <f t="shared" ref="BA69:BA74" si="107">ABS(1/SIN(RADIANS(AU69)))</f>
        <v>30.034180301224229</v>
      </c>
      <c r="BB69" s="46">
        <f t="shared" si="52"/>
        <v>0</v>
      </c>
      <c r="BC69" s="47">
        <f>COS(RADIANS(AU69))*COS(RADIANS(AW69-Insolation!$L$6))*SIN(RADIANS(0))+(SIN(RADIANS(AU69))*COS(RADIANS(0)))</f>
        <v>-3.3295398441729365E-2</v>
      </c>
      <c r="BD69" s="47">
        <f>COS(RADIANS(AU69))*COS(RADIANS(AW69-Insolation!$L$6))*SIN(RADIANS(Insolation!$L$7))+SIN(RADIANS(AU69))*COS(RADIANS(Insolation!$L$7))</f>
        <v>3.6193611887532548E-2</v>
      </c>
      <c r="BE69" s="46">
        <f t="shared" si="53"/>
        <v>0</v>
      </c>
      <c r="BF69" s="46">
        <f t="shared" si="54"/>
        <v>0</v>
      </c>
      <c r="BG69" s="46">
        <f t="shared" si="55"/>
        <v>0</v>
      </c>
      <c r="BH69" s="46">
        <f>$AS$55*BB69*((1+COS(RADIANS(Insolation!$L$7)))/2)</f>
        <v>0</v>
      </c>
      <c r="BI69" s="46">
        <f t="shared" si="56"/>
        <v>0</v>
      </c>
      <c r="BJ69" s="46">
        <f t="shared" si="57"/>
        <v>0</v>
      </c>
      <c r="BK69" s="46">
        <f t="shared" si="58"/>
        <v>0</v>
      </c>
      <c r="BL69" s="46">
        <f t="shared" si="59"/>
        <v>0</v>
      </c>
      <c r="BO69" s="212">
        <v>18</v>
      </c>
      <c r="BP69" s="46">
        <f t="shared" si="60"/>
        <v>6.3585300660539854</v>
      </c>
      <c r="BQ69" s="207">
        <f t="shared" si="16"/>
        <v>-90</v>
      </c>
      <c r="BR69" s="46">
        <f t="shared" si="61"/>
        <v>-96.957614722340168</v>
      </c>
      <c r="BS69" s="46">
        <f t="shared" si="62"/>
        <v>-83.042385277659818</v>
      </c>
      <c r="BT69" s="46">
        <f t="shared" si="63"/>
        <v>263.04238527765983</v>
      </c>
      <c r="BU69" s="46">
        <f t="shared" si="104"/>
        <v>-96.957614722340168</v>
      </c>
      <c r="BV69" s="46">
        <f t="shared" ref="BV69:BV74" si="108">ABS(1/SIN(RADIANS(BP69)))</f>
        <v>9.0293757925206375</v>
      </c>
      <c r="BW69" s="46">
        <f t="shared" si="66"/>
        <v>231.36468524283646</v>
      </c>
      <c r="BX69" s="47">
        <f>COS(RADIANS(BP69))*COS(RADIANS(BR69-Insolation!$L$6))*SIN(RADIANS(0))+(SIN(RADIANS(BP69))*COS(RADIANS(0)))</f>
        <v>0.11074962688210814</v>
      </c>
      <c r="BY69" s="47">
        <f>COS(RADIANS(BP69))*COS(RADIANS(BR69-Insolation!$L$6))*SIN(RADIANS(Insolation!$L$7))+SIN(RADIANS(BP69))*COS(RADIANS(Insolation!$L$7))</f>
        <v>-0.12038987967287235</v>
      </c>
      <c r="BZ69" s="46">
        <f t="shared" si="67"/>
        <v>25.623552564340528</v>
      </c>
      <c r="CA69" s="46">
        <f t="shared" si="68"/>
        <v>22.775213842143586</v>
      </c>
      <c r="CB69" s="46">
        <f t="shared" si="69"/>
        <v>0</v>
      </c>
      <c r="CC69" s="46">
        <f>$BN$55*BW69*((1+COS(RADIANS(Insolation!$L$7)))/2)</f>
        <v>11.387606921071793</v>
      </c>
      <c r="CD69" s="46">
        <f t="shared" si="70"/>
        <v>228.24812742978159</v>
      </c>
      <c r="CE69" s="46">
        <f t="shared" si="71"/>
        <v>10.780438994381182</v>
      </c>
      <c r="CF69" s="46">
        <f t="shared" si="72"/>
        <v>231.36468524283646</v>
      </c>
      <c r="CG69" s="46">
        <f t="shared" si="73"/>
        <v>12.648780138660607</v>
      </c>
      <c r="CJ69" s="212">
        <v>18</v>
      </c>
      <c r="CK69" s="46">
        <f t="shared" si="74"/>
        <v>12.596992346674851</v>
      </c>
      <c r="CL69" s="207">
        <f t="shared" si="17"/>
        <v>-90</v>
      </c>
      <c r="CM69" s="46">
        <f t="shared" si="75"/>
        <v>-104.05915432582222</v>
      </c>
      <c r="CN69" s="46">
        <f t="shared" si="76"/>
        <v>-75.94084567417778</v>
      </c>
      <c r="CO69" s="46">
        <f t="shared" si="77"/>
        <v>255.94084567417778</v>
      </c>
      <c r="CP69" s="46">
        <f t="shared" si="105"/>
        <v>-104.05915432582222</v>
      </c>
      <c r="CQ69" s="46">
        <f t="shared" ref="CQ69:CQ74" si="109">ABS(1/SIN(RADIANS(CK69)))</f>
        <v>4.5852206666999455</v>
      </c>
      <c r="CR69" s="46">
        <f t="shared" si="80"/>
        <v>456.3438796909474</v>
      </c>
      <c r="CS69" s="47">
        <f>COS(RADIANS(CK69))*COS(RADIANS(CM69-Insolation!$L$6))*SIN(RADIANS(0))+(SIN(RADIANS(CK69))*COS(RADIANS(0)))</f>
        <v>0.21809201185506205</v>
      </c>
      <c r="CT69" s="47">
        <f>COS(RADIANS(CK69))*COS(RADIANS(CM69-Insolation!$L$6))*SIN(RADIANS(Insolation!$L$7))+SIN(RADIANS(CK69))*COS(RADIANS(Insolation!$L$7))</f>
        <v>-0.23707593247961781</v>
      </c>
      <c r="CU69" s="46">
        <f t="shared" si="81"/>
        <v>99.524954819543112</v>
      </c>
      <c r="CV69" s="46">
        <f t="shared" si="82"/>
        <v>53.697103694382498</v>
      </c>
      <c r="CW69" s="46">
        <f t="shared" si="83"/>
        <v>0</v>
      </c>
      <c r="CX69" s="46">
        <f>$CI$55*CR69*((1+COS(RADIANS(Insolation!$L$7)))/2)</f>
        <v>26.848551847191249</v>
      </c>
      <c r="CY69" s="46">
        <f t="shared" si="84"/>
        <v>432.01833748587762</v>
      </c>
      <c r="CZ69" s="46">
        <f t="shared" si="101"/>
        <v>23.951289690846334</v>
      </c>
      <c r="DA69" s="46">
        <f t="shared" si="85"/>
        <v>456.3438796909474</v>
      </c>
      <c r="DB69" s="46">
        <f t="shared" si="86"/>
        <v>32.704006534940135</v>
      </c>
      <c r="DE69" s="212">
        <v>18</v>
      </c>
      <c r="DF69" s="46">
        <f t="shared" si="87"/>
        <v>15.542386139684645</v>
      </c>
      <c r="DG69" s="207">
        <f t="shared" si="18"/>
        <v>-90</v>
      </c>
      <c r="DH69" s="46">
        <f t="shared" si="88"/>
        <v>-107.59763741858691</v>
      </c>
      <c r="DI69" s="46">
        <f t="shared" si="89"/>
        <v>-72.402362581413087</v>
      </c>
      <c r="DJ69" s="46">
        <f t="shared" si="90"/>
        <v>252.40236258141309</v>
      </c>
      <c r="DK69" s="46">
        <f t="shared" si="106"/>
        <v>-107.59763741858691</v>
      </c>
      <c r="DL69" s="46">
        <f t="shared" ref="DL69:DL74" si="110">ABS(1/SIN(RADIANS(DF69)))</f>
        <v>3.7320231913298265</v>
      </c>
      <c r="DM69" s="46">
        <f t="shared" si="93"/>
        <v>505.06392725945642</v>
      </c>
      <c r="DN69" s="47">
        <f>COS(RADIANS(DF69))*COS(RADIANS(DH69-Insolation!$L$6))*SIN(RADIANS(0))+(SIN(RADIANS(DF69))*COS(RADIANS(0)))</f>
        <v>0.26795117520255052</v>
      </c>
      <c r="DO69" s="47">
        <f>COS(RADIANS(DF69))*COS(RADIANS(DH69-Insolation!$L$6))*SIN(RADIANS(Insolation!$L$7))+SIN(RADIANS(DF69))*COS(RADIANS(Insolation!$L$7))</f>
        <v>-0.29127510989430816</v>
      </c>
      <c r="DP69" s="46">
        <f t="shared" si="94"/>
        <v>135.33247286158684</v>
      </c>
      <c r="DQ69" s="46">
        <f t="shared" si="95"/>
        <v>66.305071424555265</v>
      </c>
      <c r="DR69" s="46">
        <f t="shared" si="96"/>
        <v>0</v>
      </c>
      <c r="DS69" s="46">
        <f>$DD$55*DM69*((1+COS(RADIANS(Insolation!$L$7)))/2)</f>
        <v>33.152535712277633</v>
      </c>
      <c r="DT69" s="46">
        <f t="shared" si="97"/>
        <v>463.82387796539405</v>
      </c>
      <c r="DU69" s="46">
        <f t="shared" si="98"/>
        <v>28.669258743082686</v>
      </c>
      <c r="DV69" s="46">
        <f t="shared" si="99"/>
        <v>505.06392725945642</v>
      </c>
      <c r="DW69" s="46">
        <f t="shared" si="100"/>
        <v>42.035796617326959</v>
      </c>
    </row>
    <row r="70" spans="3:127" x14ac:dyDescent="0.25">
      <c r="D70" s="212">
        <v>18.5</v>
      </c>
      <c r="E70" s="46">
        <f t="shared" si="12"/>
        <v>-19.579421832378088</v>
      </c>
      <c r="F70" s="207">
        <f t="shared" si="13"/>
        <v>-97.5</v>
      </c>
      <c r="G70" s="46">
        <f t="shared" si="19"/>
        <v>-78.69962586477547</v>
      </c>
      <c r="H70" s="46">
        <f t="shared" si="20"/>
        <v>-78.69962586477547</v>
      </c>
      <c r="I70" s="46">
        <f t="shared" si="21"/>
        <v>258.6996258647755</v>
      </c>
      <c r="J70" s="46">
        <f t="shared" si="22"/>
        <v>-101.3003741352245</v>
      </c>
      <c r="K70" s="46">
        <f t="shared" si="23"/>
        <v>2.9840662636505639</v>
      </c>
      <c r="L70" s="46">
        <f t="shared" si="24"/>
        <v>0</v>
      </c>
      <c r="M70" s="47">
        <f>COS(RADIANS(E70))*COS(RADIANS(G70-Insolation!$L$6))*SIN(RADIANS(0))+(SIN(RADIANS(E70))*COS(RADIANS(0)))</f>
        <v>-0.33511320180157389</v>
      </c>
      <c r="N70" s="47">
        <f>COS(RADIANS(E70))*COS(RADIANS(G70-Insolation!$L$6))*SIN(RADIANS(Insolation!$L$7))+SIN(RADIANS(E70))*COS(RADIANS(Insolation!$L$7))</f>
        <v>0.18462215420672465</v>
      </c>
      <c r="O70" s="46">
        <f t="shared" si="25"/>
        <v>0</v>
      </c>
      <c r="P70" s="46">
        <f t="shared" si="26"/>
        <v>0</v>
      </c>
      <c r="Q70" s="46">
        <f t="shared" si="27"/>
        <v>0</v>
      </c>
      <c r="R70" s="46">
        <f>$C$55*L70*((1+COS(RADIANS(Insolation!$L$7)))/2)</f>
        <v>0</v>
      </c>
      <c r="S70" s="46">
        <f t="shared" si="28"/>
        <v>0</v>
      </c>
      <c r="T70" s="46">
        <f t="shared" si="29"/>
        <v>0</v>
      </c>
      <c r="U70" s="46">
        <f t="shared" si="30"/>
        <v>0</v>
      </c>
      <c r="V70" s="46">
        <f t="shared" si="31"/>
        <v>0</v>
      </c>
      <c r="Y70" s="212">
        <v>18.5</v>
      </c>
      <c r="Z70" s="46">
        <f t="shared" si="32"/>
        <v>-14.425127499009745</v>
      </c>
      <c r="AA70" s="207">
        <f t="shared" si="14"/>
        <v>-97.5</v>
      </c>
      <c r="AB70" s="46">
        <f t="shared" si="33"/>
        <v>-85.073630000199444</v>
      </c>
      <c r="AC70" s="46">
        <f t="shared" si="34"/>
        <v>-85.073630000199444</v>
      </c>
      <c r="AD70" s="46">
        <f t="shared" si="35"/>
        <v>265.07363000019944</v>
      </c>
      <c r="AE70" s="46">
        <f t="shared" si="102"/>
        <v>-94.926369999800556</v>
      </c>
      <c r="AF70" s="46">
        <f t="shared" si="37"/>
        <v>4.014216061445441</v>
      </c>
      <c r="AG70" s="46">
        <f t="shared" si="38"/>
        <v>0</v>
      </c>
      <c r="AH70" s="47">
        <f>COS(RADIANS(Z70))*COS(RADIANS(AB70-Insolation!$L$6))*SIN(RADIANS(0))+(SIN(RADIANS(Z70))*COS(RADIANS(0)))</f>
        <v>-0.2491146427329872</v>
      </c>
      <c r="AI70" s="47">
        <f>COS(RADIANS(Z70))*COS(RADIANS(AB70-Insolation!$L$6))*SIN(RADIANS(Insolation!$L$7))+SIN(RADIANS(Z70))*COS(RADIANS(Insolation!$L$7))</f>
        <v>8.316816537658199E-2</v>
      </c>
      <c r="AJ70" s="46">
        <f t="shared" si="39"/>
        <v>0</v>
      </c>
      <c r="AK70" s="46">
        <f t="shared" si="40"/>
        <v>0</v>
      </c>
      <c r="AL70" s="46">
        <f t="shared" si="41"/>
        <v>0</v>
      </c>
      <c r="AM70" s="46">
        <f>$X$55*AG70*((1+COS(RADIANS(Insolation!$L$7)))/2)</f>
        <v>0</v>
      </c>
      <c r="AN70" s="46">
        <f t="shared" si="42"/>
        <v>0</v>
      </c>
      <c r="AO70" s="46">
        <f t="shared" si="43"/>
        <v>0</v>
      </c>
      <c r="AP70" s="46">
        <f t="shared" si="44"/>
        <v>0</v>
      </c>
      <c r="AQ70" s="46">
        <f t="shared" si="45"/>
        <v>0</v>
      </c>
      <c r="AT70" s="212">
        <v>18.5</v>
      </c>
      <c r="AU70" s="46">
        <f t="shared" si="46"/>
        <v>-7.4257370187068297</v>
      </c>
      <c r="AV70" s="207">
        <f t="shared" si="15"/>
        <v>-97.5</v>
      </c>
      <c r="AW70" s="46">
        <f t="shared" si="47"/>
        <v>-93.009959353968839</v>
      </c>
      <c r="AX70" s="46">
        <f t="shared" si="48"/>
        <v>-86.99004064603119</v>
      </c>
      <c r="AY70" s="46">
        <f t="shared" si="49"/>
        <v>266.99004064603116</v>
      </c>
      <c r="AZ70" s="46">
        <f t="shared" si="103"/>
        <v>-93.009959353968839</v>
      </c>
      <c r="BA70" s="46">
        <f t="shared" si="107"/>
        <v>7.7374804119854179</v>
      </c>
      <c r="BB70" s="46">
        <f t="shared" si="52"/>
        <v>0</v>
      </c>
      <c r="BC70" s="47">
        <f>COS(RADIANS(AU70))*COS(RADIANS(AW70-Insolation!$L$6))*SIN(RADIANS(0))+(SIN(RADIANS(AU70))*COS(RADIANS(0)))</f>
        <v>-0.1292410380065056</v>
      </c>
      <c r="BD70" s="47">
        <f>COS(RADIANS(AU70))*COS(RADIANS(AW70-Insolation!$L$6))*SIN(RADIANS(Insolation!$L$7))+SIN(RADIANS(AU70))*COS(RADIANS(Insolation!$L$7))</f>
        <v>-5.2069154149262449E-2</v>
      </c>
      <c r="BE70" s="46">
        <f t="shared" si="53"/>
        <v>0</v>
      </c>
      <c r="BF70" s="46">
        <f t="shared" si="54"/>
        <v>0</v>
      </c>
      <c r="BG70" s="46">
        <f t="shared" si="55"/>
        <v>0</v>
      </c>
      <c r="BH70" s="46">
        <f>$AS$55*BB70*((1+COS(RADIANS(Insolation!$L$7)))/2)</f>
        <v>0</v>
      </c>
      <c r="BI70" s="46">
        <f t="shared" si="56"/>
        <v>0</v>
      </c>
      <c r="BJ70" s="46">
        <f t="shared" si="57"/>
        <v>0</v>
      </c>
      <c r="BK70" s="46">
        <f t="shared" si="58"/>
        <v>0</v>
      </c>
      <c r="BL70" s="46">
        <f t="shared" si="59"/>
        <v>0</v>
      </c>
      <c r="BO70" s="212">
        <v>18.5</v>
      </c>
      <c r="BP70" s="46">
        <f t="shared" si="60"/>
        <v>0.91572500953558134</v>
      </c>
      <c r="BQ70" s="207">
        <f t="shared" si="16"/>
        <v>-97.5</v>
      </c>
      <c r="BR70" s="46">
        <f t="shared" si="61"/>
        <v>-101.98149232368053</v>
      </c>
      <c r="BS70" s="46">
        <f t="shared" si="62"/>
        <v>-78.018507676319459</v>
      </c>
      <c r="BT70" s="46">
        <f t="shared" si="63"/>
        <v>258.01850767631947</v>
      </c>
      <c r="BU70" s="46">
        <f t="shared" si="104"/>
        <v>-101.98149232368053</v>
      </c>
      <c r="BV70" s="46">
        <f t="shared" si="108"/>
        <v>62.571425088171324</v>
      </c>
      <c r="BW70" s="46">
        <f t="shared" si="66"/>
        <v>1.7713698892625376E-2</v>
      </c>
      <c r="BX70" s="47">
        <f>COS(RADIANS(BP70))*COS(RADIANS(BR70-Insolation!$L$6))*SIN(RADIANS(0))+(SIN(RADIANS(BP70))*COS(RADIANS(0)))</f>
        <v>1.5981736049496542E-2</v>
      </c>
      <c r="BY70" s="47">
        <f>COS(RADIANS(BP70))*COS(RADIANS(BR70-Insolation!$L$6))*SIN(RADIANS(Insolation!$L$7))+SIN(RADIANS(BP70))*COS(RADIANS(Insolation!$L$7))</f>
        <v>-0.20756920553178085</v>
      </c>
      <c r="BZ70" s="46">
        <f t="shared" si="67"/>
        <v>2.8309566016219794E-4</v>
      </c>
      <c r="CA70" s="46">
        <f t="shared" si="68"/>
        <v>1.7437115772074216E-3</v>
      </c>
      <c r="CB70" s="46">
        <f t="shared" si="69"/>
        <v>0</v>
      </c>
      <c r="CC70" s="46">
        <f>$BN$55*BW70*((1+COS(RADIANS(Insolation!$L$7)))/2)</f>
        <v>8.7185578860371081E-4</v>
      </c>
      <c r="CD70" s="46">
        <f t="shared" si="70"/>
        <v>1.7475089587908152E-2</v>
      </c>
      <c r="CE70" s="46">
        <f t="shared" si="71"/>
        <v>7.4299981411345053E-4</v>
      </c>
      <c r="CF70" s="46">
        <f t="shared" si="72"/>
        <v>1.7713698892625376E-2</v>
      </c>
      <c r="CG70" s="46">
        <f t="shared" si="73"/>
        <v>8.8578955769040091E-4</v>
      </c>
      <c r="CJ70" s="212">
        <v>18.5</v>
      </c>
      <c r="CK70" s="46">
        <f t="shared" si="74"/>
        <v>7.3049754486719989</v>
      </c>
      <c r="CL70" s="207">
        <f t="shared" si="17"/>
        <v>-97.5</v>
      </c>
      <c r="CM70" s="46">
        <f t="shared" si="75"/>
        <v>-108.86622350302548</v>
      </c>
      <c r="CN70" s="46">
        <f t="shared" si="76"/>
        <v>-71.133776496974505</v>
      </c>
      <c r="CO70" s="46">
        <f t="shared" si="77"/>
        <v>251.13377649697452</v>
      </c>
      <c r="CP70" s="46">
        <f t="shared" si="105"/>
        <v>-108.86622350302548</v>
      </c>
      <c r="CQ70" s="46">
        <f t="shared" si="109"/>
        <v>7.8646807922167525</v>
      </c>
      <c r="CR70" s="46">
        <f t="shared" si="80"/>
        <v>241.67018679963061</v>
      </c>
      <c r="CS70" s="47">
        <f>COS(RADIANS(CK70))*COS(RADIANS(CM70-Insolation!$L$6))*SIN(RADIANS(0))+(SIN(RADIANS(CK70))*COS(RADIANS(0)))</f>
        <v>0.12715074221316722</v>
      </c>
      <c r="CT70" s="47">
        <f>COS(RADIANS(CK70))*COS(RADIANS(CM70-Insolation!$L$6))*SIN(RADIANS(Insolation!$L$7))+SIN(RADIANS(CK70))*COS(RADIANS(Insolation!$L$7))</f>
        <v>-0.32073505489416149</v>
      </c>
      <c r="CU70" s="46">
        <f t="shared" si="81"/>
        <v>30.728543622367798</v>
      </c>
      <c r="CV70" s="46">
        <f t="shared" si="82"/>
        <v>28.436864518067033</v>
      </c>
      <c r="CW70" s="46">
        <f t="shared" si="83"/>
        <v>0</v>
      </c>
      <c r="CX70" s="46">
        <f>$CI$55*CR70*((1+COS(RADIANS(Insolation!$L$7)))/2)</f>
        <v>14.218432259033516</v>
      </c>
      <c r="CY70" s="46">
        <f t="shared" si="84"/>
        <v>228.78788774769021</v>
      </c>
      <c r="CZ70" s="46">
        <f t="shared" si="101"/>
        <v>11.386908245786756</v>
      </c>
      <c r="DA70" s="46">
        <f t="shared" si="85"/>
        <v>241.67018679963061</v>
      </c>
      <c r="DB70" s="46">
        <f t="shared" si="86"/>
        <v>16.026316473877266</v>
      </c>
      <c r="DE70" s="212">
        <v>18.5</v>
      </c>
      <c r="DF70" s="46">
        <f t="shared" si="87"/>
        <v>10.354211238811722</v>
      </c>
      <c r="DG70" s="207">
        <f t="shared" si="18"/>
        <v>-97.5</v>
      </c>
      <c r="DH70" s="46">
        <f t="shared" si="88"/>
        <v>-112.24664324838784</v>
      </c>
      <c r="DI70" s="46">
        <f t="shared" si="89"/>
        <v>-67.753356751612145</v>
      </c>
      <c r="DJ70" s="46">
        <f t="shared" si="90"/>
        <v>247.75335675161216</v>
      </c>
      <c r="DK70" s="46">
        <f t="shared" si="106"/>
        <v>-112.24664324838784</v>
      </c>
      <c r="DL70" s="46">
        <f t="shared" si="110"/>
        <v>5.5638069240160215</v>
      </c>
      <c r="DM70" s="46">
        <f t="shared" si="93"/>
        <v>346.4726142809904</v>
      </c>
      <c r="DN70" s="47">
        <f>COS(RADIANS(DF70))*COS(RADIANS(DH70-Insolation!$L$6))*SIN(RADIANS(0))+(SIN(RADIANS(DF70))*COS(RADIANS(0)))</f>
        <v>0.17973305214520063</v>
      </c>
      <c r="DO70" s="47">
        <f>COS(RADIANS(DF70))*COS(RADIANS(DH70-Insolation!$L$6))*SIN(RADIANS(Insolation!$L$7))+SIN(RADIANS(DF70))*COS(RADIANS(Insolation!$L$7))</f>
        <v>-0.37242914243748493</v>
      </c>
      <c r="DP70" s="46">
        <f t="shared" si="94"/>
        <v>62.272580449449237</v>
      </c>
      <c r="DQ70" s="46">
        <f t="shared" si="95"/>
        <v>45.485116233122014</v>
      </c>
      <c r="DR70" s="46">
        <f t="shared" si="96"/>
        <v>0</v>
      </c>
      <c r="DS70" s="46">
        <f>$DD$55*DM70*((1+COS(RADIANS(Insolation!$L$7)))/2)</f>
        <v>22.742558116561007</v>
      </c>
      <c r="DT70" s="46">
        <f t="shared" si="97"/>
        <v>318.18204170036233</v>
      </c>
      <c r="DU70" s="46">
        <f t="shared" si="98"/>
        <v>17.641990449008997</v>
      </c>
      <c r="DV70" s="46">
        <f t="shared" si="99"/>
        <v>346.4726142809904</v>
      </c>
      <c r="DW70" s="46">
        <f t="shared" si="100"/>
        <v>26.830147500440123</v>
      </c>
    </row>
    <row r="71" spans="3:127" x14ac:dyDescent="0.25">
      <c r="D71" s="212">
        <v>19</v>
      </c>
      <c r="E71" s="46">
        <f t="shared" si="12"/>
        <v>-25.03046501761073</v>
      </c>
      <c r="F71" s="207">
        <f t="shared" si="13"/>
        <v>-105</v>
      </c>
      <c r="G71" s="46">
        <f t="shared" si="19"/>
        <v>-83.429393145405584</v>
      </c>
      <c r="H71" s="46">
        <f t="shared" si="20"/>
        <v>-83.429393145405584</v>
      </c>
      <c r="I71" s="46">
        <f t="shared" si="21"/>
        <v>263.42939314540558</v>
      </c>
      <c r="J71" s="46">
        <f t="shared" si="22"/>
        <v>-96.570606854594416</v>
      </c>
      <c r="K71" s="46">
        <f t="shared" si="23"/>
        <v>2.3635068903519749</v>
      </c>
      <c r="L71" s="46">
        <f t="shared" si="24"/>
        <v>0</v>
      </c>
      <c r="M71" s="47">
        <f>COS(RADIANS(E71))*COS(RADIANS(G71-Insolation!$L$6))*SIN(RADIANS(0))+(SIN(RADIANS(E71))*COS(RADIANS(0)))</f>
        <v>-0.4231000992982421</v>
      </c>
      <c r="N71" s="47">
        <f>COS(RADIANS(E71))*COS(RADIANS(G71-Insolation!$L$6))*SIN(RADIANS(Insolation!$L$7))+SIN(RADIANS(E71))*COS(RADIANS(Insolation!$L$7))</f>
        <v>0.10368083177373877</v>
      </c>
      <c r="O71" s="46">
        <f t="shared" si="25"/>
        <v>0</v>
      </c>
      <c r="P71" s="46">
        <f t="shared" si="26"/>
        <v>0</v>
      </c>
      <c r="Q71" s="46">
        <f t="shared" si="27"/>
        <v>0</v>
      </c>
      <c r="R71" s="46">
        <f>$C$55*L71*((1+COS(RADIANS(Insolation!$L$7)))/2)</f>
        <v>0</v>
      </c>
      <c r="S71" s="46">
        <f t="shared" si="28"/>
        <v>0</v>
      </c>
      <c r="T71" s="46">
        <f t="shared" si="29"/>
        <v>0</v>
      </c>
      <c r="U71" s="46">
        <f t="shared" si="30"/>
        <v>0</v>
      </c>
      <c r="V71" s="46">
        <f t="shared" si="31"/>
        <v>0</v>
      </c>
      <c r="Y71" s="212">
        <v>19</v>
      </c>
      <c r="Z71" s="46">
        <f t="shared" si="32"/>
        <v>-19.938090261320426</v>
      </c>
      <c r="AA71" s="207">
        <f t="shared" si="14"/>
        <v>-105</v>
      </c>
      <c r="AB71" s="46">
        <f t="shared" si="33"/>
        <v>-90.083113619723179</v>
      </c>
      <c r="AC71" s="46">
        <f t="shared" si="34"/>
        <v>-89.916886380276836</v>
      </c>
      <c r="AD71" s="46">
        <f t="shared" si="35"/>
        <v>269.91688638027682</v>
      </c>
      <c r="AE71" s="46">
        <f t="shared" si="102"/>
        <v>-90.083113619723179</v>
      </c>
      <c r="AF71" s="46">
        <f t="shared" si="37"/>
        <v>2.9325119419330234</v>
      </c>
      <c r="AG71" s="46">
        <f t="shared" si="38"/>
        <v>0</v>
      </c>
      <c r="AH71" s="47">
        <f>COS(RADIANS(Z71))*COS(RADIANS(AB71-Insolation!$L$6))*SIN(RADIANS(0))+(SIN(RADIANS(Z71))*COS(RADIANS(0)))</f>
        <v>-0.34100457894157121</v>
      </c>
      <c r="AI71" s="47">
        <f>COS(RADIANS(Z71))*COS(RADIANS(AB71-Insolation!$L$6))*SIN(RADIANS(Insolation!$L$7))+SIN(RADIANS(Z71))*COS(RADIANS(Insolation!$L$7))</f>
        <v>-1.3636588678931541E-3</v>
      </c>
      <c r="AJ71" s="46">
        <f t="shared" si="39"/>
        <v>0</v>
      </c>
      <c r="AK71" s="46">
        <f t="shared" si="40"/>
        <v>0</v>
      </c>
      <c r="AL71" s="46">
        <f t="shared" si="41"/>
        <v>0</v>
      </c>
      <c r="AM71" s="46">
        <f>$X$55*AG71*((1+COS(RADIANS(Insolation!$L$7)))/2)</f>
        <v>0</v>
      </c>
      <c r="AN71" s="46">
        <f t="shared" si="42"/>
        <v>0</v>
      </c>
      <c r="AO71" s="46">
        <f t="shared" si="43"/>
        <v>0</v>
      </c>
      <c r="AP71" s="46">
        <f t="shared" si="44"/>
        <v>0</v>
      </c>
      <c r="AQ71" s="46">
        <f t="shared" si="45"/>
        <v>0</v>
      </c>
      <c r="AT71" s="212">
        <v>19</v>
      </c>
      <c r="AU71" s="46">
        <f t="shared" si="46"/>
        <v>-12.917334913874289</v>
      </c>
      <c r="AV71" s="207">
        <f t="shared" si="15"/>
        <v>-105</v>
      </c>
      <c r="AW71" s="46">
        <f t="shared" si="47"/>
        <v>-98.188253325779499</v>
      </c>
      <c r="AX71" s="46">
        <f t="shared" si="48"/>
        <v>-81.811746674220501</v>
      </c>
      <c r="AY71" s="46">
        <f t="shared" si="49"/>
        <v>261.8117466742205</v>
      </c>
      <c r="AZ71" s="46">
        <f t="shared" si="103"/>
        <v>-98.188253325779499</v>
      </c>
      <c r="BA71" s="46">
        <f t="shared" si="107"/>
        <v>4.4733718298954299</v>
      </c>
      <c r="BB71" s="46">
        <f t="shared" si="52"/>
        <v>0</v>
      </c>
      <c r="BC71" s="47">
        <f>COS(RADIANS(AU71))*COS(RADIANS(AW71-Insolation!$L$6))*SIN(RADIANS(0))+(SIN(RADIANS(AU71))*COS(RADIANS(0)))</f>
        <v>-0.2235450210771717</v>
      </c>
      <c r="BD71" s="47">
        <f>COS(RADIANS(AU71))*COS(RADIANS(AW71-Insolation!$L$6))*SIN(RADIANS(Insolation!$L$7))+SIN(RADIANS(AU71))*COS(RADIANS(Insolation!$L$7))</f>
        <v>-0.13882171978809882</v>
      </c>
      <c r="BE71" s="46">
        <f t="shared" si="53"/>
        <v>0</v>
      </c>
      <c r="BF71" s="46">
        <f t="shared" si="54"/>
        <v>0</v>
      </c>
      <c r="BG71" s="46">
        <f t="shared" si="55"/>
        <v>0</v>
      </c>
      <c r="BH71" s="46">
        <f>$AS$55*BB71*((1+COS(RADIANS(Insolation!$L$7)))/2)</f>
        <v>0</v>
      </c>
      <c r="BI71" s="46">
        <f t="shared" si="56"/>
        <v>0</v>
      </c>
      <c r="BJ71" s="46">
        <f t="shared" si="57"/>
        <v>0</v>
      </c>
      <c r="BK71" s="46">
        <f t="shared" si="58"/>
        <v>0</v>
      </c>
      <c r="BL71" s="46">
        <f t="shared" si="59"/>
        <v>0</v>
      </c>
      <c r="BO71" s="212">
        <v>19</v>
      </c>
      <c r="BP71" s="46">
        <f t="shared" si="60"/>
        <v>-4.4256081601392347</v>
      </c>
      <c r="BQ71" s="207">
        <f t="shared" si="16"/>
        <v>-105</v>
      </c>
      <c r="BR71" s="46">
        <f t="shared" si="61"/>
        <v>-107.105607657863</v>
      </c>
      <c r="BS71" s="46">
        <f t="shared" si="62"/>
        <v>-72.894392342136982</v>
      </c>
      <c r="BT71" s="46">
        <f t="shared" si="63"/>
        <v>252.894392342137</v>
      </c>
      <c r="BU71" s="46">
        <f t="shared" si="104"/>
        <v>-107.105607657863</v>
      </c>
      <c r="BV71" s="46">
        <f t="shared" si="108"/>
        <v>12.959301977567256</v>
      </c>
      <c r="BW71" s="46">
        <f t="shared" si="66"/>
        <v>0</v>
      </c>
      <c r="BX71" s="47">
        <f>COS(RADIANS(BP71))*COS(RADIANS(BR71-Insolation!$L$6))*SIN(RADIANS(0))+(SIN(RADIANS(BP71))*COS(RADIANS(0)))</f>
        <v>-7.7164649896345874E-2</v>
      </c>
      <c r="BY71" s="47">
        <f>COS(RADIANS(BP71))*COS(RADIANS(BR71-Insolation!$L$6))*SIN(RADIANS(Insolation!$L$7))+SIN(RADIANS(BP71))*COS(RADIANS(Insolation!$L$7))</f>
        <v>-0.29325686895456671</v>
      </c>
      <c r="BZ71" s="46">
        <f t="shared" si="67"/>
        <v>0</v>
      </c>
      <c r="CA71" s="46">
        <f t="shared" si="68"/>
        <v>0</v>
      </c>
      <c r="CB71" s="46">
        <f t="shared" si="69"/>
        <v>0</v>
      </c>
      <c r="CC71" s="46">
        <f>$BN$55*BW71*((1+COS(RADIANS(Insolation!$L$7)))/2)</f>
        <v>0</v>
      </c>
      <c r="CD71" s="46">
        <f t="shared" si="70"/>
        <v>0</v>
      </c>
      <c r="CE71" s="46">
        <f t="shared" si="71"/>
        <v>0</v>
      </c>
      <c r="CF71" s="46">
        <f t="shared" si="72"/>
        <v>0</v>
      </c>
      <c r="CG71" s="46">
        <f t="shared" si="73"/>
        <v>0</v>
      </c>
      <c r="CJ71" s="212">
        <v>19</v>
      </c>
      <c r="CK71" s="46">
        <f t="shared" si="74"/>
        <v>2.1643186064097204</v>
      </c>
      <c r="CL71" s="207">
        <f t="shared" si="17"/>
        <v>-105</v>
      </c>
      <c r="CM71" s="46">
        <f t="shared" si="75"/>
        <v>-113.78153543643452</v>
      </c>
      <c r="CN71" s="46">
        <f t="shared" si="76"/>
        <v>-66.218464563565462</v>
      </c>
      <c r="CO71" s="46">
        <f t="shared" si="77"/>
        <v>246.21846456356548</v>
      </c>
      <c r="CP71" s="46">
        <f t="shared" si="105"/>
        <v>-113.78153543643452</v>
      </c>
      <c r="CQ71" s="46">
        <f t="shared" si="109"/>
        <v>26.479191934027455</v>
      </c>
      <c r="CR71" s="46">
        <f t="shared" si="80"/>
        <v>6.5498249755043298</v>
      </c>
      <c r="CS71" s="47">
        <f>COS(RADIANS(CK71))*COS(RADIANS(CM71-Insolation!$L$6))*SIN(RADIANS(0))+(SIN(RADIANS(CK71))*COS(RADIANS(0)))</f>
        <v>3.7765502908528564E-2</v>
      </c>
      <c r="CT71" s="47">
        <f>COS(RADIANS(CK71))*COS(RADIANS(CM71-Insolation!$L$6))*SIN(RADIANS(Insolation!$L$7))+SIN(RADIANS(CK71))*COS(RADIANS(Insolation!$L$7))</f>
        <v>-0.40296274652950198</v>
      </c>
      <c r="CU71" s="46">
        <f t="shared" si="81"/>
        <v>0.24735743416276179</v>
      </c>
      <c r="CV71" s="46">
        <f t="shared" si="82"/>
        <v>0.77070526535362049</v>
      </c>
      <c r="CW71" s="46">
        <f t="shared" si="83"/>
        <v>0</v>
      </c>
      <c r="CX71" s="46">
        <f>$CI$55*CR71*((1+COS(RADIANS(Insolation!$L$7)))/2)</f>
        <v>0.38535263267681025</v>
      </c>
      <c r="CY71" s="46">
        <f t="shared" si="84"/>
        <v>6.2006846649443341</v>
      </c>
      <c r="CZ71" s="46">
        <f t="shared" si="101"/>
        <v>0.27508399593511157</v>
      </c>
      <c r="DA71" s="46">
        <f t="shared" si="85"/>
        <v>6.5498249755043298</v>
      </c>
      <c r="DB71" s="46">
        <f t="shared" si="86"/>
        <v>0.39990566864697552</v>
      </c>
      <c r="DE71" s="212">
        <v>19</v>
      </c>
      <c r="DF71" s="46">
        <f t="shared" si="87"/>
        <v>5.3376207142328527</v>
      </c>
      <c r="DG71" s="207">
        <f t="shared" si="18"/>
        <v>-105</v>
      </c>
      <c r="DH71" s="46">
        <f t="shared" si="88"/>
        <v>-117.01115341589036</v>
      </c>
      <c r="DI71" s="46">
        <f t="shared" si="89"/>
        <v>-62.988846584109623</v>
      </c>
      <c r="DJ71" s="46">
        <f t="shared" si="90"/>
        <v>242.98884658410964</v>
      </c>
      <c r="DK71" s="46">
        <f t="shared" si="106"/>
        <v>-117.01115341589036</v>
      </c>
      <c r="DL71" s="46">
        <f t="shared" si="110"/>
        <v>10.749871748176741</v>
      </c>
      <c r="DM71" s="46">
        <f t="shared" si="93"/>
        <v>119.19900005578549</v>
      </c>
      <c r="DN71" s="47">
        <f>COS(RADIANS(DF71))*COS(RADIANS(DH71-Insolation!$L$6))*SIN(RADIANS(0))+(SIN(RADIANS(DF71))*COS(RADIANS(0)))</f>
        <v>9.3024365632046496E-2</v>
      </c>
      <c r="DO71" s="47">
        <f>COS(RADIANS(DF71))*COS(RADIANS(DH71-Insolation!$L$6))*SIN(RADIANS(Insolation!$L$7))+SIN(RADIANS(DF71))*COS(RADIANS(Insolation!$L$7))</f>
        <v>-0.45219460698369951</v>
      </c>
      <c r="DP71" s="46">
        <f t="shared" si="94"/>
        <v>11.08841136416372</v>
      </c>
      <c r="DQ71" s="46">
        <f t="shared" si="95"/>
        <v>15.648510586214005</v>
      </c>
      <c r="DR71" s="46">
        <f t="shared" si="96"/>
        <v>0</v>
      </c>
      <c r="DS71" s="46">
        <f>$DD$55*DM71*((1+COS(RADIANS(Insolation!$L$7)))/2)</f>
        <v>7.8242552931070026</v>
      </c>
      <c r="DT71" s="46">
        <f t="shared" si="97"/>
        <v>109.46602889552629</v>
      </c>
      <c r="DU71" s="46">
        <f t="shared" si="98"/>
        <v>5.4094421478025998</v>
      </c>
      <c r="DV71" s="46">
        <f t="shared" si="99"/>
        <v>119.19900005578549</v>
      </c>
      <c r="DW71" s="46">
        <f t="shared" si="100"/>
        <v>8.5521016782914643</v>
      </c>
    </row>
    <row r="72" spans="3:127" x14ac:dyDescent="0.25">
      <c r="D72" s="212">
        <v>19.5</v>
      </c>
      <c r="E72" s="46">
        <f t="shared" si="12"/>
        <v>-30.534016907112889</v>
      </c>
      <c r="F72" s="207">
        <f t="shared" si="13"/>
        <v>-112.5</v>
      </c>
      <c r="G72" s="46">
        <f t="shared" si="19"/>
        <v>-88.301256580981175</v>
      </c>
      <c r="H72" s="46">
        <f t="shared" si="20"/>
        <v>-88.301256580981175</v>
      </c>
      <c r="I72" s="46">
        <f t="shared" si="21"/>
        <v>268.3012565809812</v>
      </c>
      <c r="J72" s="46">
        <f t="shared" si="22"/>
        <v>-91.698743419018797</v>
      </c>
      <c r="K72" s="46">
        <f t="shared" si="23"/>
        <v>1.9683108690746121</v>
      </c>
      <c r="L72" s="46">
        <f t="shared" si="24"/>
        <v>0</v>
      </c>
      <c r="M72" s="47">
        <f>COS(RADIANS(E72))*COS(RADIANS(G72-Insolation!$L$6))*SIN(RADIANS(0))+(SIN(RADIANS(E72))*COS(RADIANS(0)))</f>
        <v>-0.50804982877026084</v>
      </c>
      <c r="N72" s="47">
        <f>COS(RADIANS(E72))*COS(RADIANS(G72-Insolation!$L$6))*SIN(RADIANS(Insolation!$L$7))+SIN(RADIANS(E72))*COS(RADIANS(Insolation!$L$7))</f>
        <v>2.5533475298876552E-2</v>
      </c>
      <c r="O72" s="46">
        <f t="shared" si="25"/>
        <v>0</v>
      </c>
      <c r="P72" s="46">
        <f t="shared" si="26"/>
        <v>0</v>
      </c>
      <c r="Q72" s="46">
        <f t="shared" si="27"/>
        <v>0</v>
      </c>
      <c r="R72" s="46">
        <f>$C$55*L72*((1+COS(RADIANS(Insolation!$L$7)))/2)</f>
        <v>0</v>
      </c>
      <c r="S72" s="46">
        <f t="shared" si="28"/>
        <v>0</v>
      </c>
      <c r="T72" s="46">
        <f t="shared" si="29"/>
        <v>0</v>
      </c>
      <c r="U72" s="46">
        <f t="shared" si="30"/>
        <v>0</v>
      </c>
      <c r="V72" s="46">
        <f t="shared" si="31"/>
        <v>0</v>
      </c>
      <c r="Y72" s="212">
        <v>19.5</v>
      </c>
      <c r="Z72" s="46">
        <f t="shared" si="32"/>
        <v>-25.449958228289965</v>
      </c>
      <c r="AA72" s="207">
        <f t="shared" si="14"/>
        <v>-112.5</v>
      </c>
      <c r="AB72" s="46">
        <f t="shared" si="33"/>
        <v>-95.2726333459633</v>
      </c>
      <c r="AC72" s="46">
        <f t="shared" si="34"/>
        <v>-84.727366654036686</v>
      </c>
      <c r="AD72" s="46">
        <f t="shared" si="35"/>
        <v>264.7273666540367</v>
      </c>
      <c r="AE72" s="46">
        <f t="shared" si="102"/>
        <v>-95.2726333459633</v>
      </c>
      <c r="AF72" s="46">
        <f t="shared" si="37"/>
        <v>2.3270825236303709</v>
      </c>
      <c r="AG72" s="46">
        <f t="shared" si="38"/>
        <v>0</v>
      </c>
      <c r="AH72" s="47">
        <f>COS(RADIANS(Z72))*COS(RADIANS(AB72-Insolation!$L$6))*SIN(RADIANS(0))+(SIN(RADIANS(Z72))*COS(RADIANS(0)))</f>
        <v>-0.42972262042514398</v>
      </c>
      <c r="AI72" s="47">
        <f>COS(RADIANS(Z72))*COS(RADIANS(AB72-Insolation!$L$6))*SIN(RADIANS(Insolation!$L$7))+SIN(RADIANS(Z72))*COS(RADIANS(Insolation!$L$7))</f>
        <v>-8.297757873155534E-2</v>
      </c>
      <c r="AJ72" s="46">
        <f t="shared" si="39"/>
        <v>0</v>
      </c>
      <c r="AK72" s="46">
        <f t="shared" si="40"/>
        <v>0</v>
      </c>
      <c r="AL72" s="46">
        <f t="shared" si="41"/>
        <v>0</v>
      </c>
      <c r="AM72" s="46">
        <f>$X$55*AG72*((1+COS(RADIANS(Insolation!$L$7)))/2)</f>
        <v>0</v>
      </c>
      <c r="AN72" s="46">
        <f t="shared" si="42"/>
        <v>0</v>
      </c>
      <c r="AO72" s="46">
        <f t="shared" si="43"/>
        <v>0</v>
      </c>
      <c r="AP72" s="46">
        <f t="shared" si="44"/>
        <v>0</v>
      </c>
      <c r="AQ72" s="46">
        <f t="shared" si="45"/>
        <v>0</v>
      </c>
      <c r="AT72" s="212">
        <v>19.5</v>
      </c>
      <c r="AU72" s="46">
        <f t="shared" si="46"/>
        <v>-18.336292433559404</v>
      </c>
      <c r="AV72" s="207">
        <f t="shared" si="15"/>
        <v>-112.5</v>
      </c>
      <c r="AW72" s="46">
        <f t="shared" si="47"/>
        <v>-103.56129038834553</v>
      </c>
      <c r="AX72" s="46">
        <f t="shared" si="48"/>
        <v>-76.438709611654488</v>
      </c>
      <c r="AY72" s="46">
        <f t="shared" si="49"/>
        <v>256.43870961165447</v>
      </c>
      <c r="AZ72" s="46">
        <f t="shared" si="103"/>
        <v>-103.56129038834553</v>
      </c>
      <c r="BA72" s="46">
        <f t="shared" si="107"/>
        <v>3.1787023852282785</v>
      </c>
      <c r="BB72" s="46">
        <f t="shared" si="52"/>
        <v>0</v>
      </c>
      <c r="BC72" s="47">
        <f>COS(RADIANS(AU72))*COS(RADIANS(AW72-Insolation!$L$6))*SIN(RADIANS(0))+(SIN(RADIANS(AU72))*COS(RADIANS(0)))</f>
        <v>-0.31459378035738472</v>
      </c>
      <c r="BD72" s="47">
        <f>COS(RADIANS(AU72))*COS(RADIANS(AW72-Insolation!$L$6))*SIN(RADIANS(Insolation!$L$7))+SIN(RADIANS(AU72))*COS(RADIANS(Insolation!$L$7))</f>
        <v>-0.22257972457855196</v>
      </c>
      <c r="BE72" s="46">
        <f t="shared" si="53"/>
        <v>0</v>
      </c>
      <c r="BF72" s="46">
        <f t="shared" si="54"/>
        <v>0</v>
      </c>
      <c r="BG72" s="46">
        <f t="shared" si="55"/>
        <v>0</v>
      </c>
      <c r="BH72" s="46">
        <f>$AS$55*BB72*((1+COS(RADIANS(Insolation!$L$7)))/2)</f>
        <v>0</v>
      </c>
      <c r="BI72" s="46">
        <f t="shared" si="56"/>
        <v>0</v>
      </c>
      <c r="BJ72" s="46">
        <f t="shared" si="57"/>
        <v>0</v>
      </c>
      <c r="BK72" s="46">
        <f t="shared" si="58"/>
        <v>0</v>
      </c>
      <c r="BL72" s="46">
        <f t="shared" si="59"/>
        <v>0</v>
      </c>
      <c r="BO72" s="212">
        <v>19.5</v>
      </c>
      <c r="BP72" s="46">
        <f t="shared" si="60"/>
        <v>-9.619003734231736</v>
      </c>
      <c r="BQ72" s="207">
        <f t="shared" si="16"/>
        <v>-112.5</v>
      </c>
      <c r="BR72" s="46">
        <f t="shared" si="61"/>
        <v>-112.41722022727066</v>
      </c>
      <c r="BS72" s="46">
        <f t="shared" si="62"/>
        <v>-67.582779772729324</v>
      </c>
      <c r="BT72" s="46">
        <f t="shared" si="63"/>
        <v>247.58277977272934</v>
      </c>
      <c r="BU72" s="46">
        <f t="shared" si="104"/>
        <v>-112.41722022727066</v>
      </c>
      <c r="BV72" s="46">
        <f t="shared" si="108"/>
        <v>5.9845919331543946</v>
      </c>
      <c r="BW72" s="46">
        <f t="shared" si="66"/>
        <v>0</v>
      </c>
      <c r="BX72" s="47">
        <f>COS(RADIANS(BP72))*COS(RADIANS(BR72-Insolation!$L$6))*SIN(RADIANS(0))+(SIN(RADIANS(BP72))*COS(RADIANS(0)))</f>
        <v>-0.16709577046682847</v>
      </c>
      <c r="BY72" s="47">
        <f>COS(RADIANS(BP72))*COS(RADIANS(BR72-Insolation!$L$6))*SIN(RADIANS(Insolation!$L$7))+SIN(RADIANS(BP72))*COS(RADIANS(Insolation!$L$7))</f>
        <v>-0.37598673026296064</v>
      </c>
      <c r="BZ72" s="46">
        <f t="shared" si="67"/>
        <v>0</v>
      </c>
      <c r="CA72" s="46">
        <f t="shared" si="68"/>
        <v>0</v>
      </c>
      <c r="CB72" s="46">
        <f t="shared" si="69"/>
        <v>0</v>
      </c>
      <c r="CC72" s="46">
        <f>$BN$55*BW72*((1+COS(RADIANS(Insolation!$L$7)))/2)</f>
        <v>0</v>
      </c>
      <c r="CD72" s="46">
        <f t="shared" si="70"/>
        <v>0</v>
      </c>
      <c r="CE72" s="46">
        <f t="shared" si="71"/>
        <v>0</v>
      </c>
      <c r="CF72" s="46">
        <f t="shared" si="72"/>
        <v>0</v>
      </c>
      <c r="CG72" s="46">
        <f t="shared" si="73"/>
        <v>0</v>
      </c>
      <c r="CJ72" s="212">
        <v>19.5</v>
      </c>
      <c r="CK72" s="46">
        <f t="shared" si="74"/>
        <v>-2.7819034370205116</v>
      </c>
      <c r="CL72" s="207">
        <f t="shared" si="17"/>
        <v>-112.5</v>
      </c>
      <c r="CM72" s="46">
        <f t="shared" si="75"/>
        <v>-118.8763635554638</v>
      </c>
      <c r="CN72" s="46">
        <f t="shared" si="76"/>
        <v>-61.123636444536196</v>
      </c>
      <c r="CO72" s="46">
        <f t="shared" si="77"/>
        <v>241.1236364445362</v>
      </c>
      <c r="CP72" s="46">
        <f t="shared" si="105"/>
        <v>-118.8763635554638</v>
      </c>
      <c r="CQ72" s="46">
        <f t="shared" si="109"/>
        <v>20.603985294107424</v>
      </c>
      <c r="CR72" s="46">
        <f t="shared" si="80"/>
        <v>0</v>
      </c>
      <c r="CS72" s="47">
        <f>COS(RADIANS(CK72))*COS(RADIANS(CM72-Insolation!$L$6))*SIN(RADIANS(0))+(SIN(RADIANS(CK72))*COS(RADIANS(0)))</f>
        <v>-4.8534299832081129E-2</v>
      </c>
      <c r="CT72" s="47">
        <f>COS(RADIANS(CK72))*COS(RADIANS(CM72-Insolation!$L$6))*SIN(RADIANS(Insolation!$L$7))+SIN(RADIANS(CK72))*COS(RADIANS(Insolation!$L$7))</f>
        <v>-0.48235206878393488</v>
      </c>
      <c r="CU72" s="46">
        <f t="shared" si="81"/>
        <v>0</v>
      </c>
      <c r="CV72" s="46">
        <f t="shared" si="82"/>
        <v>0</v>
      </c>
      <c r="CW72" s="46">
        <f t="shared" si="83"/>
        <v>0</v>
      </c>
      <c r="CX72" s="46">
        <f>$CI$55*CR72*((1+COS(RADIANS(Insolation!$L$7)))/2)</f>
        <v>0</v>
      </c>
      <c r="CY72" s="46">
        <f t="shared" si="84"/>
        <v>0</v>
      </c>
      <c r="CZ72" s="46">
        <f t="shared" si="101"/>
        <v>0</v>
      </c>
      <c r="DA72" s="46">
        <f t="shared" si="85"/>
        <v>0</v>
      </c>
      <c r="DB72" s="46">
        <f t="shared" si="86"/>
        <v>0</v>
      </c>
      <c r="DE72" s="212">
        <v>19.5</v>
      </c>
      <c r="DF72" s="46">
        <f t="shared" si="87"/>
        <v>0.53335837701135835</v>
      </c>
      <c r="DG72" s="207">
        <f t="shared" si="18"/>
        <v>-112.5</v>
      </c>
      <c r="DH72" s="46">
        <f t="shared" si="88"/>
        <v>-121.95341841234935</v>
      </c>
      <c r="DI72" s="46">
        <f t="shared" si="89"/>
        <v>-58.04658158765065</v>
      </c>
      <c r="DJ72" s="46">
        <f t="shared" si="90"/>
        <v>238.04658158765065</v>
      </c>
      <c r="DK72" s="46">
        <f t="shared" si="106"/>
        <v>-121.95341841234935</v>
      </c>
      <c r="DL72" s="46">
        <f t="shared" si="110"/>
        <v>107.42609375625234</v>
      </c>
      <c r="DM72" s="46">
        <f t="shared" si="93"/>
        <v>2.7406468845141093E-7</v>
      </c>
      <c r="DN72" s="47">
        <f>COS(RADIANS(DF72))*COS(RADIANS(DH72-Insolation!$L$6))*SIN(RADIANS(0))+(SIN(RADIANS(DF72))*COS(RADIANS(0)))</f>
        <v>9.3087253295179844E-3</v>
      </c>
      <c r="DO72" s="47">
        <f>COS(RADIANS(DF72))*COS(RADIANS(DH72-Insolation!$L$6))*SIN(RADIANS(Insolation!$L$7))+SIN(RADIANS(DF72))*COS(RADIANS(Insolation!$L$7))</f>
        <v>-0.52920669431940115</v>
      </c>
      <c r="DP72" s="46">
        <f t="shared" si="94"/>
        <v>2.5511929073141041E-9</v>
      </c>
      <c r="DQ72" s="46">
        <f t="shared" si="95"/>
        <v>3.5979363723959266E-8</v>
      </c>
      <c r="DR72" s="46">
        <f t="shared" si="96"/>
        <v>0</v>
      </c>
      <c r="DS72" s="46">
        <f>$DD$55*DM72*((1+COS(RADIANS(Insolation!$L$7)))/2)</f>
        <v>1.7989681861979633E-8</v>
      </c>
      <c r="DT72" s="46">
        <f t="shared" si="97"/>
        <v>2.5168644947713581E-7</v>
      </c>
      <c r="DU72" s="46">
        <f t="shared" si="98"/>
        <v>1.1023884679228254E-8</v>
      </c>
      <c r="DV72" s="46">
        <f t="shared" si="99"/>
        <v>2.7406468845141093E-7</v>
      </c>
      <c r="DW72" s="46">
        <f t="shared" si="100"/>
        <v>1.8157142869198212E-8</v>
      </c>
    </row>
    <row r="73" spans="3:127" x14ac:dyDescent="0.25">
      <c r="D73" s="212">
        <v>20</v>
      </c>
      <c r="E73" s="46">
        <f t="shared" si="12"/>
        <v>-36.051264826539573</v>
      </c>
      <c r="F73" s="207">
        <f t="shared" si="13"/>
        <v>-120</v>
      </c>
      <c r="G73" s="46">
        <f t="shared" si="19"/>
        <v>-93.437920522853688</v>
      </c>
      <c r="H73" s="46">
        <f t="shared" si="20"/>
        <v>-86.562079477146284</v>
      </c>
      <c r="I73" s="46">
        <f t="shared" si="21"/>
        <v>266.56207947714631</v>
      </c>
      <c r="J73" s="46">
        <f t="shared" si="22"/>
        <v>-93.437920522853688</v>
      </c>
      <c r="K73" s="46">
        <f t="shared" si="23"/>
        <v>1.699209713620502</v>
      </c>
      <c r="L73" s="46">
        <f t="shared" si="24"/>
        <v>0</v>
      </c>
      <c r="M73" s="47">
        <f>COS(RADIANS(E73))*COS(RADIANS(G73-Insolation!$L$6))*SIN(RADIANS(0))+(SIN(RADIANS(E73))*COS(RADIANS(0)))</f>
        <v>-0.58850887679384933</v>
      </c>
      <c r="N73" s="47">
        <f>COS(RADIANS(E73))*COS(RADIANS(G73-Insolation!$L$6))*SIN(RADIANS(Insolation!$L$7))+SIN(RADIANS(E73))*COS(RADIANS(Insolation!$L$7))</f>
        <v>-4.8482792282045231E-2</v>
      </c>
      <c r="O73" s="46">
        <f t="shared" si="25"/>
        <v>0</v>
      </c>
      <c r="P73" s="46">
        <f t="shared" si="26"/>
        <v>0</v>
      </c>
      <c r="Q73" s="46">
        <f t="shared" si="27"/>
        <v>0</v>
      </c>
      <c r="R73" s="46">
        <f>$C$55*L73*((1+COS(RADIANS(Insolation!$L$7)))/2)</f>
        <v>0</v>
      </c>
      <c r="S73" s="46">
        <f t="shared" si="28"/>
        <v>0</v>
      </c>
      <c r="T73" s="46">
        <f t="shared" si="29"/>
        <v>0</v>
      </c>
      <c r="U73" s="46">
        <f t="shared" si="30"/>
        <v>0</v>
      </c>
      <c r="V73" s="46">
        <f t="shared" si="31"/>
        <v>0</v>
      </c>
      <c r="Y73" s="212">
        <v>20</v>
      </c>
      <c r="Z73" s="46">
        <f t="shared" si="32"/>
        <v>-30.913991676287871</v>
      </c>
      <c r="AA73" s="207">
        <f t="shared" si="14"/>
        <v>-120</v>
      </c>
      <c r="AB73" s="46">
        <f t="shared" si="33"/>
        <v>-100.76705050266321</v>
      </c>
      <c r="AC73" s="46">
        <f t="shared" si="34"/>
        <v>-79.232949497336762</v>
      </c>
      <c r="AD73" s="46">
        <f t="shared" si="35"/>
        <v>259.23294949733679</v>
      </c>
      <c r="AE73" s="46">
        <f t="shared" si="102"/>
        <v>-100.76705050266321</v>
      </c>
      <c r="AF73" s="46">
        <f t="shared" si="37"/>
        <v>1.9464690759994698</v>
      </c>
      <c r="AG73" s="46">
        <f t="shared" si="38"/>
        <v>0</v>
      </c>
      <c r="AH73" s="47">
        <f>COS(RADIANS(Z73))*COS(RADIANS(AB73-Insolation!$L$6))*SIN(RADIANS(0))+(SIN(RADIANS(Z73))*COS(RADIANS(0)))</f>
        <v>-0.51375077689663351</v>
      </c>
      <c r="AI73" s="47">
        <f>COS(RADIANS(Z73))*COS(RADIANS(AB73-Insolation!$L$6))*SIN(RADIANS(Insolation!$L$7))+SIN(RADIANS(Z73))*COS(RADIANS(Insolation!$L$7))</f>
        <v>-0.16027715741786874</v>
      </c>
      <c r="AJ73" s="46">
        <f t="shared" si="39"/>
        <v>0</v>
      </c>
      <c r="AK73" s="46">
        <f t="shared" si="40"/>
        <v>0</v>
      </c>
      <c r="AL73" s="46">
        <f t="shared" si="41"/>
        <v>0</v>
      </c>
      <c r="AM73" s="46">
        <f>$X$55*AG73*((1+COS(RADIANS(Insolation!$L$7)))/2)</f>
        <v>0</v>
      </c>
      <c r="AN73" s="46">
        <f t="shared" si="42"/>
        <v>0</v>
      </c>
      <c r="AO73" s="46">
        <f t="shared" si="43"/>
        <v>0</v>
      </c>
      <c r="AP73" s="46">
        <f t="shared" si="44"/>
        <v>0</v>
      </c>
      <c r="AQ73" s="46">
        <f t="shared" si="45"/>
        <v>0</v>
      </c>
      <c r="AT73" s="212">
        <v>20</v>
      </c>
      <c r="AU73" s="46">
        <f t="shared" si="46"/>
        <v>-23.630041418261865</v>
      </c>
      <c r="AV73" s="207">
        <f t="shared" si="15"/>
        <v>-120</v>
      </c>
      <c r="AW73" s="46">
        <f t="shared" si="47"/>
        <v>-109.24092980161305</v>
      </c>
      <c r="AX73" s="46">
        <f t="shared" si="48"/>
        <v>-70.759070198386937</v>
      </c>
      <c r="AY73" s="46">
        <f t="shared" si="49"/>
        <v>250.75907019838695</v>
      </c>
      <c r="AZ73" s="46">
        <f t="shared" si="103"/>
        <v>-109.24092980161305</v>
      </c>
      <c r="BA73" s="46">
        <f t="shared" si="107"/>
        <v>2.4948266878845562</v>
      </c>
      <c r="BB73" s="46">
        <f t="shared" si="52"/>
        <v>0</v>
      </c>
      <c r="BC73" s="47">
        <f>COS(RADIANS(AU73))*COS(RADIANS(AW73-Insolation!$L$6))*SIN(RADIANS(0))+(SIN(RADIANS(AU73))*COS(RADIANS(0)))</f>
        <v>-0.40082944633237516</v>
      </c>
      <c r="BD73" s="47">
        <f>COS(RADIANS(AU73))*COS(RADIANS(AW73-Insolation!$L$6))*SIN(RADIANS(Insolation!$L$7))+SIN(RADIANS(AU73))*COS(RADIANS(Insolation!$L$7))</f>
        <v>-0.30191004583654663</v>
      </c>
      <c r="BE73" s="46">
        <f t="shared" si="53"/>
        <v>0</v>
      </c>
      <c r="BF73" s="46">
        <f t="shared" si="54"/>
        <v>0</v>
      </c>
      <c r="BG73" s="46">
        <f t="shared" si="55"/>
        <v>0</v>
      </c>
      <c r="BH73" s="46">
        <f>$AS$55*BB73*((1+COS(RADIANS(Insolation!$L$7)))/2)</f>
        <v>0</v>
      </c>
      <c r="BI73" s="46">
        <f t="shared" si="56"/>
        <v>0</v>
      </c>
      <c r="BJ73" s="46">
        <f t="shared" si="57"/>
        <v>0</v>
      </c>
      <c r="BK73" s="46">
        <f t="shared" si="58"/>
        <v>0</v>
      </c>
      <c r="BL73" s="46">
        <f t="shared" si="59"/>
        <v>0</v>
      </c>
      <c r="BO73" s="212">
        <v>20</v>
      </c>
      <c r="BP73" s="46">
        <f t="shared" si="60"/>
        <v>-14.612050329694824</v>
      </c>
      <c r="BQ73" s="207">
        <f t="shared" si="16"/>
        <v>-120</v>
      </c>
      <c r="BR73" s="46">
        <f t="shared" si="61"/>
        <v>-118.00377026972316</v>
      </c>
      <c r="BS73" s="46">
        <f t="shared" si="62"/>
        <v>-61.996229730276838</v>
      </c>
      <c r="BT73" s="46">
        <f t="shared" si="63"/>
        <v>241.99622973027684</v>
      </c>
      <c r="BU73" s="46">
        <f t="shared" si="104"/>
        <v>-118.00377026972316</v>
      </c>
      <c r="BV73" s="46">
        <f t="shared" si="108"/>
        <v>3.96396157586052</v>
      </c>
      <c r="BW73" s="46">
        <f t="shared" si="66"/>
        <v>0</v>
      </c>
      <c r="BX73" s="47">
        <f>COS(RADIANS(BP73))*COS(RADIANS(BR73-Insolation!$L$6))*SIN(RADIANS(0))+(SIN(RADIANS(BP73))*COS(RADIANS(0)))</f>
        <v>-0.25227287925537323</v>
      </c>
      <c r="BY73" s="47">
        <f>COS(RADIANS(BP73))*COS(RADIANS(BR73-Insolation!$L$6))*SIN(RADIANS(Insolation!$L$7))+SIN(RADIANS(BP73))*COS(RADIANS(Insolation!$L$7))</f>
        <v>-0.45434325859292168</v>
      </c>
      <c r="BZ73" s="46">
        <f t="shared" si="67"/>
        <v>0</v>
      </c>
      <c r="CA73" s="46">
        <f t="shared" si="68"/>
        <v>0</v>
      </c>
      <c r="CB73" s="46">
        <f t="shared" si="69"/>
        <v>0</v>
      </c>
      <c r="CC73" s="46">
        <f>$BN$55*BW73*((1+COS(RADIANS(Insolation!$L$7)))/2)</f>
        <v>0</v>
      </c>
      <c r="CD73" s="46">
        <f t="shared" si="70"/>
        <v>0</v>
      </c>
      <c r="CE73" s="46">
        <f t="shared" si="71"/>
        <v>0</v>
      </c>
      <c r="CF73" s="46">
        <f t="shared" si="72"/>
        <v>0</v>
      </c>
      <c r="CG73" s="46">
        <f t="shared" si="73"/>
        <v>0</v>
      </c>
      <c r="CJ73" s="212">
        <v>20</v>
      </c>
      <c r="CK73" s="46">
        <f t="shared" si="74"/>
        <v>-7.4853134643475085</v>
      </c>
      <c r="CL73" s="207">
        <f t="shared" si="17"/>
        <v>-120</v>
      </c>
      <c r="CM73" s="46">
        <f t="shared" si="75"/>
        <v>-124.21755209321896</v>
      </c>
      <c r="CN73" s="46">
        <f t="shared" si="76"/>
        <v>-55.78244790678103</v>
      </c>
      <c r="CO73" s="46">
        <f t="shared" si="77"/>
        <v>235.78244790678104</v>
      </c>
      <c r="CP73" s="46">
        <f t="shared" si="105"/>
        <v>-124.21755209321896</v>
      </c>
      <c r="CQ73" s="46">
        <f t="shared" si="109"/>
        <v>7.676243531439753</v>
      </c>
      <c r="CR73" s="46">
        <f t="shared" si="80"/>
        <v>0</v>
      </c>
      <c r="CS73" s="47">
        <f>COS(RADIANS(CK73))*COS(RADIANS(CM73-Insolation!$L$6))*SIN(RADIANS(0))+(SIN(RADIANS(CK73))*COS(RADIANS(0)))</f>
        <v>-0.13027205245694445</v>
      </c>
      <c r="CT73" s="47">
        <f>COS(RADIANS(CK73))*COS(RADIANS(CM73-Insolation!$L$6))*SIN(RADIANS(Insolation!$L$7))+SIN(RADIANS(CK73))*COS(RADIANS(Insolation!$L$7))</f>
        <v>-0.55754464834280881</v>
      </c>
      <c r="CU73" s="46">
        <f t="shared" si="81"/>
        <v>0</v>
      </c>
      <c r="CV73" s="46">
        <f t="shared" si="82"/>
        <v>0</v>
      </c>
      <c r="CW73" s="46">
        <f t="shared" si="83"/>
        <v>0</v>
      </c>
      <c r="CX73" s="46">
        <f>$CI$55*CR73*((1+COS(RADIANS(Insolation!$L$7)))/2)</f>
        <v>0</v>
      </c>
      <c r="CY73" s="46">
        <f t="shared" si="84"/>
        <v>0</v>
      </c>
      <c r="CZ73" s="46">
        <f t="shared" si="101"/>
        <v>0</v>
      </c>
      <c r="DA73" s="46">
        <f t="shared" si="85"/>
        <v>0</v>
      </c>
      <c r="DB73" s="46">
        <f t="shared" si="86"/>
        <v>0</v>
      </c>
      <c r="DE73" s="212">
        <v>20</v>
      </c>
      <c r="DF73" s="46">
        <f t="shared" si="87"/>
        <v>-4.0129229715754526</v>
      </c>
      <c r="DG73" s="207">
        <f t="shared" si="18"/>
        <v>-120</v>
      </c>
      <c r="DH73" s="46">
        <f t="shared" si="88"/>
        <v>-127.13015136938148</v>
      </c>
      <c r="DI73" s="46">
        <f t="shared" si="89"/>
        <v>-52.869848630618527</v>
      </c>
      <c r="DJ73" s="46">
        <f t="shared" si="90"/>
        <v>232.86984863061852</v>
      </c>
      <c r="DK73" s="46">
        <f t="shared" si="106"/>
        <v>-127.13015136938148</v>
      </c>
      <c r="DL73" s="46">
        <f t="shared" si="110"/>
        <v>14.289496726429572</v>
      </c>
      <c r="DM73" s="46">
        <f t="shared" si="93"/>
        <v>0</v>
      </c>
      <c r="DN73" s="47">
        <f>COS(RADIANS(DF73))*COS(RADIANS(DH73-Insolation!$L$6))*SIN(RADIANS(0))+(SIN(RADIANS(DF73))*COS(RADIANS(0)))</f>
        <v>-6.9981470946448354E-2</v>
      </c>
      <c r="DO73" s="47">
        <f>COS(RADIANS(DF73))*COS(RADIANS(DH73-Insolation!$L$6))*SIN(RADIANS(Insolation!$L$7))+SIN(RADIANS(DF73))*COS(RADIANS(Insolation!$L$7))</f>
        <v>-0.60214770627849112</v>
      </c>
      <c r="DP73" s="46">
        <f t="shared" si="94"/>
        <v>0</v>
      </c>
      <c r="DQ73" s="46">
        <f t="shared" si="95"/>
        <v>0</v>
      </c>
      <c r="DR73" s="46">
        <f t="shared" si="96"/>
        <v>0</v>
      </c>
      <c r="DS73" s="46">
        <f>$DD$55*DM73*((1+COS(RADIANS(Insolation!$L$7)))/2)</f>
        <v>0</v>
      </c>
      <c r="DT73" s="46">
        <f t="shared" si="97"/>
        <v>0</v>
      </c>
      <c r="DU73" s="46">
        <f t="shared" si="98"/>
        <v>0</v>
      </c>
      <c r="DV73" s="46">
        <f t="shared" si="99"/>
        <v>0</v>
      </c>
      <c r="DW73" s="46">
        <f t="shared" si="100"/>
        <v>0</v>
      </c>
    </row>
    <row r="74" spans="3:127" x14ac:dyDescent="0.25">
      <c r="D74" s="212">
        <v>20.5</v>
      </c>
      <c r="E74" s="46">
        <f t="shared" si="12"/>
        <v>-41.53677053716391</v>
      </c>
      <c r="F74" s="207">
        <f t="shared" si="13"/>
        <v>-127.5</v>
      </c>
      <c r="G74" s="46">
        <f t="shared" si="19"/>
        <v>-99.000433379585786</v>
      </c>
      <c r="H74" s="46">
        <f t="shared" si="20"/>
        <v>-80.9995666204142</v>
      </c>
      <c r="I74" s="46">
        <f t="shared" si="21"/>
        <v>260.99956662041421</v>
      </c>
      <c r="J74" s="46">
        <f t="shared" si="22"/>
        <v>-99.000433379585786</v>
      </c>
      <c r="K74" s="46">
        <f t="shared" si="23"/>
        <v>1.5080668757401698</v>
      </c>
      <c r="L74" s="46">
        <f t="shared" si="24"/>
        <v>0</v>
      </c>
      <c r="M74" s="47">
        <f>COS(RADIANS(E74))*COS(RADIANS(G74-Insolation!$L$6))*SIN(RADIANS(0))+(SIN(RADIANS(E74))*COS(RADIANS(0)))</f>
        <v>-0.66310056674986173</v>
      </c>
      <c r="N74" s="47">
        <f>COS(RADIANS(E74))*COS(RADIANS(G74-Insolation!$L$6))*SIN(RADIANS(Insolation!$L$7))+SIN(RADIANS(E74))*COS(RADIANS(Insolation!$L$7))</f>
        <v>-0.11710153210952483</v>
      </c>
      <c r="O74" s="46">
        <f t="shared" si="25"/>
        <v>0</v>
      </c>
      <c r="P74" s="46">
        <f t="shared" si="26"/>
        <v>0</v>
      </c>
      <c r="Q74" s="46">
        <f t="shared" si="27"/>
        <v>0</v>
      </c>
      <c r="R74" s="46">
        <f>$C$55*L74*((1+COS(RADIANS(Insolation!$L$7)))/2)</f>
        <v>0</v>
      </c>
      <c r="S74" s="46">
        <f t="shared" si="28"/>
        <v>0</v>
      </c>
      <c r="T74" s="46">
        <f t="shared" si="29"/>
        <v>0</v>
      </c>
      <c r="U74" s="46">
        <f t="shared" si="30"/>
        <v>0</v>
      </c>
      <c r="V74" s="46">
        <f t="shared" si="31"/>
        <v>0</v>
      </c>
      <c r="Y74" s="212">
        <v>20.5</v>
      </c>
      <c r="Z74" s="46">
        <f>DEGREES(ASIN(COS(RADIANS($A$43))*COS(RADIANS($X$47))*COS(RADIANS(AA74))+SIN(RADIANS($A$43))*SIN(RADIANS($X$47))))</f>
        <v>-36.274277461662827</v>
      </c>
      <c r="AA74" s="207">
        <f t="shared" si="14"/>
        <v>-127.5</v>
      </c>
      <c r="AB74" s="46">
        <f t="shared" si="33"/>
        <v>-106.72014283890246</v>
      </c>
      <c r="AC74" s="46">
        <f t="shared" si="34"/>
        <v>-73.279857161097524</v>
      </c>
      <c r="AD74" s="46">
        <f t="shared" si="35"/>
        <v>253.27985716109754</v>
      </c>
      <c r="AE74" s="46">
        <f t="shared" si="102"/>
        <v>-106.72014283890246</v>
      </c>
      <c r="AF74" s="46">
        <f t="shared" si="37"/>
        <v>1.6901847328305317</v>
      </c>
      <c r="AG74" s="46">
        <f>IF(Z74&gt;0,$X$51*EXP(-$X$53*AF74),0)</f>
        <v>0</v>
      </c>
      <c r="AH74" s="47">
        <f>COS(RADIANS(Z74))*COS(RADIANS(AB74-Insolation!$L$6))*SIN(RADIANS(0))+(SIN(RADIANS(Z74))*COS(RADIANS(0)))</f>
        <v>-0.59165130330180671</v>
      </c>
      <c r="AI74" s="47">
        <f>COS(RADIANS(Z74))*COS(RADIANS(AB74-Insolation!$L$6))*SIN(RADIANS(Insolation!$L$7))+SIN(RADIANS(Z74))*COS(RADIANS(Insolation!$L$7))</f>
        <v>-0.23193977770402166</v>
      </c>
      <c r="AJ74" s="46">
        <f t="shared" si="39"/>
        <v>0</v>
      </c>
      <c r="AK74" s="46">
        <f t="shared" si="40"/>
        <v>0</v>
      </c>
      <c r="AL74" s="46">
        <f t="shared" si="41"/>
        <v>0</v>
      </c>
      <c r="AM74" s="46">
        <f>$X$55*AG74*((1+COS(RADIANS(Insolation!$L$7)))/2)</f>
        <v>0</v>
      </c>
      <c r="AN74" s="46">
        <f t="shared" si="42"/>
        <v>0</v>
      </c>
      <c r="AO74" s="46">
        <f t="shared" si="43"/>
        <v>0</v>
      </c>
      <c r="AP74" s="46">
        <f t="shared" si="44"/>
        <v>0</v>
      </c>
      <c r="AQ74" s="46">
        <f t="shared" si="45"/>
        <v>0</v>
      </c>
      <c r="AT74" s="212">
        <v>20.5</v>
      </c>
      <c r="AU74" s="46">
        <f t="shared" si="46"/>
        <v>-28.736128925076112</v>
      </c>
      <c r="AV74" s="207">
        <f t="shared" si="15"/>
        <v>-127.5</v>
      </c>
      <c r="AW74" s="46">
        <f>IF(COS(RADIANS(AV74))&gt;=((TAN(RADIANS($AS$47)))/(TAN(RADIANS($A$43)))),AX74,IF(AT74&lt;12,AY74,AZ74))</f>
        <v>-115.35273619206509</v>
      </c>
      <c r="AX74" s="46">
        <f t="shared" si="48"/>
        <v>-64.647263807934891</v>
      </c>
      <c r="AY74" s="46">
        <f t="shared" si="49"/>
        <v>244.64726380793491</v>
      </c>
      <c r="AZ74" s="46">
        <f t="shared" si="103"/>
        <v>-115.35273619206509</v>
      </c>
      <c r="BA74" s="46">
        <f t="shared" si="107"/>
        <v>2.0799685385531377</v>
      </c>
      <c r="BB74" s="46">
        <f t="shared" si="52"/>
        <v>0</v>
      </c>
      <c r="BC74" s="47">
        <f>COS(RADIANS(AU74))*COS(RADIANS(AW74-Insolation!$L$6))*SIN(RADIANS(0))+(SIN(RADIANS(AU74))*COS(RADIANS(0)))</f>
        <v>-0.48077650284826784</v>
      </c>
      <c r="BD74" s="47">
        <f>COS(RADIANS(AU74))*COS(RADIANS(AW74-Insolation!$L$6))*SIN(RADIANS(Insolation!$L$7))+SIN(RADIANS(AU74))*COS(RADIANS(Insolation!$L$7))</f>
        <v>-0.37545531977083857</v>
      </c>
      <c r="BE74" s="46">
        <f t="shared" si="53"/>
        <v>0</v>
      </c>
      <c r="BF74" s="46">
        <f t="shared" si="54"/>
        <v>0</v>
      </c>
      <c r="BG74" s="46">
        <f t="shared" si="55"/>
        <v>0</v>
      </c>
      <c r="BH74" s="46">
        <f>$AS$55*BB74*((1+COS(RADIANS(Insolation!$L$7)))/2)</f>
        <v>0</v>
      </c>
      <c r="BI74" s="46">
        <f t="shared" si="56"/>
        <v>0</v>
      </c>
      <c r="BJ74" s="46">
        <f t="shared" si="57"/>
        <v>0</v>
      </c>
      <c r="BK74" s="46">
        <f t="shared" si="58"/>
        <v>0</v>
      </c>
      <c r="BL74" s="46">
        <f t="shared" si="59"/>
        <v>0</v>
      </c>
      <c r="BO74" s="212">
        <v>20.5</v>
      </c>
      <c r="BP74" s="46">
        <f t="shared" si="60"/>
        <v>-19.343969032782375</v>
      </c>
      <c r="BQ74" s="207">
        <f t="shared" si="16"/>
        <v>-127.5</v>
      </c>
      <c r="BR74" s="46">
        <f t="shared" si="61"/>
        <v>-123.9532046087578</v>
      </c>
      <c r="BS74" s="46">
        <f t="shared" si="62"/>
        <v>-56.046795391242213</v>
      </c>
      <c r="BT74" s="46">
        <f t="shared" si="63"/>
        <v>236.0467953912422</v>
      </c>
      <c r="BU74" s="46">
        <f t="shared" si="104"/>
        <v>-123.9532046087578</v>
      </c>
      <c r="BV74" s="46">
        <f t="shared" si="108"/>
        <v>3.0189720750543065</v>
      </c>
      <c r="BW74" s="46">
        <f t="shared" si="66"/>
        <v>0</v>
      </c>
      <c r="BX74" s="47">
        <f>COS(RADIANS(BP74))*COS(RADIANS(BR74-Insolation!$L$6))*SIN(RADIANS(0))+(SIN(RADIANS(BP74))*COS(RADIANS(0)))</f>
        <v>-0.33123857231505249</v>
      </c>
      <c r="BY74" s="47">
        <f>COS(RADIANS(BP74))*COS(RADIANS(BR74-Insolation!$L$6))*SIN(RADIANS(Insolation!$L$7))+SIN(RADIANS(BP74))*COS(RADIANS(Insolation!$L$7))</f>
        <v>-0.52698575202019304</v>
      </c>
      <c r="BZ74" s="46">
        <f t="shared" si="67"/>
        <v>0</v>
      </c>
      <c r="CA74" s="46">
        <f t="shared" si="68"/>
        <v>0</v>
      </c>
      <c r="CB74" s="46">
        <f t="shared" si="69"/>
        <v>0</v>
      </c>
      <c r="CC74" s="46">
        <f>$BN$55*BW74*((1+COS(RADIANS(Insolation!$L$7)))/2)</f>
        <v>0</v>
      </c>
      <c r="CD74" s="46">
        <f t="shared" si="70"/>
        <v>0</v>
      </c>
      <c r="CE74" s="46">
        <f t="shared" si="71"/>
        <v>0</v>
      </c>
      <c r="CF74" s="46">
        <f t="shared" si="72"/>
        <v>0</v>
      </c>
      <c r="CG74" s="46">
        <f t="shared" si="73"/>
        <v>0</v>
      </c>
      <c r="CJ74" s="212">
        <v>20.5</v>
      </c>
      <c r="CK74" s="46">
        <f t="shared" si="74"/>
        <v>-11.890925072787658</v>
      </c>
      <c r="CL74" s="207">
        <f t="shared" si="17"/>
        <v>-127.5</v>
      </c>
      <c r="CM74" s="46">
        <f>IF(COS(RADIANS(CL74))&gt;=((TAN(RADIANS($CI$47)))/(TAN(RADIANS($A$43)))),CN74,IF(CJ74&lt;12,CO74,CP74))</f>
        <v>-129.86709363219057</v>
      </c>
      <c r="CN74" s="46">
        <f t="shared" si="76"/>
        <v>-50.132906367809433</v>
      </c>
      <c r="CO74" s="46">
        <f t="shared" si="77"/>
        <v>230.13290636780943</v>
      </c>
      <c r="CP74" s="46">
        <f t="shared" si="105"/>
        <v>-129.86709363219057</v>
      </c>
      <c r="CQ74" s="46">
        <f t="shared" si="109"/>
        <v>4.8532098310609522</v>
      </c>
      <c r="CR74" s="46">
        <f t="shared" si="80"/>
        <v>0</v>
      </c>
      <c r="CS74" s="47">
        <f>COS(RADIANS(CK74))*COS(RADIANS(CM74-Insolation!$L$6))*SIN(RADIANS(0))+(SIN(RADIANS(CK74))*COS(RADIANS(0)))</f>
        <v>-0.20604919935666405</v>
      </c>
      <c r="CT74" s="47">
        <f>COS(RADIANS(CK74))*COS(RADIANS(CM74-Insolation!$L$6))*SIN(RADIANS(Insolation!$L$7))+SIN(RADIANS(CK74))*COS(RADIANS(Insolation!$L$7))</f>
        <v>-0.62725391932254981</v>
      </c>
      <c r="CU74" s="46">
        <f t="shared" si="81"/>
        <v>0</v>
      </c>
      <c r="CV74" s="46">
        <f t="shared" si="82"/>
        <v>0</v>
      </c>
      <c r="CW74" s="46">
        <f t="shared" si="83"/>
        <v>0</v>
      </c>
      <c r="CX74" s="46">
        <f>$CI$55*CR74*((1+COS(RADIANS(Insolation!$L$7)))/2)</f>
        <v>0</v>
      </c>
      <c r="CY74" s="46">
        <f t="shared" si="84"/>
        <v>0</v>
      </c>
      <c r="CZ74" s="46">
        <f t="shared" si="101"/>
        <v>0</v>
      </c>
      <c r="DA74" s="46">
        <f t="shared" si="85"/>
        <v>0</v>
      </c>
      <c r="DB74" s="46">
        <f t="shared" si="86"/>
        <v>0</v>
      </c>
      <c r="DE74" s="212">
        <v>20.5</v>
      </c>
      <c r="DF74" s="46">
        <f t="shared" si="87"/>
        <v>-8.2498219131498409</v>
      </c>
      <c r="DG74" s="207">
        <f t="shared" si="18"/>
        <v>-127.5</v>
      </c>
      <c r="DH74" s="46">
        <f t="shared" si="88"/>
        <v>-132.59198265476553</v>
      </c>
      <c r="DI74" s="46">
        <f t="shared" si="89"/>
        <v>-47.40801734523447</v>
      </c>
      <c r="DJ74" s="46">
        <f t="shared" si="90"/>
        <v>227.40801734523447</v>
      </c>
      <c r="DK74" s="46">
        <f t="shared" si="106"/>
        <v>-132.59198265476553</v>
      </c>
      <c r="DL74" s="46">
        <f t="shared" si="110"/>
        <v>6.9691488209138122</v>
      </c>
      <c r="DM74" s="46">
        <f t="shared" si="93"/>
        <v>0</v>
      </c>
      <c r="DN74" s="47">
        <f>COS(RADIANS(DF74))*COS(RADIANS(DH74-Insolation!$L$6))*SIN(RADIANS(0))+(SIN(RADIANS(DF74))*COS(RADIANS(0)))</f>
        <v>-0.14348954595417543</v>
      </c>
      <c r="DO74" s="47">
        <f>COS(RADIANS(DF74))*COS(RADIANS(DH74-Insolation!$L$6))*SIN(RADIANS(Insolation!$L$7))+SIN(RADIANS(DF74))*COS(RADIANS(Insolation!$L$7))</f>
        <v>-0.66976960192328128</v>
      </c>
      <c r="DP74" s="46">
        <f t="shared" si="94"/>
        <v>0</v>
      </c>
      <c r="DQ74" s="46">
        <f t="shared" si="95"/>
        <v>0</v>
      </c>
      <c r="DR74" s="46">
        <f t="shared" si="96"/>
        <v>0</v>
      </c>
      <c r="DS74" s="46">
        <f>$DD$55*DM74*((1+COS(RADIANS(Insolation!$L$7)))/2)</f>
        <v>0</v>
      </c>
      <c r="DT74" s="46">
        <f t="shared" si="97"/>
        <v>0</v>
      </c>
      <c r="DU74" s="46">
        <f t="shared" si="98"/>
        <v>0</v>
      </c>
      <c r="DV74" s="46">
        <f t="shared" si="99"/>
        <v>0</v>
      </c>
      <c r="DW74" s="46">
        <f t="shared" si="100"/>
        <v>0</v>
      </c>
    </row>
    <row r="75" spans="3:127" x14ac:dyDescent="0.25">
      <c r="O75" s="237">
        <f>SUM(O45,O47,O49,O51,O53,O55,O57,O59,O61,O63,O65,O67,O69,O71,O73)/1000</f>
        <v>2.0950891538683702</v>
      </c>
      <c r="P75" s="237">
        <f t="shared" ref="P75:V75" si="111">SUM(P45,P47,P49,P51,P53,P55,P57,P59,P61,P63,P65,P67,P69,P71,P73)/1000</f>
        <v>0.34720272700250832</v>
      </c>
      <c r="Q75" s="237">
        <f t="shared" si="111"/>
        <v>5.0258689326178736</v>
      </c>
      <c r="R75" s="237">
        <f t="shared" si="111"/>
        <v>0.17360136350125416</v>
      </c>
      <c r="S75" s="237">
        <f t="shared" si="111"/>
        <v>5.8581452845175557</v>
      </c>
      <c r="T75" s="237">
        <f t="shared" si="111"/>
        <v>0.28649575353306878</v>
      </c>
      <c r="U75" s="237">
        <f t="shared" si="111"/>
        <v>6.2863417902074801</v>
      </c>
      <c r="V75" s="237">
        <f t="shared" si="111"/>
        <v>0.23145859524369708</v>
      </c>
      <c r="AJ75" s="237">
        <f>SUM(AJ45,AJ47,AJ49,AJ51,AJ53,AJ55,AJ57,AJ59,AJ61,AJ63,AJ65,AJ67,AJ69,AJ71,AJ73)/1000</f>
        <v>3.1415694180059135</v>
      </c>
      <c r="AK75" s="237">
        <f t="shared" ref="AK75:AQ75" si="112">SUM(AK45,AK47,AK49,AK51,AK53,AK55,AK57,AK59,AK61,AK63,AK65,AK67,AK69,AK71,AK73)/1000</f>
        <v>0.46317025703547432</v>
      </c>
      <c r="AL75" s="237">
        <f t="shared" si="112"/>
        <v>5.1882510827534274</v>
      </c>
      <c r="AM75" s="237">
        <f t="shared" si="112"/>
        <v>0.23158512851773716</v>
      </c>
      <c r="AN75" s="237">
        <f t="shared" si="112"/>
        <v>7.1612309419157532</v>
      </c>
      <c r="AO75" s="237">
        <f t="shared" si="112"/>
        <v>0.37541267951172386</v>
      </c>
      <c r="AP75" s="237">
        <f t="shared" si="112"/>
        <v>7.3582677314808116</v>
      </c>
      <c r="AQ75" s="237">
        <f t="shared" si="112"/>
        <v>0.33045904612522803</v>
      </c>
      <c r="BE75" s="237">
        <f>SUM(BE45,BE47,BE49,BE51,BE53,BE55,BE57,BE59,BE61,BE63,BE65,BE67,BE69,BE71,BE73)/1000</f>
        <v>4.4839355417398901</v>
      </c>
      <c r="BF75" s="237">
        <f t="shared" ref="BF75:BL75" si="113">SUM(BF45,BF47,BF49,BF51,BF53,BF55,BF57,BF59,BF61,BF63,BF65,BF67,BF69,BF71,BF73)/1000</f>
        <v>0.67387102890994721</v>
      </c>
      <c r="BG75" s="237">
        <f t="shared" si="113"/>
        <v>4.7045020496854102</v>
      </c>
      <c r="BH75" s="237">
        <f t="shared" si="113"/>
        <v>0.33693551445497361</v>
      </c>
      <c r="BI75" s="237">
        <f t="shared" si="113"/>
        <v>8.6634638340802326</v>
      </c>
      <c r="BJ75" s="237">
        <f t="shared" si="113"/>
        <v>0.52471175229617584</v>
      </c>
      <c r="BK75" s="237">
        <f t="shared" si="113"/>
        <v>8.6739594344152113</v>
      </c>
      <c r="BL75" s="237">
        <f t="shared" si="113"/>
        <v>0.51111169546693003</v>
      </c>
      <c r="BZ75" s="237">
        <f>SUM(BZ45,BZ47,BZ49,BZ51,BZ53,BZ55,BZ57,BZ59,BZ61,BZ63,BZ65,BZ67,BZ69,BZ71,BZ73)/1000</f>
        <v>5.8511323150390711</v>
      </c>
      <c r="CA75" s="237">
        <f t="shared" ref="CA75:CG75" si="114">SUM(CA45,CA47,CA49,CA51,CA53,CA55,CA57,CA59,CA61,CA63,CA65,CA67,CA69,CA71,CA73)/1000</f>
        <v>0.94422130587795261</v>
      </c>
      <c r="CB75" s="237">
        <f t="shared" si="114"/>
        <v>3.3062876350965076</v>
      </c>
      <c r="CC75" s="237">
        <f t="shared" si="114"/>
        <v>0.47211065293897631</v>
      </c>
      <c r="CD75" s="237">
        <f t="shared" si="114"/>
        <v>9.4627759124329458</v>
      </c>
      <c r="CE75" s="237">
        <f t="shared" si="114"/>
        <v>0.69830701307342757</v>
      </c>
      <c r="CF75" s="237">
        <f t="shared" si="114"/>
        <v>9.59198305439363</v>
      </c>
      <c r="CG75" s="237">
        <f t="shared" si="114"/>
        <v>0.76009926614030243</v>
      </c>
      <c r="CU75" s="237">
        <f>SUM(CU45,CU47,CU49,CU51,CU53,CU55,CU57,CU59,CU61,CU63,CU65,CU67,CU69,CU71,CU73)/1000</f>
        <v>6.690199155448207</v>
      </c>
      <c r="CV75" s="237">
        <f t="shared" ref="CV75:DB75" si="115">SUM(CV45,CV47,CV49,CV51,CV53,CV55,CV57,CV59,CV61,CV63,CV65,CV67,CV69,CV71,CV73)/1000</f>
        <v>1.1751969636725637</v>
      </c>
      <c r="CW75" s="237">
        <f t="shared" si="115"/>
        <v>2.0991215355929413</v>
      </c>
      <c r="CX75" s="237">
        <f t="shared" si="115"/>
        <v>0.58759848183628183</v>
      </c>
      <c r="CY75" s="237">
        <f t="shared" si="115"/>
        <v>9.4550097404487357</v>
      </c>
      <c r="CZ75" s="237">
        <f t="shared" si="115"/>
        <v>0.83116627726310865</v>
      </c>
      <c r="DA75" s="237">
        <f t="shared" si="115"/>
        <v>9.9873904718526418</v>
      </c>
      <c r="DB75" s="237">
        <f t="shared" si="115"/>
        <v>0.9812098939466688</v>
      </c>
      <c r="DP75" s="237">
        <f>SUM(DP45,DP47,DP49,DP51,DP53,DP55,DP57,DP59,DP61,DP63,DP65,DP67,DP69,DP71,DP73)/1000</f>
        <v>6.9478397601563575</v>
      </c>
      <c r="DQ75" s="237">
        <f t="shared" ref="DQ75:DW75" si="116">SUM(DQ45,DQ47,DQ49,DQ51,DQ53,DQ55,DQ57,DQ59,DQ61,DQ63,DQ65,DQ67,DQ69,DQ71,DQ73)/1000</f>
        <v>1.3162780383182102</v>
      </c>
      <c r="DR75" s="237">
        <f t="shared" si="116"/>
        <v>1.5260191494520288</v>
      </c>
      <c r="DS75" s="237">
        <f t="shared" si="116"/>
        <v>0.65813901915910511</v>
      </c>
      <c r="DT75" s="237">
        <f t="shared" si="116"/>
        <v>9.2077599962788756</v>
      </c>
      <c r="DU75" s="237">
        <f t="shared" si="116"/>
        <v>0.90777156130896619</v>
      </c>
      <c r="DV75" s="237">
        <f t="shared" si="116"/>
        <v>10.026451086095447</v>
      </c>
      <c r="DW75" s="237">
        <f t="shared" si="116"/>
        <v>1.1141971403985553</v>
      </c>
    </row>
    <row r="76" spans="3:127" x14ac:dyDescent="0.25">
      <c r="P76" s="238">
        <f>O75+P75</f>
        <v>2.4422918808708785</v>
      </c>
      <c r="Q76" s="238"/>
      <c r="R76" s="238">
        <f t="shared" ref="R76:V76" si="117">Q75+R75</f>
        <v>5.1994702961191281</v>
      </c>
      <c r="S76" s="238"/>
      <c r="T76" s="238">
        <f t="shared" si="117"/>
        <v>6.144641038050624</v>
      </c>
      <c r="U76" s="238"/>
      <c r="V76" s="238">
        <f t="shared" si="117"/>
        <v>6.517800385451177</v>
      </c>
      <c r="AK76" s="238">
        <f>AJ75+AK75</f>
        <v>3.6047396750413876</v>
      </c>
      <c r="AL76" s="238"/>
      <c r="AM76" s="238">
        <f t="shared" ref="AM76" si="118">AL75+AM75</f>
        <v>5.4198362112711642</v>
      </c>
      <c r="AN76" s="238"/>
      <c r="AO76" s="238">
        <f t="shared" ref="AO76" si="119">AN75+AO75</f>
        <v>7.5366436214274772</v>
      </c>
      <c r="AP76" s="238"/>
      <c r="AQ76" s="238">
        <f t="shared" ref="AQ76" si="120">AP75+AQ75</f>
        <v>7.68872677760604</v>
      </c>
      <c r="BF76" s="238">
        <f>BE75+BF75</f>
        <v>5.1578065706498375</v>
      </c>
      <c r="BG76" s="238"/>
      <c r="BH76" s="238">
        <f t="shared" ref="BH76" si="121">BG75+BH75</f>
        <v>5.0414375641403835</v>
      </c>
      <c r="BI76" s="238"/>
      <c r="BJ76" s="238">
        <f t="shared" ref="BJ76" si="122">BI75+BJ75</f>
        <v>9.1881755863764081</v>
      </c>
      <c r="BK76" s="238"/>
      <c r="BL76" s="238">
        <f t="shared" ref="BL76" si="123">BK75+BL75</f>
        <v>9.1850711298821412</v>
      </c>
      <c r="CA76" s="238">
        <f>BZ75+CA75</f>
        <v>6.795353620917024</v>
      </c>
      <c r="CB76" s="238"/>
      <c r="CC76" s="238">
        <f t="shared" ref="CC76" si="124">CB75+CC75</f>
        <v>3.7783982880354841</v>
      </c>
      <c r="CD76" s="238"/>
      <c r="CE76" s="238">
        <f t="shared" ref="CE76" si="125">CD75+CE75</f>
        <v>10.161082925506374</v>
      </c>
      <c r="CF76" s="238"/>
      <c r="CG76" s="238">
        <f t="shared" ref="CG76" si="126">CF75+CG75</f>
        <v>10.352082320533933</v>
      </c>
      <c r="CV76" s="238">
        <f>CU75+CV75</f>
        <v>7.8653961191207706</v>
      </c>
      <c r="CW76" s="238"/>
      <c r="CX76" s="238">
        <f t="shared" ref="CX76" si="127">CW75+CX75</f>
        <v>2.6867200174292232</v>
      </c>
      <c r="CY76" s="238"/>
      <c r="CZ76" s="238">
        <f t="shared" ref="CZ76" si="128">CY75+CZ75</f>
        <v>10.286176017711844</v>
      </c>
      <c r="DA76" s="238"/>
      <c r="DB76" s="238">
        <f t="shared" ref="DB76" si="129">DA75+DB75</f>
        <v>10.968600365799311</v>
      </c>
      <c r="DQ76" s="238">
        <f>DP75+DQ75</f>
        <v>8.2641177984745671</v>
      </c>
      <c r="DR76" s="238"/>
      <c r="DS76" s="238">
        <f t="shared" ref="DS76" si="130">DR75+DS75</f>
        <v>2.184158168611134</v>
      </c>
      <c r="DT76" s="238"/>
      <c r="DU76" s="238">
        <f t="shared" ref="DU76" si="131">DT75+DU75</f>
        <v>10.115531557587842</v>
      </c>
      <c r="DV76" s="238"/>
      <c r="DW76" s="238">
        <f t="shared" ref="DW76" si="132">DV75+DW75</f>
        <v>11.140648226494003</v>
      </c>
    </row>
    <row r="78" spans="3:127" x14ac:dyDescent="0.25">
      <c r="O78" s="371" t="s">
        <v>152</v>
      </c>
      <c r="P78" s="372"/>
      <c r="Q78" s="371" t="s">
        <v>153</v>
      </c>
      <c r="R78" s="372"/>
      <c r="S78" s="371" t="s">
        <v>173</v>
      </c>
      <c r="T78" s="372"/>
      <c r="U78" s="371" t="s">
        <v>174</v>
      </c>
      <c r="V78" s="372"/>
      <c r="AJ78" s="371" t="s">
        <v>152</v>
      </c>
      <c r="AK78" s="372"/>
      <c r="AL78" s="371" t="s">
        <v>153</v>
      </c>
      <c r="AM78" s="372"/>
      <c r="AN78" s="371" t="s">
        <v>173</v>
      </c>
      <c r="AO78" s="372"/>
      <c r="AP78" s="371" t="s">
        <v>174</v>
      </c>
      <c r="AQ78" s="372"/>
      <c r="BE78" s="371" t="s">
        <v>152</v>
      </c>
      <c r="BF78" s="372"/>
      <c r="BG78" s="371" t="s">
        <v>153</v>
      </c>
      <c r="BH78" s="372"/>
      <c r="BI78" s="371" t="s">
        <v>173</v>
      </c>
      <c r="BJ78" s="372"/>
      <c r="BK78" s="371" t="s">
        <v>174</v>
      </c>
      <c r="BL78" s="372"/>
      <c r="BZ78" s="371" t="s">
        <v>152</v>
      </c>
      <c r="CA78" s="372"/>
      <c r="CB78" s="371" t="s">
        <v>153</v>
      </c>
      <c r="CC78" s="372"/>
      <c r="CD78" s="371" t="s">
        <v>173</v>
      </c>
      <c r="CE78" s="372"/>
      <c r="CF78" s="371" t="s">
        <v>174</v>
      </c>
      <c r="CG78" s="372"/>
      <c r="CU78" s="371" t="s">
        <v>152</v>
      </c>
      <c r="CV78" s="372"/>
      <c r="CW78" s="371" t="s">
        <v>153</v>
      </c>
      <c r="CX78" s="372"/>
      <c r="CY78" s="371" t="s">
        <v>173</v>
      </c>
      <c r="CZ78" s="372"/>
      <c r="DA78" s="371" t="s">
        <v>174</v>
      </c>
      <c r="DB78" s="372"/>
      <c r="DP78" s="371" t="s">
        <v>152</v>
      </c>
      <c r="DQ78" s="372"/>
      <c r="DR78" s="371" t="s">
        <v>153</v>
      </c>
      <c r="DS78" s="372"/>
      <c r="DT78" s="371" t="s">
        <v>173</v>
      </c>
      <c r="DU78" s="372"/>
      <c r="DV78" s="371" t="s">
        <v>174</v>
      </c>
      <c r="DW78" s="372"/>
    </row>
    <row r="79" spans="3:127" x14ac:dyDescent="0.25">
      <c r="C79" s="229" t="s">
        <v>195</v>
      </c>
      <c r="D79" s="45" t="s">
        <v>82</v>
      </c>
      <c r="E79" s="45" t="s">
        <v>83</v>
      </c>
      <c r="F79" s="45" t="s">
        <v>179</v>
      </c>
      <c r="G79" s="45" t="s">
        <v>60</v>
      </c>
      <c r="H79" s="234">
        <v>1</v>
      </c>
      <c r="I79" s="234">
        <v>2</v>
      </c>
      <c r="J79" s="234">
        <v>3</v>
      </c>
      <c r="K79" s="45" t="s">
        <v>185</v>
      </c>
      <c r="L79" s="45" t="s">
        <v>183</v>
      </c>
      <c r="M79" s="45" t="s">
        <v>186</v>
      </c>
      <c r="N79" s="45" t="s">
        <v>187</v>
      </c>
      <c r="O79" s="45" t="s">
        <v>150</v>
      </c>
      <c r="P79" s="45" t="s">
        <v>188</v>
      </c>
      <c r="Q79" s="45" t="s">
        <v>150</v>
      </c>
      <c r="R79" s="45" t="s">
        <v>188</v>
      </c>
      <c r="S79" s="45" t="s">
        <v>150</v>
      </c>
      <c r="T79" s="45" t="s">
        <v>188</v>
      </c>
      <c r="U79" s="45" t="s">
        <v>150</v>
      </c>
      <c r="V79" s="45" t="s">
        <v>188</v>
      </c>
      <c r="X79" s="229" t="s">
        <v>196</v>
      </c>
      <c r="Y79" s="45" t="s">
        <v>82</v>
      </c>
      <c r="Z79" s="45" t="s">
        <v>83</v>
      </c>
      <c r="AA79" s="45" t="s">
        <v>179</v>
      </c>
      <c r="AB79" s="45" t="s">
        <v>60</v>
      </c>
      <c r="AC79" s="234">
        <v>1</v>
      </c>
      <c r="AD79" s="234">
        <v>2</v>
      </c>
      <c r="AE79" s="234">
        <v>3</v>
      </c>
      <c r="AF79" s="45" t="s">
        <v>185</v>
      </c>
      <c r="AG79" s="45" t="s">
        <v>183</v>
      </c>
      <c r="AH79" s="45" t="s">
        <v>186</v>
      </c>
      <c r="AI79" s="45" t="s">
        <v>187</v>
      </c>
      <c r="AJ79" s="45" t="s">
        <v>150</v>
      </c>
      <c r="AK79" s="45" t="s">
        <v>188</v>
      </c>
      <c r="AL79" s="45" t="s">
        <v>150</v>
      </c>
      <c r="AM79" s="45" t="s">
        <v>188</v>
      </c>
      <c r="AN79" s="45" t="s">
        <v>150</v>
      </c>
      <c r="AO79" s="45" t="s">
        <v>188</v>
      </c>
      <c r="AP79" s="45" t="s">
        <v>150</v>
      </c>
      <c r="AQ79" s="45" t="s">
        <v>188</v>
      </c>
      <c r="AS79" s="229" t="s">
        <v>197</v>
      </c>
      <c r="AT79" s="45" t="s">
        <v>82</v>
      </c>
      <c r="AU79" s="45" t="s">
        <v>83</v>
      </c>
      <c r="AV79" s="45" t="s">
        <v>179</v>
      </c>
      <c r="AW79" s="45" t="s">
        <v>60</v>
      </c>
      <c r="AX79" s="234">
        <v>1</v>
      </c>
      <c r="AY79" s="234">
        <v>2</v>
      </c>
      <c r="AZ79" s="234">
        <v>3</v>
      </c>
      <c r="BA79" s="45" t="s">
        <v>185</v>
      </c>
      <c r="BB79" s="45" t="s">
        <v>183</v>
      </c>
      <c r="BC79" s="45" t="s">
        <v>186</v>
      </c>
      <c r="BD79" s="45" t="s">
        <v>187</v>
      </c>
      <c r="BE79" s="45" t="s">
        <v>150</v>
      </c>
      <c r="BF79" s="45" t="s">
        <v>188</v>
      </c>
      <c r="BG79" s="45" t="s">
        <v>150</v>
      </c>
      <c r="BH79" s="45" t="s">
        <v>188</v>
      </c>
      <c r="BI79" s="45" t="s">
        <v>150</v>
      </c>
      <c r="BJ79" s="45" t="s">
        <v>188</v>
      </c>
      <c r="BK79" s="45" t="s">
        <v>150</v>
      </c>
      <c r="BL79" s="45" t="s">
        <v>188</v>
      </c>
      <c r="BN79" s="229" t="s">
        <v>198</v>
      </c>
      <c r="BO79" s="45" t="s">
        <v>82</v>
      </c>
      <c r="BP79" s="45" t="s">
        <v>83</v>
      </c>
      <c r="BQ79" s="45" t="s">
        <v>179</v>
      </c>
      <c r="BR79" s="45" t="s">
        <v>60</v>
      </c>
      <c r="BS79" s="234">
        <v>1</v>
      </c>
      <c r="BT79" s="234">
        <v>2</v>
      </c>
      <c r="BU79" s="234">
        <v>3</v>
      </c>
      <c r="BV79" s="45" t="s">
        <v>185</v>
      </c>
      <c r="BW79" s="45" t="s">
        <v>183</v>
      </c>
      <c r="BX79" s="45" t="s">
        <v>186</v>
      </c>
      <c r="BY79" s="45" t="s">
        <v>187</v>
      </c>
      <c r="BZ79" s="45" t="s">
        <v>150</v>
      </c>
      <c r="CA79" s="45" t="s">
        <v>188</v>
      </c>
      <c r="CB79" s="45" t="s">
        <v>150</v>
      </c>
      <c r="CC79" s="45" t="s">
        <v>188</v>
      </c>
      <c r="CD79" s="45" t="s">
        <v>150</v>
      </c>
      <c r="CE79" s="45" t="s">
        <v>188</v>
      </c>
      <c r="CF79" s="45" t="s">
        <v>150</v>
      </c>
      <c r="CG79" s="45" t="s">
        <v>188</v>
      </c>
      <c r="CI79" s="229" t="s">
        <v>199</v>
      </c>
      <c r="CJ79" s="45" t="s">
        <v>82</v>
      </c>
      <c r="CK79" s="45" t="s">
        <v>83</v>
      </c>
      <c r="CL79" s="45" t="s">
        <v>179</v>
      </c>
      <c r="CM79" s="45" t="s">
        <v>60</v>
      </c>
      <c r="CN79" s="234">
        <v>1</v>
      </c>
      <c r="CO79" s="234">
        <v>2</v>
      </c>
      <c r="CP79" s="234">
        <v>3</v>
      </c>
      <c r="CQ79" s="45" t="s">
        <v>185</v>
      </c>
      <c r="CR79" s="45" t="s">
        <v>183</v>
      </c>
      <c r="CS79" s="45" t="s">
        <v>186</v>
      </c>
      <c r="CT79" s="45" t="s">
        <v>187</v>
      </c>
      <c r="CU79" s="45" t="s">
        <v>150</v>
      </c>
      <c r="CV79" s="45" t="s">
        <v>188</v>
      </c>
      <c r="CW79" s="45" t="s">
        <v>150</v>
      </c>
      <c r="CX79" s="45" t="s">
        <v>188</v>
      </c>
      <c r="CY79" s="45" t="s">
        <v>150</v>
      </c>
      <c r="CZ79" s="45" t="s">
        <v>188</v>
      </c>
      <c r="DA79" s="45" t="s">
        <v>150</v>
      </c>
      <c r="DB79" s="45" t="s">
        <v>188</v>
      </c>
      <c r="DD79" s="229" t="s">
        <v>200</v>
      </c>
      <c r="DE79" s="45" t="s">
        <v>82</v>
      </c>
      <c r="DF79" s="45" t="s">
        <v>83</v>
      </c>
      <c r="DG79" s="45" t="s">
        <v>179</v>
      </c>
      <c r="DH79" s="45" t="s">
        <v>60</v>
      </c>
      <c r="DI79" s="234">
        <v>1</v>
      </c>
      <c r="DJ79" s="234">
        <v>2</v>
      </c>
      <c r="DK79" s="234">
        <v>3</v>
      </c>
      <c r="DL79" s="45" t="s">
        <v>185</v>
      </c>
      <c r="DM79" s="45" t="s">
        <v>183</v>
      </c>
      <c r="DN79" s="45" t="s">
        <v>186</v>
      </c>
      <c r="DO79" s="45" t="s">
        <v>187</v>
      </c>
      <c r="DP79" s="45" t="s">
        <v>150</v>
      </c>
      <c r="DQ79" s="45" t="s">
        <v>188</v>
      </c>
      <c r="DR79" s="45" t="s">
        <v>150</v>
      </c>
      <c r="DS79" s="45" t="s">
        <v>188</v>
      </c>
      <c r="DT79" s="45" t="s">
        <v>150</v>
      </c>
      <c r="DU79" s="45" t="s">
        <v>188</v>
      </c>
      <c r="DV79" s="45" t="s">
        <v>150</v>
      </c>
      <c r="DW79" s="45" t="s">
        <v>188</v>
      </c>
    </row>
    <row r="80" spans="3:127" x14ac:dyDescent="0.25">
      <c r="C80" s="236" t="s">
        <v>41</v>
      </c>
      <c r="D80" s="212">
        <v>5.5</v>
      </c>
      <c r="E80" s="46">
        <f>DEGREES(ASIN(COS(RADIANS($A$43))*COS(RADIANS($C$83))*COS(RADIANS(F80))+SIN(RADIANS($A$43))*SIN(RADIANS($C$83))))</f>
        <v>9.1462247471881923</v>
      </c>
      <c r="F80" s="207">
        <f t="shared" ref="F80:F110" si="133">15*(12-D80)</f>
        <v>97.5</v>
      </c>
      <c r="G80" s="46">
        <f>IF(COS(RADIANS(F80))&gt;=((TAN(RADIANS($C$83)))/(TAN(RADIANS($A$43)))),H80,IF(D80&lt;12,I80,J80))</f>
        <v>110.89661000714506</v>
      </c>
      <c r="H80" s="46">
        <f>DEGREES(ASIN(COS(RADIANS($C$83))*SIN(RADIANS(F80))/COS(RADIANS(E80))))</f>
        <v>69.103389992854943</v>
      </c>
      <c r="I80" s="46">
        <f>180-H80</f>
        <v>110.89661000714506</v>
      </c>
      <c r="J80" s="46">
        <f>180-H80-360</f>
        <v>-249.10338999285494</v>
      </c>
      <c r="K80" s="46">
        <f>ABS(1/SIN(RADIANS(E80)))</f>
        <v>6.2911030983542711</v>
      </c>
      <c r="L80" s="46">
        <f>IF(E80&gt;0,$C$87*EXP(-$C$89*K80),0)</f>
        <v>292.00193813714145</v>
      </c>
      <c r="M80" s="47">
        <f>COS(RADIANS(E80))*COS(RADIANS(G80-Insolation!$L$6))*SIN(RADIANS(0))+(SIN(RADIANS(E80))*COS(RADIANS(0)))</f>
        <v>0.1589546355171951</v>
      </c>
      <c r="N80" s="47">
        <f>COS(RADIANS(E80))*COS(RADIANS(G80-Insolation!$L$6))*SIN(RADIANS(Insolation!$L$7))+SIN(RADIANS(E80))*COS(RADIANS(Insolation!$L$7))</f>
        <v>-0.3521478207930831</v>
      </c>
      <c r="O80" s="46">
        <f>L80*M80</f>
        <v>46.415061646903872</v>
      </c>
      <c r="P80" s="46">
        <f>$C$91*L80</f>
        <v>39.381237361982542</v>
      </c>
      <c r="Q80" s="46">
        <f>IF(N80&lt;0,0,L80*N80)</f>
        <v>0</v>
      </c>
      <c r="R80" s="46">
        <f>$C$91*L80*((1+COS(RADIANS(Insolation!$L$7)))/2)</f>
        <v>19.690618680991271</v>
      </c>
      <c r="S80" s="46">
        <f>L80*COS(RADIANS($C$83))</f>
        <v>271.65133984437591</v>
      </c>
      <c r="T80" s="46">
        <f>$C$91*L80*((1+COS(RADIANS(90-E80+$C$83)))/2)</f>
        <v>15.472044247320957</v>
      </c>
      <c r="U80" s="46">
        <f>L80</f>
        <v>292.00193813714145</v>
      </c>
      <c r="V80" s="46">
        <f>$C$91*L80*((1+COS(RADIANS(90-E80)))/2)</f>
        <v>22.820533796536314</v>
      </c>
      <c r="X80" s="236" t="s">
        <v>41</v>
      </c>
      <c r="Y80" s="212">
        <v>5.5</v>
      </c>
      <c r="Z80" s="46">
        <f>DEGREES(ASIN(COS(RADIANS($A$43))*COS(RADIANS($X$83))*COS(RADIANS(AA80))+SIN(RADIANS($A$43))*SIN(RADIANS($X$83))))</f>
        <v>3.8996569074122109</v>
      </c>
      <c r="AA80" s="207">
        <f t="shared" ref="AA80:AA110" si="134">15*(12-Y80)</f>
        <v>97.5</v>
      </c>
      <c r="AB80" s="46">
        <f>IF(COS(RADIANS(AA80))&gt;=((TAN(RADIANS($X$83)))/(TAN(RADIANS($A$43)))),AC80,IF(Y80&lt;12,AD80,AE80))</f>
        <v>105.17551146539803</v>
      </c>
      <c r="AC80" s="46">
        <f>DEGREES(ASIN(COS(RADIANS($X$83))*SIN(RADIANS(AA80))/COS(RADIANS(Z80))))</f>
        <v>74.824488534601969</v>
      </c>
      <c r="AD80" s="46">
        <f>180-AC80</f>
        <v>105.17551146539803</v>
      </c>
      <c r="AE80" s="46">
        <f>180-AC80-360</f>
        <v>-254.82448853460198</v>
      </c>
      <c r="AF80" s="46">
        <f>ABS(1/SIN(RADIANS(Z80)))</f>
        <v>14.703867828880794</v>
      </c>
      <c r="AG80" s="46">
        <f>IF(Z80&gt;0,$X$87*EXP(-$X$89*AF80),0)</f>
        <v>56.191573578189313</v>
      </c>
      <c r="AH80" s="47">
        <f>COS(RADIANS(Z80))*COS(RADIANS(AB80-Insolation!$L$6))*SIN(RADIANS(0))+(SIN(RADIANS(Z80))*COS(RADIANS(0)))</f>
        <v>6.8009316435491685E-2</v>
      </c>
      <c r="AI80" s="47">
        <f>COS(RADIANS(Z80))*COS(RADIANS(AB80-Insolation!$L$6))*SIN(RADIANS(Insolation!$L$7))+SIN(RADIANS(Z80))*COS(RADIANS(Insolation!$L$7))</f>
        <v>-0.26117060605729059</v>
      </c>
      <c r="AJ80" s="46">
        <f>AG80*AH80</f>
        <v>3.8215505084872907</v>
      </c>
      <c r="AK80" s="46">
        <f>$X$91*AG80</f>
        <v>7.1735018098165666</v>
      </c>
      <c r="AL80" s="46">
        <f>IF(AI80&lt;0,0,AG80*AI80)</f>
        <v>0</v>
      </c>
      <c r="AM80" s="46">
        <f>$X$91*AG80*((1+COS(RADIANS(Insolation!$L$7)))/2)</f>
        <v>3.5867509049082833</v>
      </c>
      <c r="AN80" s="46">
        <f>AG80*COS(RADIANS($X$83))</f>
        <v>54.573406038904942</v>
      </c>
      <c r="AO80" s="46">
        <f>$X$91*AG80*((1+COS(RADIANS(90-Z80+$X$83)))/2)</f>
        <v>2.971076487573904</v>
      </c>
      <c r="AP80" s="46">
        <f>AG80</f>
        <v>56.191573578189313</v>
      </c>
      <c r="AQ80" s="46">
        <f>$X$91*AG80*((1+COS(RADIANS(90-Z80)))/2)</f>
        <v>3.8306833821754767</v>
      </c>
      <c r="AS80" s="236" t="s">
        <v>41</v>
      </c>
      <c r="AT80" s="212">
        <v>5.5</v>
      </c>
      <c r="AU80" s="46">
        <f>DEGREES(ASIN(COS(RADIANS($A$43))*COS(RADIANS($AS$83))*COS(RADIANS(AV80))+SIN(RADIANS($A$43))*SIN(RADIANS($AS$83))))</f>
        <v>-4.0025586735831418</v>
      </c>
      <c r="AV80" s="207">
        <f t="shared" ref="AV80:AV110" si="135">15*(12-AT80)</f>
        <v>97.5</v>
      </c>
      <c r="AW80" s="46">
        <f>IF(COS(RADIANS(AV80))&gt;=((TAN(RADIANS($AS$83)))/(TAN(RADIANS($A$43)))),AX80,IF(AT80&lt;12,AY80,AZ80))</f>
        <v>96.722321601457949</v>
      </c>
      <c r="AX80" s="46">
        <f>DEGREES(ASIN(COS(RADIANS($AS$83))*SIN(RADIANS(AV80))/COS(RADIANS(AU80))))</f>
        <v>83.277678398542051</v>
      </c>
      <c r="AY80" s="46">
        <f>180-AX80</f>
        <v>96.722321601457949</v>
      </c>
      <c r="AZ80" s="46">
        <f>180-AX80-360</f>
        <v>-263.27767839854204</v>
      </c>
      <c r="BA80" s="46">
        <f>ABS(1/SIN(RADIANS(AU80)))</f>
        <v>14.326437764220183</v>
      </c>
      <c r="BB80" s="46">
        <f>IF(AU80&gt;0,$AS$87*EXP(-$AS$89*BA80),0)</f>
        <v>0</v>
      </c>
      <c r="BC80" s="47">
        <f>COS(RADIANS(AU80))*COS(RADIANS(AW80-Insolation!$L$6))*SIN(RADIANS(0))+(SIN(RADIANS(AU80))*COS(RADIANS(0)))</f>
        <v>-6.9801022170177418E-2</v>
      </c>
      <c r="BD80" s="47">
        <f>COS(RADIANS(AU80))*COS(RADIANS(AW80-Insolation!$L$6))*SIN(RADIANS(Insolation!$L$7))+SIN(RADIANS(AU80))*COS(RADIANS(Insolation!$L$7))</f>
        <v>-0.11677214173354342</v>
      </c>
      <c r="BE80" s="46">
        <f>BB80*BC80</f>
        <v>0</v>
      </c>
      <c r="BF80" s="46">
        <f>$AS$91*BB80</f>
        <v>0</v>
      </c>
      <c r="BG80" s="46">
        <f>IF(BD80&lt;0,0,BB80*BD80)</f>
        <v>0</v>
      </c>
      <c r="BH80" s="46">
        <f>$AS$91*BB80*((1+COS(RADIANS(Insolation!$L$7)))/2)</f>
        <v>0</v>
      </c>
      <c r="BI80" s="46">
        <f>BB80*COS(RADIANS($AS$83))</f>
        <v>0</v>
      </c>
      <c r="BJ80" s="46">
        <f>$AS$91*BB80*((1+COS(RADIANS(90-AU80+$AS$83)))/2)</f>
        <v>0</v>
      </c>
      <c r="BK80" s="46">
        <f>BB80</f>
        <v>0</v>
      </c>
      <c r="BL80" s="46">
        <f>$AS$91*BB80*((1+COS(RADIANS(90-AU80)))/2)</f>
        <v>0</v>
      </c>
      <c r="BN80" s="236" t="s">
        <v>41</v>
      </c>
      <c r="BO80" s="212">
        <v>5.5</v>
      </c>
      <c r="BP80" s="46">
        <f>DEGREES(ASIN(COS(RADIANS($A$43))*COS(RADIANS($BN$83))*COS(RADIANS(BQ80))+SIN(RADIANS($A$43))*SIN(RADIANS($BN$83))))</f>
        <v>-11.982717699865908</v>
      </c>
      <c r="BQ80" s="207">
        <f t="shared" ref="BQ80:BQ110" si="136">15*(12-BO80)</f>
        <v>97.5</v>
      </c>
      <c r="BR80" s="46">
        <f>IF(COS(RADIANS(BQ80))&gt;=((TAN(RADIANS($BN$83)))/(TAN(RADIANS($A$43)))),BS80,IF(BO80&lt;12,BT80,BU80))</f>
        <v>87.914671185103856</v>
      </c>
      <c r="BS80" s="46">
        <f>DEGREES(ASIN(COS(RADIANS($BN$83))*SIN(RADIANS(BQ80))/COS(RADIANS(BP80))))</f>
        <v>87.914671185103856</v>
      </c>
      <c r="BT80" s="46">
        <f>180-BS80</f>
        <v>92.085328814896144</v>
      </c>
      <c r="BU80" s="46">
        <f>180-BS80-360</f>
        <v>-267.91467118510388</v>
      </c>
      <c r="BV80" s="46">
        <f>ABS(1/SIN(RADIANS(BP80)))</f>
        <v>4.816569622263116</v>
      </c>
      <c r="BW80" s="46">
        <f>IF(BP80&gt;0,$BN$87*EXP(-$BN$89*BV80),0)</f>
        <v>0</v>
      </c>
      <c r="BX80" s="47">
        <f>COS(RADIANS(BP80))*COS(RADIANS(BR80-Insolation!$L$6))*SIN(RADIANS(0))+(SIN(RADIANS(BP80))*COS(RADIANS(0)))</f>
        <v>-0.20761663973002834</v>
      </c>
      <c r="BY80" s="47">
        <f>COS(RADIANS(BP80))*COS(RADIANS(BR80-Insolation!$L$6))*SIN(RADIANS(Insolation!$L$7))+SIN(RADIANS(BP80))*COS(RADIANS(Insolation!$L$7))</f>
        <v>3.559493821691815E-2</v>
      </c>
      <c r="BZ80" s="46">
        <f>BW80*BX80</f>
        <v>0</v>
      </c>
      <c r="CA80" s="46">
        <f>$BN$91*BW80</f>
        <v>0</v>
      </c>
      <c r="CB80" s="46">
        <f>IF(BY80&lt;0,0,BW80*BY80)</f>
        <v>0</v>
      </c>
      <c r="CC80" s="46">
        <f>$BN$91*BW80*((1+COS(RADIANS(Insolation!$L$7)))/2)</f>
        <v>0</v>
      </c>
      <c r="CD80" s="46">
        <f>BW80*COS(RADIANS($BN$83))</f>
        <v>0</v>
      </c>
      <c r="CE80" s="46">
        <f>$BN$91*BW80*((1+COS(RADIANS(90-BP80+$BN$83)))/2)</f>
        <v>0</v>
      </c>
      <c r="CF80" s="46">
        <f>BW80</f>
        <v>0</v>
      </c>
      <c r="CG80" s="46">
        <f>$BN$91*BW80*((1+COS(RADIANS(90-BP80)))/2)</f>
        <v>0</v>
      </c>
      <c r="CI80" s="236" t="s">
        <v>41</v>
      </c>
      <c r="CJ80" s="212">
        <v>5.5</v>
      </c>
      <c r="CK80" s="46">
        <f>DEGREES(ASIN(COS(RADIANS($A$43))*COS(RADIANS($CI$83))*COS(RADIANS(CL80))+SIN(RADIANS($A$43))*SIN(RADIANS($CI$83))))</f>
        <v>-18.229038495388547</v>
      </c>
      <c r="CL80" s="207">
        <f t="shared" ref="CL80:CL110" si="137">15*(12-CJ80)</f>
        <v>97.5</v>
      </c>
      <c r="CM80" s="46">
        <f>IF(COS(RADIANS(CL80))&gt;=((TAN(RADIANS($CI$83)))/(TAN(RADIANS($A$43)))),CN80,IF(CJ80&lt;12,CO80,CP80))</f>
        <v>80.429412247805587</v>
      </c>
      <c r="CN80" s="46">
        <f>DEGREES(ASIN(COS(RADIANS($CI$83))*SIN(RADIANS(CL80))/COS(RADIANS(CK80))))</f>
        <v>80.429412247805587</v>
      </c>
      <c r="CO80" s="46">
        <f>180-CN80</f>
        <v>99.570587752194413</v>
      </c>
      <c r="CP80" s="46">
        <f>180-CN80-360</f>
        <v>-260.4294122478056</v>
      </c>
      <c r="CQ80" s="46">
        <f>ABS(1/SIN(RADIANS(CK80)))</f>
        <v>3.196763947059722</v>
      </c>
      <c r="CR80" s="46">
        <f>IF(CK80&gt;0,$CI$87*EXP(-$CI$89*CQ80),0)</f>
        <v>0</v>
      </c>
      <c r="CS80" s="47">
        <f>COS(RADIANS(CK80))*COS(RADIANS(CM80-Insolation!$L$6))*SIN(RADIANS(0))+(SIN(RADIANS(CK80))*COS(RADIANS(0)))</f>
        <v>-0.31281634069971509</v>
      </c>
      <c r="CT80" s="47">
        <f>COS(RADIANS(CK80))*COS(RADIANS(CM80-Insolation!$L$6))*SIN(RADIANS(Insolation!$L$7))+SIN(RADIANS(CK80))*COS(RADIANS(Insolation!$L$7))</f>
        <v>0.15791845845691346</v>
      </c>
      <c r="CU80" s="46">
        <f>CR80*CS80</f>
        <v>0</v>
      </c>
      <c r="CV80" s="46">
        <f>$CI$91*CR80</f>
        <v>0</v>
      </c>
      <c r="CW80" s="46">
        <f>IF(CT80&lt;0,0,CR80*CT80)</f>
        <v>0</v>
      </c>
      <c r="CX80" s="46">
        <f>$CI$91*CR80*((1+COS(RADIANS(Insolation!$L$7)))/2)</f>
        <v>0</v>
      </c>
      <c r="CY80" s="46">
        <f>CR80*COS(RADIANS($CI$83))</f>
        <v>0</v>
      </c>
      <c r="CZ80" s="46">
        <f>$CI$91*CR80*((1+COS(RADIANS(90-CK80+$CI$83)))/2)</f>
        <v>0</v>
      </c>
      <c r="DA80" s="46">
        <f>CR80</f>
        <v>0</v>
      </c>
      <c r="DB80" s="46">
        <f>$CI$91*CR80*((1+COS(RADIANS(90-CK80)))/2)</f>
        <v>0</v>
      </c>
      <c r="DD80" s="236" t="s">
        <v>41</v>
      </c>
      <c r="DE80" s="212">
        <v>5.5</v>
      </c>
      <c r="DF80" s="46">
        <f>DEGREES(ASIN(COS(RADIANS($A$43))*COS(RADIANS($DD$83))*COS(RADIANS(DG80))+SIN(RADIANS($A$43))*SIN(RADIANS($DD$83))))</f>
        <v>-20.878123737037505</v>
      </c>
      <c r="DG80" s="207">
        <f t="shared" ref="DG80:DG110" si="138">15*(12-DE80)</f>
        <v>97.5</v>
      </c>
      <c r="DH80" s="46">
        <f>IF(COS(RADIANS(DG80))&gt;=((TAN(RADIANS($DD$83)))/(TAN(RADIANS($A$43)))),DI80,IF(DE80&lt;12,DJ80,DK80))</f>
        <v>76.987517626180093</v>
      </c>
      <c r="DI80" s="46">
        <f>DEGREES(ASIN(COS(RADIANS($DD$83))*SIN(RADIANS(DG80))/COS(RADIANS(DF80))))</f>
        <v>76.987517626180093</v>
      </c>
      <c r="DJ80" s="46">
        <f>180-DI80</f>
        <v>103.01248237381991</v>
      </c>
      <c r="DK80" s="46">
        <f>180-DI80-360</f>
        <v>-256.98751762618008</v>
      </c>
      <c r="DL80" s="46">
        <f>ABS(1/SIN(RADIANS(DF80)))</f>
        <v>2.8059835077562751</v>
      </c>
      <c r="DM80" s="46">
        <f>IF(DF80&gt;0,$DD$87*EXP(-$DD$89*DL80),0)</f>
        <v>0</v>
      </c>
      <c r="DN80" s="47">
        <f>COS(RADIANS(DF80))*COS(RADIANS(DH80-Insolation!$L$6))*SIN(RADIANS(0))+(SIN(RADIANS(DF80))*COS(RADIANS(0)))</f>
        <v>-0.35638128208373598</v>
      </c>
      <c r="DO80" s="47">
        <f>COS(RADIANS(DF80))*COS(RADIANS(DH80-Insolation!$L$6))*SIN(RADIANS(Insolation!$L$7))+SIN(RADIANS(DF80))*COS(RADIANS(Insolation!$L$7))</f>
        <v>0.21037923809021747</v>
      </c>
      <c r="DP80" s="46">
        <f>DM80*DN80</f>
        <v>0</v>
      </c>
      <c r="DQ80" s="46">
        <f>$DD$91*DM80</f>
        <v>0</v>
      </c>
      <c r="DR80" s="46">
        <f>IF(DO80&lt;0,0,DM80*DO80)</f>
        <v>0</v>
      </c>
      <c r="DS80" s="46">
        <f>$DD$91*DM80*((1+COS(RADIANS(Insolation!$L$7)))/2)</f>
        <v>0</v>
      </c>
      <c r="DT80" s="46">
        <f>DM80*COS(RADIANS($DD$83))</f>
        <v>0</v>
      </c>
      <c r="DU80" s="46">
        <f>$DD$91*DM80*((1+COS(RADIANS(90-DF80+$DD$83)))/2)</f>
        <v>0</v>
      </c>
      <c r="DV80" s="46">
        <f>DM80</f>
        <v>0</v>
      </c>
      <c r="DW80" s="46">
        <f>$DD$91*DM80*((1+COS(RADIANS(90-DF80)))/2)</f>
        <v>0</v>
      </c>
    </row>
    <row r="81" spans="3:127" x14ac:dyDescent="0.25">
      <c r="C81" s="212">
        <f>H41</f>
        <v>196</v>
      </c>
      <c r="D81" s="212">
        <v>6</v>
      </c>
      <c r="E81" s="46">
        <f t="shared" ref="E81:E110" si="139">DEGREES(ASIN(COS(RADIANS($A$43))*COS(RADIANS($C$83))*COS(RADIANS(F81))+SIN(RADIANS($A$43))*SIN(RADIANS($C$83))))</f>
        <v>14.378217428744531</v>
      </c>
      <c r="F81" s="207">
        <f t="shared" si="133"/>
        <v>90</v>
      </c>
      <c r="G81" s="46">
        <f t="shared" ref="G81:G110" si="140">IF(COS(RADIANS(F81))&gt;=((TAN(RADIANS($C$83)))/(TAN(RADIANS($A$43)))),H81,IF(D81&lt;12,I81,J81))</f>
        <v>106.18056569557436</v>
      </c>
      <c r="H81" s="46">
        <f t="shared" ref="H81:H110" si="141">DEGREES(ASIN(COS(RADIANS($C$83))*SIN(RADIANS(F81))/COS(RADIANS(E81))))</f>
        <v>73.819434304425641</v>
      </c>
      <c r="I81" s="46">
        <f t="shared" ref="I81:I110" si="142">180-H81</f>
        <v>106.18056569557436</v>
      </c>
      <c r="J81" s="46">
        <f t="shared" ref="J81:J90" si="143">180-H81-360</f>
        <v>-253.81943430442564</v>
      </c>
      <c r="K81" s="46">
        <f t="shared" ref="K81:K110" si="144">ABS(1/SIN(RADIANS(E81)))</f>
        <v>4.0270353310843356</v>
      </c>
      <c r="L81" s="46">
        <f t="shared" ref="L81:L110" si="145">IF(E81&gt;0,$C$87*EXP(-$C$89*K81),0)</f>
        <v>468.57016070749302</v>
      </c>
      <c r="M81" s="47">
        <f>COS(RADIANS(E81))*COS(RADIANS(G81-Insolation!$L$6))*SIN(RADIANS(0))+(SIN(RADIANS(E81))*COS(RADIANS(0)))</f>
        <v>0.2483216355915944</v>
      </c>
      <c r="N81" s="47">
        <f>COS(RADIANS(E81))*COS(RADIANS(G81-Insolation!$L$6))*SIN(RADIANS(Insolation!$L$7))+SIN(RADIANS(E81))*COS(RADIANS(Insolation!$L$7))</f>
        <v>-0.26993690787659441</v>
      </c>
      <c r="O81" s="46">
        <f t="shared" ref="O81:O110" si="146">L81*M81</f>
        <v>116.35610869630091</v>
      </c>
      <c r="P81" s="46">
        <f t="shared" ref="P81:P110" si="147">$C$91*L81</f>
        <v>63.194350137832039</v>
      </c>
      <c r="Q81" s="46">
        <f t="shared" ref="Q81:Q110" si="148">IF(N81&lt;0,0,L81*N81)</f>
        <v>0</v>
      </c>
      <c r="R81" s="46">
        <f>$C$91*L81*((1+COS(RADIANS(Insolation!$L$7)))/2)</f>
        <v>31.59717506891602</v>
      </c>
      <c r="S81" s="46">
        <f t="shared" ref="S81:S110" si="149">L81*COS(RADIANS($C$83))</f>
        <v>435.91392844626654</v>
      </c>
      <c r="T81" s="46">
        <f t="shared" ref="T81:T110" si="150">$C$91*L81*((1+COS(RADIANS(90-E81+$C$83)))/2)</f>
        <v>27.670310982956153</v>
      </c>
      <c r="U81" s="46">
        <f t="shared" ref="U81:U110" si="151">L81</f>
        <v>468.57016070749302</v>
      </c>
      <c r="V81" s="46">
        <f t="shared" ref="V81:V110" si="152">$C$91*L81*((1+COS(RADIANS(90-E81)))/2)</f>
        <v>39.443437262103195</v>
      </c>
      <c r="X81" s="212">
        <f>I41</f>
        <v>227</v>
      </c>
      <c r="Y81" s="212">
        <v>6</v>
      </c>
      <c r="Z81" s="46">
        <f t="shared" ref="Z81:Z110" si="153">DEGREES(ASIN(COS(RADIANS($A$43))*COS(RADIANS($X$83))*COS(RADIANS(AA81))+SIN(RADIANS($A$43))*SIN(RADIANS($X$83))))</f>
        <v>9.2826434259129122</v>
      </c>
      <c r="AA81" s="207">
        <f t="shared" si="134"/>
        <v>90</v>
      </c>
      <c r="AB81" s="46">
        <f t="shared" ref="AB81:AB110" si="154">IF(COS(RADIANS(AA81))&gt;=((TAN(RADIANS($X$83)))/(TAN(RADIANS($A$43)))),AC81,IF(Y81&lt;12,AD81,AE81))</f>
        <v>100.23421352398761</v>
      </c>
      <c r="AC81" s="46">
        <f t="shared" ref="AC81:AC110" si="155">DEGREES(ASIN(COS(RADIANS($X$83))*SIN(RADIANS(AA81))/COS(RADIANS(Z81))))</f>
        <v>79.765786476012394</v>
      </c>
      <c r="AD81" s="46">
        <f t="shared" ref="AD81:AD110" si="156">180-AC81</f>
        <v>100.23421352398761</v>
      </c>
      <c r="AE81" s="46">
        <f t="shared" ref="AE81:AE90" si="157">180-AC81-360</f>
        <v>-259.76578647601241</v>
      </c>
      <c r="AF81" s="46">
        <f t="shared" ref="AF81:AF110" si="158">ABS(1/SIN(RADIANS(Z81)))</f>
        <v>6.1994409968354587</v>
      </c>
      <c r="AG81" s="46">
        <f t="shared" ref="AG81:AG110" si="159">IF(Z81&gt;0,$X$87*EXP(-$X$89*AF81),0)</f>
        <v>314.68862632632926</v>
      </c>
      <c r="AH81" s="47">
        <f>COS(RADIANS(Z81))*COS(RADIANS(AB81-Insolation!$L$6))*SIN(RADIANS(0))+(SIN(RADIANS(Z81))*COS(RADIANS(0)))</f>
        <v>0.16130486611784126</v>
      </c>
      <c r="AI81" s="47">
        <f>COS(RADIANS(Z81))*COS(RADIANS(AB81-Insolation!$L$6))*SIN(RADIANS(Insolation!$L$7))+SIN(RADIANS(Z81))*COS(RADIANS(Insolation!$L$7))</f>
        <v>-0.17534572322530198</v>
      </c>
      <c r="AJ81" s="46">
        <f t="shared" ref="AJ81:AJ110" si="160">AG81*AH81</f>
        <v>50.760806738375919</v>
      </c>
      <c r="AK81" s="46">
        <f t="shared" ref="AK81:AK110" si="161">$X$91*AG81</f>
        <v>40.173629011109</v>
      </c>
      <c r="AL81" s="46">
        <f t="shared" ref="AL81:AL110" si="162">IF(AI81&lt;0,0,AG81*AI81)</f>
        <v>0</v>
      </c>
      <c r="AM81" s="46">
        <f>$X$91*AG81*((1+COS(RADIANS(Insolation!$L$7)))/2)</f>
        <v>20.0868145055545</v>
      </c>
      <c r="AN81" s="46">
        <f t="shared" ref="AN81:AN110" si="163">AG81*COS(RADIANS($X$83))</f>
        <v>305.62643269698219</v>
      </c>
      <c r="AO81" s="46">
        <f t="shared" ref="AO81:AO110" si="164">$X$91*AG81*((1+COS(RADIANS(90-Z81+$X$83)))/2)</f>
        <v>18.510499404549233</v>
      </c>
      <c r="AP81" s="46">
        <f t="shared" ref="AP81:AP110" si="165">AG81</f>
        <v>314.68862632632926</v>
      </c>
      <c r="AQ81" s="46">
        <f t="shared" ref="AQ81:AQ110" si="166">$X$91*AG81*((1+COS(RADIANS(90-Z81)))/2)</f>
        <v>23.326915430106883</v>
      </c>
      <c r="AS81" s="212">
        <f>J41</f>
        <v>258</v>
      </c>
      <c r="AT81" s="212">
        <v>6</v>
      </c>
      <c r="AU81" s="46">
        <f t="shared" ref="AU81:AU110" si="167">DEGREES(ASIN(COS(RADIANS($A$43))*COS(RADIANS($AS$83))*COS(RADIANS(AV81))+SIN(RADIANS($A$43))*SIN(RADIANS($AS$83))))</f>
        <v>1.5006882734254736</v>
      </c>
      <c r="AV81" s="207">
        <f t="shared" si="135"/>
        <v>90</v>
      </c>
      <c r="AW81" s="46">
        <f t="shared" ref="AW81:AW110" si="168">IF(COS(RADIANS(AV81))&gt;=((TAN(RADIANS($AS$83)))/(TAN(RADIANS($A$43)))),AX81,IF(AT81&lt;12,AY81,AZ81))</f>
        <v>91.631910157414438</v>
      </c>
      <c r="AX81" s="46">
        <f t="shared" ref="AX81:AX110" si="169">DEGREES(ASIN(COS(RADIANS($AS$83))*SIN(RADIANS(AV81))/COS(RADIANS(AU81))))</f>
        <v>88.368089842585562</v>
      </c>
      <c r="AY81" s="46">
        <f t="shared" ref="AY81:AY110" si="170">180-AX81</f>
        <v>91.631910157414438</v>
      </c>
      <c r="AZ81" s="46">
        <f t="shared" ref="AZ81:AZ90" si="171">180-AX81-360</f>
        <v>-268.36808984258556</v>
      </c>
      <c r="BA81" s="46">
        <f t="shared" ref="BA81:BA110" si="172">ABS(1/SIN(RADIANS(AU81)))</f>
        <v>38.184033316276469</v>
      </c>
      <c r="BB81" s="46">
        <f t="shared" ref="BB81:BB110" si="173">IF(AU81&gt;0,$AS$87*EXP(-$AS$89*BA81),0)</f>
        <v>0.8574823447965223</v>
      </c>
      <c r="BC81" s="47">
        <f>COS(RADIANS(AU81))*COS(RADIANS(AW81-Insolation!$L$6))*SIN(RADIANS(0))+(SIN(RADIANS(AU81))*COS(RADIANS(0)))</f>
        <v>2.6188956826981823E-2</v>
      </c>
      <c r="BD81" s="47">
        <f>COS(RADIANS(AU81))*COS(RADIANS(AW81-Insolation!$L$6))*SIN(RADIANS(Insolation!$L$7))+SIN(RADIANS(AU81))*COS(RADIANS(Insolation!$L$7))</f>
        <v>-2.8468586756635206E-2</v>
      </c>
      <c r="BE81" s="46">
        <f t="shared" ref="BE81:BE110" si="174">BB81*BC81</f>
        <v>2.2456568107775264E-2</v>
      </c>
      <c r="BF81" s="46">
        <f t="shared" ref="BF81:BF110" si="175">$AS$91*BB81</f>
        <v>9.5501443052535523E-2</v>
      </c>
      <c r="BG81" s="46">
        <f t="shared" ref="BG81:BG110" si="176">IF(BD81&lt;0,0,BB81*BD81)</f>
        <v>0</v>
      </c>
      <c r="BH81" s="46">
        <f>$AS$91*BB81*((1+COS(RADIANS(Insolation!$L$7)))/2)</f>
        <v>4.7750721526267761E-2</v>
      </c>
      <c r="BI81" s="46">
        <f t="shared" ref="BI81:BI110" si="177">BB81*COS(RADIANS($AS$83))</f>
        <v>0.85684056982907197</v>
      </c>
      <c r="BJ81" s="46">
        <f t="shared" ref="BJ81:BJ110" si="178">$AS$91*BB81*((1+COS(RADIANS(90-AU81+$AS$83)))/2)</f>
        <v>4.7153851996016134E-2</v>
      </c>
      <c r="BK81" s="46">
        <f t="shared" ref="BK81:BK110" si="179">BB81</f>
        <v>0.8574823447965223</v>
      </c>
      <c r="BL81" s="46">
        <f t="shared" ref="BL81:BL110" si="180">$AS$91*BB81*((1+COS(RADIANS(90-AU81)))/2)</f>
        <v>4.9001263110776419E-2</v>
      </c>
      <c r="BN81" s="212">
        <f>K41</f>
        <v>288</v>
      </c>
      <c r="BO81" s="212">
        <v>6</v>
      </c>
      <c r="BP81" s="46">
        <f t="shared" ref="BP81:BP110" si="181">DEGREES(ASIN(COS(RADIANS($A$43))*COS(RADIANS($BN$83))*COS(RADIANS(BQ81))+SIN(RADIANS($A$43))*SIN(RADIANS($BN$83))))</f>
        <v>-6.4825059544830328</v>
      </c>
      <c r="BQ81" s="207">
        <f t="shared" si="136"/>
        <v>90</v>
      </c>
      <c r="BR81" s="46">
        <f t="shared" ref="BR81:BR110" si="182">IF(COS(RADIANS(BQ81))&gt;=((TAN(RADIANS($BN$83)))/(TAN(RADIANS($A$43)))),BS81,IF(BO81&lt;12,BT81,BU81))</f>
        <v>82.904878502864179</v>
      </c>
      <c r="BS81" s="46">
        <f t="shared" ref="BS81:BS110" si="183">DEGREES(ASIN(COS(RADIANS($BN$83))*SIN(RADIANS(BQ81))/COS(RADIANS(BP81))))</f>
        <v>82.904878502864179</v>
      </c>
      <c r="BT81" s="46">
        <f t="shared" ref="BT81:BT110" si="184">180-BS81</f>
        <v>97.095121497135821</v>
      </c>
      <c r="BU81" s="46">
        <f t="shared" ref="BU81:BU90" si="185">180-BS81-360</f>
        <v>-262.90487850286416</v>
      </c>
      <c r="BV81" s="46">
        <f t="shared" ref="BV81:BV110" si="186">ABS(1/SIN(RADIANS(BP81)))</f>
        <v>8.8574082821103346</v>
      </c>
      <c r="BW81" s="46">
        <f t="shared" ref="BW81:BW110" si="187">IF(BP81&gt;0,$BN$87*EXP(-$BN$89*BV81),0)</f>
        <v>0</v>
      </c>
      <c r="BX81" s="47">
        <f>COS(RADIANS(BP81))*COS(RADIANS(BR81-Insolation!$L$6))*SIN(RADIANS(0))+(SIN(RADIANS(BP81))*COS(RADIANS(0)))</f>
        <v>-0.11289984249904572</v>
      </c>
      <c r="BY81" s="47">
        <f>COS(RADIANS(BP81))*COS(RADIANS(BR81-Insolation!$L$6))*SIN(RADIANS(Insolation!$L$7))+SIN(RADIANS(BP81))*COS(RADIANS(Insolation!$L$7))</f>
        <v>0.12272726180842912</v>
      </c>
      <c r="BZ81" s="46">
        <f t="shared" ref="BZ81:BZ110" si="188">BW81*BX81</f>
        <v>0</v>
      </c>
      <c r="CA81" s="46">
        <f t="shared" ref="CA81:CA110" si="189">$BN$91*BW81</f>
        <v>0</v>
      </c>
      <c r="CB81" s="46">
        <f t="shared" ref="CB81:CB110" si="190">IF(BY81&lt;0,0,BW81*BY81)</f>
        <v>0</v>
      </c>
      <c r="CC81" s="46">
        <f>$BN$91*BW81*((1+COS(RADIANS(Insolation!$L$7)))/2)</f>
        <v>0</v>
      </c>
      <c r="CD81" s="46">
        <f t="shared" ref="CD81:CD110" si="191">BW81*COS(RADIANS($BN$83))</f>
        <v>0</v>
      </c>
      <c r="CE81" s="46">
        <f t="shared" ref="CE81:CE110" si="192">$BN$91*BW81*((1+COS(RADIANS(90-BP81+$BN$83)))/2)</f>
        <v>0</v>
      </c>
      <c r="CF81" s="46">
        <f t="shared" ref="CF81:CF110" si="193">BW81</f>
        <v>0</v>
      </c>
      <c r="CG81" s="46">
        <f t="shared" ref="CG81:CG110" si="194">$BN$91*BW81*((1+COS(RADIANS(90-BP81)))/2)</f>
        <v>0</v>
      </c>
      <c r="CI81" s="212">
        <f>L41</f>
        <v>319</v>
      </c>
      <c r="CJ81" s="212">
        <v>6</v>
      </c>
      <c r="CK81" s="46">
        <f t="shared" ref="CK81:CK110" si="195">DEGREES(ASIN(COS(RADIANS($A$43))*COS(RADIANS($CI$83))*COS(RADIANS(CL81))+SIN(RADIANS($A$43))*SIN(RADIANS($CI$83))))</f>
        <v>-12.830586827068785</v>
      </c>
      <c r="CL81" s="207">
        <f t="shared" si="137"/>
        <v>90</v>
      </c>
      <c r="CM81" s="46">
        <f t="shared" ref="CM81:CM110" si="196">IF(COS(RADIANS(CL81))&gt;=((TAN(RADIANS($CI$83)))/(TAN(RADIANS($A$43)))),CN81,IF(CJ81&lt;12,CO81,CP81))</f>
        <v>75.665585278343158</v>
      </c>
      <c r="CN81" s="46">
        <f t="shared" ref="CN81:CN110" si="197">DEGREES(ASIN(COS(RADIANS($CI$83))*SIN(RADIANS(CL81))/COS(RADIANS(CK81))))</f>
        <v>75.665585278343158</v>
      </c>
      <c r="CO81" s="46">
        <f t="shared" ref="CO81:CO110" si="198">180-CN81</f>
        <v>104.33441472165684</v>
      </c>
      <c r="CP81" s="46">
        <f t="shared" ref="CP81:CP90" si="199">180-CN81-360</f>
        <v>-255.66558527834314</v>
      </c>
      <c r="CQ81" s="46">
        <f t="shared" ref="CQ81:CQ110" si="200">ABS(1/SIN(RADIANS(CK81)))</f>
        <v>4.5031040680212584</v>
      </c>
      <c r="CR81" s="46">
        <f t="shared" ref="CR81:CR110" si="201">IF(CK81&gt;0,$CI$87*EXP(-$CI$89*CQ81),0)</f>
        <v>0</v>
      </c>
      <c r="CS81" s="47">
        <f>COS(RADIANS(CK81))*COS(RADIANS(CM81-Insolation!$L$6))*SIN(RADIANS(0))+(SIN(RADIANS(CK81))*COS(RADIANS(0)))</f>
        <v>-0.22206904057614135</v>
      </c>
      <c r="CT81" s="47">
        <f>COS(RADIANS(CK81))*COS(RADIANS(CM81-Insolation!$L$6))*SIN(RADIANS(Insolation!$L$7))+SIN(RADIANS(CK81))*COS(RADIANS(Insolation!$L$7))</f>
        <v>0.24139914351576852</v>
      </c>
      <c r="CU81" s="46">
        <f t="shared" ref="CU81:CU110" si="202">CR81*CS81</f>
        <v>0</v>
      </c>
      <c r="CV81" s="46">
        <f t="shared" ref="CV81:CV110" si="203">$CI$91*CR81</f>
        <v>0</v>
      </c>
      <c r="CW81" s="46">
        <f t="shared" ref="CW81:CW110" si="204">IF(CT81&lt;0,0,CR81*CT81)</f>
        <v>0</v>
      </c>
      <c r="CX81" s="46">
        <f>$CI$91*CR81*((1+COS(RADIANS(Insolation!$L$7)))/2)</f>
        <v>0</v>
      </c>
      <c r="CY81" s="46">
        <f t="shared" ref="CY81:CY110" si="205">CR81*COS(RADIANS($CI$83))</f>
        <v>0</v>
      </c>
      <c r="CZ81" s="46">
        <f t="shared" ref="CZ81:CZ110" si="206">$CI$91*CR81*((1+COS(RADIANS(90-CK81+$CI$83)))/2)</f>
        <v>0</v>
      </c>
      <c r="DA81" s="46">
        <f t="shared" ref="DA81:DA110" si="207">CR81</f>
        <v>0</v>
      </c>
      <c r="DB81" s="46">
        <f t="shared" ref="DB81:DB110" si="208">$CI$91*CR81*((1+COS(RADIANS(90-CK81)))/2)</f>
        <v>0</v>
      </c>
      <c r="DD81" s="212">
        <f>M41</f>
        <v>349</v>
      </c>
      <c r="DE81" s="212">
        <v>6</v>
      </c>
      <c r="DF81" s="46">
        <f t="shared" ref="DF81:DF110" si="209">DEGREES(ASIN(COS(RADIANS($A$43))*COS(RADIANS($DD$83))*COS(RADIANS(DG81))+SIN(RADIANS($A$43))*SIN(RADIANS($DD$83))))</f>
        <v>-15.555814891149199</v>
      </c>
      <c r="DG81" s="207">
        <f t="shared" si="138"/>
        <v>90</v>
      </c>
      <c r="DH81" s="46">
        <f t="shared" ref="DH81:DH110" si="210">IF(COS(RADIANS(DG81))&gt;=((TAN(RADIANS($DD$83)))/(TAN(RADIANS($A$43)))),DI81,IF(DE81&lt;12,DJ81,DK81))</f>
        <v>72.385861839784539</v>
      </c>
      <c r="DI81" s="46">
        <f t="shared" ref="DI81:DI110" si="211">DEGREES(ASIN(COS(RADIANS($DD$83))*SIN(RADIANS(DG81))/COS(RADIANS(DF81))))</f>
        <v>72.385861839784539</v>
      </c>
      <c r="DJ81" s="46">
        <f t="shared" ref="DJ81:DJ110" si="212">180-DI81</f>
        <v>107.61413816021546</v>
      </c>
      <c r="DK81" s="46">
        <f t="shared" ref="DK81:DK90" si="213">180-DI81-360</f>
        <v>-252.38586183978452</v>
      </c>
      <c r="DL81" s="46">
        <f t="shared" ref="DL81:DL110" si="214">ABS(1/SIN(RADIANS(DF81)))</f>
        <v>3.7288809250644435</v>
      </c>
      <c r="DM81" s="46">
        <f t="shared" ref="DM81:DM110" si="215">IF(DF81&gt;0,$DD$87*EXP(-$DD$89*DL81),0)</f>
        <v>0</v>
      </c>
      <c r="DN81" s="47">
        <f>COS(RADIANS(DF81))*COS(RADIANS(DH81-Insolation!$L$6))*SIN(RADIANS(0))+(SIN(RADIANS(DF81))*COS(RADIANS(0)))</f>
        <v>-0.26817697322494088</v>
      </c>
      <c r="DO81" s="47">
        <f>COS(RADIANS(DF81))*COS(RADIANS(DH81-Insolation!$L$6))*SIN(RADIANS(Insolation!$L$7))+SIN(RADIANS(DF81))*COS(RADIANS(Insolation!$L$7))</f>
        <v>0.29152056261059511</v>
      </c>
      <c r="DP81" s="46">
        <f t="shared" ref="DP81:DP110" si="216">DM81*DN81</f>
        <v>0</v>
      </c>
      <c r="DQ81" s="46">
        <f t="shared" ref="DQ81:DQ110" si="217">$DD$91*DM81</f>
        <v>0</v>
      </c>
      <c r="DR81" s="46">
        <f t="shared" ref="DR81:DR110" si="218">IF(DO81&lt;0,0,DM81*DO81)</f>
        <v>0</v>
      </c>
      <c r="DS81" s="46">
        <f>$DD$91*DM81*((1+COS(RADIANS(Insolation!$L$7)))/2)</f>
        <v>0</v>
      </c>
      <c r="DT81" s="46">
        <f t="shared" ref="DT81:DT110" si="219">DM81*COS(RADIANS($DD$83))</f>
        <v>0</v>
      </c>
      <c r="DU81" s="46">
        <f t="shared" ref="DU81:DU110" si="220">$DD$91*DM81*((1+COS(RADIANS(90-DF81+$DD$83)))/2)</f>
        <v>0</v>
      </c>
      <c r="DV81" s="46">
        <f t="shared" ref="DV81:DV110" si="221">DM81</f>
        <v>0</v>
      </c>
      <c r="DW81" s="46">
        <f t="shared" ref="DW81:DW110" si="222">$DD$91*DM81*((1+COS(RADIANS(90-DF81)))/2)</f>
        <v>0</v>
      </c>
    </row>
    <row r="82" spans="3:127" x14ac:dyDescent="0.25">
      <c r="C82" s="236" t="s">
        <v>177</v>
      </c>
      <c r="D82" s="212">
        <v>6.5</v>
      </c>
      <c r="E82" s="46">
        <f t="shared" si="139"/>
        <v>19.736115682126844</v>
      </c>
      <c r="F82" s="207">
        <f t="shared" si="133"/>
        <v>82.5</v>
      </c>
      <c r="G82" s="46">
        <f t="shared" si="140"/>
        <v>101.50430838106124</v>
      </c>
      <c r="H82" s="46">
        <f t="shared" si="141"/>
        <v>78.495691618938764</v>
      </c>
      <c r="I82" s="46">
        <f t="shared" si="142"/>
        <v>101.50430838106124</v>
      </c>
      <c r="J82" s="46">
        <f t="shared" si="143"/>
        <v>-258.49569161893874</v>
      </c>
      <c r="K82" s="46">
        <f t="shared" si="144"/>
        <v>2.9613078273356392</v>
      </c>
      <c r="L82" s="46">
        <f t="shared" si="145"/>
        <v>585.40169533693131</v>
      </c>
      <c r="M82" s="47">
        <f>COS(RADIANS(E82))*COS(RADIANS(G82-Insolation!$L$6))*SIN(RADIANS(0))+(SIN(RADIANS(E82))*COS(RADIANS(0)))</f>
        <v>0.33768863566599366</v>
      </c>
      <c r="N82" s="47">
        <f>COS(RADIANS(E82))*COS(RADIANS(G82-Insolation!$L$6))*SIN(RADIANS(Insolation!$L$7))+SIN(RADIANS(E82))*COS(RADIANS(Insolation!$L$7))</f>
        <v>-0.18772599496010556</v>
      </c>
      <c r="O82" s="46">
        <f t="shared" si="146"/>
        <v>197.68349981488802</v>
      </c>
      <c r="P82" s="46">
        <f t="shared" si="147"/>
        <v>78.950993487389894</v>
      </c>
      <c r="Q82" s="46">
        <f t="shared" si="148"/>
        <v>0</v>
      </c>
      <c r="R82" s="46">
        <f>$C$91*L82*((1+COS(RADIANS(Insolation!$L$7)))/2)</f>
        <v>39.475496743694947</v>
      </c>
      <c r="S82" s="46">
        <f t="shared" si="149"/>
        <v>544.60308003421164</v>
      </c>
      <c r="T82" s="46">
        <f t="shared" si="150"/>
        <v>38.248473862860884</v>
      </c>
      <c r="U82" s="46">
        <f t="shared" si="151"/>
        <v>585.40169533693131</v>
      </c>
      <c r="V82" s="46">
        <f t="shared" si="152"/>
        <v>52.80592338131067</v>
      </c>
      <c r="X82" s="236" t="s">
        <v>177</v>
      </c>
      <c r="Y82" s="212">
        <v>6.5</v>
      </c>
      <c r="Z82" s="46">
        <f t="shared" si="153"/>
        <v>14.7499092076845</v>
      </c>
      <c r="AA82" s="207">
        <f t="shared" si="134"/>
        <v>82.5</v>
      </c>
      <c r="AB82" s="46">
        <f t="shared" si="154"/>
        <v>95.311555615233715</v>
      </c>
      <c r="AC82" s="46">
        <f t="shared" si="155"/>
        <v>84.688444384766285</v>
      </c>
      <c r="AD82" s="46">
        <f t="shared" si="156"/>
        <v>95.311555615233715</v>
      </c>
      <c r="AE82" s="46">
        <f t="shared" si="157"/>
        <v>-264.68844438476629</v>
      </c>
      <c r="AF82" s="46">
        <f t="shared" si="158"/>
        <v>3.9277233576271744</v>
      </c>
      <c r="AG82" s="46">
        <f t="shared" si="159"/>
        <v>498.5907244004203</v>
      </c>
      <c r="AH82" s="47">
        <f>COS(RADIANS(Z82))*COS(RADIANS(AB82-Insolation!$L$6))*SIN(RADIANS(0))+(SIN(RADIANS(Z82))*COS(RADIANS(0)))</f>
        <v>0.25460041580019077</v>
      </c>
      <c r="AI82" s="47">
        <f>COS(RADIANS(Z82))*COS(RADIANS(AB82-Insolation!$L$6))*SIN(RADIANS(Insolation!$L$7))+SIN(RADIANS(Z82))*COS(RADIANS(Insolation!$L$7))</f>
        <v>-8.9520840393315509E-2</v>
      </c>
      <c r="AJ82" s="46">
        <f t="shared" si="160"/>
        <v>126.94140574646534</v>
      </c>
      <c r="AK82" s="46">
        <f t="shared" si="161"/>
        <v>63.650850760877013</v>
      </c>
      <c r="AL82" s="46">
        <f t="shared" si="162"/>
        <v>0</v>
      </c>
      <c r="AM82" s="46">
        <f>$X$91*AG82*((1+COS(RADIANS(Insolation!$L$7)))/2)</f>
        <v>31.825425380438507</v>
      </c>
      <c r="AN82" s="46">
        <f t="shared" si="163"/>
        <v>484.23264054127389</v>
      </c>
      <c r="AO82" s="46">
        <f t="shared" si="164"/>
        <v>32.362164460230957</v>
      </c>
      <c r="AP82" s="46">
        <f t="shared" si="165"/>
        <v>498.5907244004203</v>
      </c>
      <c r="AQ82" s="46">
        <f t="shared" si="166"/>
        <v>39.928191915316091</v>
      </c>
      <c r="AS82" s="236" t="s">
        <v>177</v>
      </c>
      <c r="AT82" s="212">
        <v>6.5</v>
      </c>
      <c r="AU82" s="46">
        <f t="shared" si="167"/>
        <v>7.0178718933382145</v>
      </c>
      <c r="AV82" s="207">
        <f t="shared" si="135"/>
        <v>82.5</v>
      </c>
      <c r="AW82" s="46">
        <f t="shared" si="168"/>
        <v>86.543734745113241</v>
      </c>
      <c r="AX82" s="46">
        <f t="shared" si="169"/>
        <v>86.543734745113241</v>
      </c>
      <c r="AY82" s="46">
        <f t="shared" si="170"/>
        <v>93.456265254886759</v>
      </c>
      <c r="AZ82" s="46">
        <f t="shared" si="171"/>
        <v>-266.54373474511323</v>
      </c>
      <c r="BA82" s="46">
        <f t="shared" si="172"/>
        <v>8.1847168929295293</v>
      </c>
      <c r="BB82" s="46">
        <f t="shared" si="173"/>
        <v>243.70057770588008</v>
      </c>
      <c r="BC82" s="47">
        <f>COS(RADIANS(AU82))*COS(RADIANS(AW82-Insolation!$L$6))*SIN(RADIANS(0))+(SIN(RADIANS(AU82))*COS(RADIANS(0)))</f>
        <v>0.12217893582414105</v>
      </c>
      <c r="BD82" s="47">
        <f>COS(RADIANS(AU82))*COS(RADIANS(AW82-Insolation!$L$6))*SIN(RADIANS(Insolation!$L$7))+SIN(RADIANS(AU82))*COS(RADIANS(Insolation!$L$7))</f>
        <v>5.9834968220271199E-2</v>
      </c>
      <c r="BE82" s="46">
        <f t="shared" si="174"/>
        <v>29.775077243832822</v>
      </c>
      <c r="BF82" s="46">
        <f t="shared" si="175"/>
        <v>27.141966228087064</v>
      </c>
      <c r="BG82" s="46">
        <f t="shared" si="176"/>
        <v>14.581816322293067</v>
      </c>
      <c r="BH82" s="46">
        <f>$AS$91*BB82*((1+COS(RADIANS(Insolation!$L$7)))/2)</f>
        <v>13.570983114043532</v>
      </c>
      <c r="BI82" s="46">
        <f t="shared" si="177"/>
        <v>243.51818219502917</v>
      </c>
      <c r="BJ82" s="46">
        <f t="shared" si="178"/>
        <v>14.70680622597853</v>
      </c>
      <c r="BK82" s="46">
        <f t="shared" si="179"/>
        <v>243.70057770588008</v>
      </c>
      <c r="BL82" s="46">
        <f t="shared" si="180"/>
        <v>15.229071389004757</v>
      </c>
      <c r="BN82" s="236" t="s">
        <v>177</v>
      </c>
      <c r="BO82" s="212">
        <v>6.5</v>
      </c>
      <c r="BP82" s="46">
        <f t="shared" si="181"/>
        <v>-1.0418691689428385</v>
      </c>
      <c r="BQ82" s="207">
        <f t="shared" si="136"/>
        <v>82.5</v>
      </c>
      <c r="BR82" s="46">
        <f t="shared" si="182"/>
        <v>77.883842778649992</v>
      </c>
      <c r="BS82" s="46">
        <f t="shared" si="183"/>
        <v>77.883842778649992</v>
      </c>
      <c r="BT82" s="46">
        <f t="shared" si="184"/>
        <v>102.11615722135001</v>
      </c>
      <c r="BU82" s="46">
        <f t="shared" si="185"/>
        <v>-257.88384277864998</v>
      </c>
      <c r="BV82" s="46">
        <f t="shared" si="186"/>
        <v>54.996288314609835</v>
      </c>
      <c r="BW82" s="46">
        <f t="shared" si="187"/>
        <v>0</v>
      </c>
      <c r="BX82" s="47">
        <f>COS(RADIANS(BP82))*COS(RADIANS(BR82-Insolation!$L$6))*SIN(RADIANS(0))+(SIN(RADIANS(BP82))*COS(RADIANS(0)))</f>
        <v>-1.8183045268063094E-2</v>
      </c>
      <c r="BY82" s="47">
        <f>COS(RADIANS(BP82))*COS(RADIANS(BR82-Insolation!$L$6))*SIN(RADIANS(Insolation!$L$7))+SIN(RADIANS(BP82))*COS(RADIANS(Insolation!$L$7))</f>
        <v>0.20985958539993851</v>
      </c>
      <c r="BZ82" s="46">
        <f t="shared" si="188"/>
        <v>0</v>
      </c>
      <c r="CA82" s="46">
        <f t="shared" si="189"/>
        <v>0</v>
      </c>
      <c r="CB82" s="46">
        <f t="shared" si="190"/>
        <v>0</v>
      </c>
      <c r="CC82" s="46">
        <f>$BN$91*BW82*((1+COS(RADIANS(Insolation!$L$7)))/2)</f>
        <v>0</v>
      </c>
      <c r="CD82" s="46">
        <f t="shared" si="191"/>
        <v>0</v>
      </c>
      <c r="CE82" s="46">
        <f t="shared" si="192"/>
        <v>0</v>
      </c>
      <c r="CF82" s="46">
        <f t="shared" si="193"/>
        <v>0</v>
      </c>
      <c r="CG82" s="46">
        <f t="shared" si="194"/>
        <v>0</v>
      </c>
      <c r="CI82" s="236" t="s">
        <v>177</v>
      </c>
      <c r="CJ82" s="212">
        <v>6.5</v>
      </c>
      <c r="CK82" s="46">
        <f t="shared" si="195"/>
        <v>-7.5459773111501169</v>
      </c>
      <c r="CL82" s="207">
        <f t="shared" si="137"/>
        <v>82.5</v>
      </c>
      <c r="CM82" s="46">
        <f t="shared" si="196"/>
        <v>70.869678402363348</v>
      </c>
      <c r="CN82" s="46">
        <f t="shared" si="197"/>
        <v>70.869678402363348</v>
      </c>
      <c r="CO82" s="46">
        <f t="shared" si="198"/>
        <v>109.13032159763665</v>
      </c>
      <c r="CP82" s="46">
        <f t="shared" si="199"/>
        <v>-250.86967840236335</v>
      </c>
      <c r="CQ82" s="46">
        <f t="shared" si="200"/>
        <v>7.6148853689705076</v>
      </c>
      <c r="CR82" s="46">
        <f t="shared" si="201"/>
        <v>0</v>
      </c>
      <c r="CS82" s="47">
        <f>COS(RADIANS(CK82))*COS(RADIANS(CM82-Insolation!$L$6))*SIN(RADIANS(0))+(SIN(RADIANS(CK82))*COS(RADIANS(0)))</f>
        <v>-0.13132174045256767</v>
      </c>
      <c r="CT82" s="47">
        <f>COS(RADIANS(CK82))*COS(RADIANS(CM82-Insolation!$L$6))*SIN(RADIANS(Insolation!$L$7))+SIN(RADIANS(CK82))*COS(RADIANS(Insolation!$L$7))</f>
        <v>0.324879828574623</v>
      </c>
      <c r="CU82" s="46">
        <f t="shared" si="202"/>
        <v>0</v>
      </c>
      <c r="CV82" s="46">
        <f t="shared" si="203"/>
        <v>0</v>
      </c>
      <c r="CW82" s="46">
        <f t="shared" si="204"/>
        <v>0</v>
      </c>
      <c r="CX82" s="46">
        <f>$CI$91*CR82*((1+COS(RADIANS(Insolation!$L$7)))/2)</f>
        <v>0</v>
      </c>
      <c r="CY82" s="46">
        <f t="shared" si="205"/>
        <v>0</v>
      </c>
      <c r="CZ82" s="46">
        <f t="shared" si="206"/>
        <v>0</v>
      </c>
      <c r="DA82" s="46">
        <f t="shared" si="207"/>
        <v>0</v>
      </c>
      <c r="DB82" s="46">
        <f t="shared" si="208"/>
        <v>0</v>
      </c>
      <c r="DD82" s="236" t="s">
        <v>177</v>
      </c>
      <c r="DE82" s="212">
        <v>6.5</v>
      </c>
      <c r="DF82" s="46">
        <f t="shared" si="209"/>
        <v>-10.368167586678984</v>
      </c>
      <c r="DG82" s="207">
        <f t="shared" si="138"/>
        <v>82.5</v>
      </c>
      <c r="DH82" s="46">
        <f t="shared" si="210"/>
        <v>67.737665171879556</v>
      </c>
      <c r="DI82" s="46">
        <f t="shared" si="211"/>
        <v>67.737665171879556</v>
      </c>
      <c r="DJ82" s="46">
        <f t="shared" si="212"/>
        <v>112.26233482812044</v>
      </c>
      <c r="DK82" s="46">
        <f t="shared" si="213"/>
        <v>-247.73766517187954</v>
      </c>
      <c r="DL82" s="46">
        <f t="shared" si="214"/>
        <v>5.5563993761049586</v>
      </c>
      <c r="DM82" s="46">
        <f t="shared" si="215"/>
        <v>0</v>
      </c>
      <c r="DN82" s="47">
        <f>COS(RADIANS(DF82))*COS(RADIANS(DH82-Insolation!$L$6))*SIN(RADIANS(0))+(SIN(RADIANS(DF82))*COS(RADIANS(0)))</f>
        <v>-0.17997266436614587</v>
      </c>
      <c r="DO82" s="47">
        <f>COS(RADIANS(DF82))*COS(RADIANS(DH82-Insolation!$L$6))*SIN(RADIANS(Insolation!$L$7))+SIN(RADIANS(DF82))*COS(RADIANS(Insolation!$L$7))</f>
        <v>0.37266188713097365</v>
      </c>
      <c r="DP82" s="46">
        <f t="shared" si="216"/>
        <v>0</v>
      </c>
      <c r="DQ82" s="46">
        <f t="shared" si="217"/>
        <v>0</v>
      </c>
      <c r="DR82" s="46">
        <f t="shared" si="218"/>
        <v>0</v>
      </c>
      <c r="DS82" s="46">
        <f>$DD$91*DM82*((1+COS(RADIANS(Insolation!$L$7)))/2)</f>
        <v>0</v>
      </c>
      <c r="DT82" s="46">
        <f t="shared" si="219"/>
        <v>0</v>
      </c>
      <c r="DU82" s="46">
        <f t="shared" si="220"/>
        <v>0</v>
      </c>
      <c r="DV82" s="46">
        <f t="shared" si="221"/>
        <v>0</v>
      </c>
      <c r="DW82" s="46">
        <f t="shared" si="222"/>
        <v>0</v>
      </c>
    </row>
    <row r="83" spans="3:127" x14ac:dyDescent="0.25">
      <c r="C83" s="46">
        <f>23.45*SIN(RADIANS(360/365*(C81-81)))</f>
        <v>21.517336031092785</v>
      </c>
      <c r="D83" s="212">
        <v>7</v>
      </c>
      <c r="E83" s="46">
        <f t="shared" si="139"/>
        <v>25.183996328086572</v>
      </c>
      <c r="F83" s="207">
        <f t="shared" si="133"/>
        <v>75</v>
      </c>
      <c r="G83" s="46">
        <f t="shared" si="140"/>
        <v>96.785496951607186</v>
      </c>
      <c r="H83" s="46">
        <f t="shared" si="141"/>
        <v>83.214503048392814</v>
      </c>
      <c r="I83" s="46">
        <f t="shared" si="142"/>
        <v>96.785496951607186</v>
      </c>
      <c r="J83" s="46">
        <f t="shared" si="143"/>
        <v>-263.21450304839283</v>
      </c>
      <c r="K83" s="46">
        <f t="shared" si="144"/>
        <v>2.3500296744334035</v>
      </c>
      <c r="L83" s="46">
        <f t="shared" si="145"/>
        <v>665.13093920202471</v>
      </c>
      <c r="M83" s="47">
        <f>COS(RADIANS(E83))*COS(RADIANS(G83-Insolation!$L$6))*SIN(RADIANS(0))+(SIN(RADIANS(E83))*COS(RADIANS(0)))</f>
        <v>0.42552654159190639</v>
      </c>
      <c r="N83" s="47">
        <f>COS(RADIANS(E83))*COS(RADIANS(G83-Insolation!$L$6))*SIN(RADIANS(Insolation!$L$7))+SIN(RADIANS(E83))*COS(RADIANS(Insolation!$L$7))</f>
        <v>-0.10692173355678856</v>
      </c>
      <c r="O83" s="46">
        <f t="shared" si="146"/>
        <v>283.03086826441415</v>
      </c>
      <c r="P83" s="46">
        <f t="shared" si="147"/>
        <v>89.703786079704741</v>
      </c>
      <c r="Q83" s="46">
        <f t="shared" si="148"/>
        <v>0</v>
      </c>
      <c r="R83" s="46">
        <f>$C$91*L83*((1+COS(RADIANS(Insolation!$L$7)))/2)</f>
        <v>44.851893039852371</v>
      </c>
      <c r="S83" s="46">
        <f t="shared" si="149"/>
        <v>618.77572443138502</v>
      </c>
      <c r="T83" s="46">
        <f t="shared" si="150"/>
        <v>47.720244378558142</v>
      </c>
      <c r="U83" s="46">
        <f t="shared" si="151"/>
        <v>665.13093920202471</v>
      </c>
      <c r="V83" s="46">
        <f t="shared" si="152"/>
        <v>63.937563968950855</v>
      </c>
      <c r="X83" s="46">
        <f>23.45*SIN(RADIANS(360/365*(X81-81)))</f>
        <v>13.783564166258497</v>
      </c>
      <c r="Y83" s="212">
        <v>7</v>
      </c>
      <c r="Z83" s="46">
        <f t="shared" si="153"/>
        <v>20.261151603418277</v>
      </c>
      <c r="AA83" s="207">
        <f t="shared" si="134"/>
        <v>75</v>
      </c>
      <c r="AB83" s="46">
        <f t="shared" si="154"/>
        <v>90.315419302147404</v>
      </c>
      <c r="AC83" s="46">
        <f t="shared" si="155"/>
        <v>89.684580697852596</v>
      </c>
      <c r="AD83" s="46">
        <f t="shared" si="156"/>
        <v>90.315419302147404</v>
      </c>
      <c r="AE83" s="46">
        <f t="shared" si="157"/>
        <v>-269.6845806978526</v>
      </c>
      <c r="AF83" s="46">
        <f t="shared" si="158"/>
        <v>2.8876725460939876</v>
      </c>
      <c r="AG83" s="46">
        <f t="shared" si="159"/>
        <v>615.52640577319517</v>
      </c>
      <c r="AH83" s="47">
        <f>COS(RADIANS(Z83))*COS(RADIANS(AB83-Insolation!$L$6))*SIN(RADIANS(0))+(SIN(RADIANS(Z83))*COS(RADIANS(0)))</f>
        <v>0.34629965276106212</v>
      </c>
      <c r="AI83" s="47">
        <f>COS(RADIANS(Z83))*COS(RADIANS(AB83-Insolation!$L$6))*SIN(RADIANS(Insolation!$L$7))+SIN(RADIANS(Z83))*COS(RADIANS(Insolation!$L$7))</f>
        <v>-5.1644451017334525E-3</v>
      </c>
      <c r="AJ83" s="46">
        <f t="shared" si="160"/>
        <v>213.15658058452212</v>
      </c>
      <c r="AK83" s="46">
        <f t="shared" si="161"/>
        <v>78.579037827795673</v>
      </c>
      <c r="AL83" s="46">
        <f t="shared" si="162"/>
        <v>0</v>
      </c>
      <c r="AM83" s="46">
        <f>$X$91*AG83*((1+COS(RADIANS(Insolation!$L$7)))/2)</f>
        <v>39.289518913897837</v>
      </c>
      <c r="AN83" s="46">
        <f t="shared" si="163"/>
        <v>597.80088598491909</v>
      </c>
      <c r="AO83" s="46">
        <f t="shared" si="164"/>
        <v>43.721948177011505</v>
      </c>
      <c r="AP83" s="46">
        <f t="shared" si="165"/>
        <v>615.52640577319517</v>
      </c>
      <c r="AQ83" s="46">
        <f t="shared" si="166"/>
        <v>52.895465670929845</v>
      </c>
      <c r="AS83" s="46">
        <f>23.45*SIN(RADIANS(360/365*(AS81-81)))</f>
        <v>2.2168867832133294</v>
      </c>
      <c r="AT83" s="212">
        <v>7</v>
      </c>
      <c r="AU83" s="46">
        <f t="shared" si="167"/>
        <v>12.505099103814992</v>
      </c>
      <c r="AV83" s="207">
        <f t="shared" si="135"/>
        <v>75</v>
      </c>
      <c r="AW83" s="46">
        <f t="shared" si="168"/>
        <v>81.362025633527836</v>
      </c>
      <c r="AX83" s="46">
        <f t="shared" si="169"/>
        <v>81.362025633527836</v>
      </c>
      <c r="AY83" s="46">
        <f t="shared" si="170"/>
        <v>98.637974366472164</v>
      </c>
      <c r="AZ83" s="46">
        <f t="shared" si="171"/>
        <v>-261.36202563352782</v>
      </c>
      <c r="BA83" s="46">
        <f t="shared" si="172"/>
        <v>4.6183723541319619</v>
      </c>
      <c r="BB83" s="46">
        <f t="shared" si="173"/>
        <v>477.03074060563443</v>
      </c>
      <c r="BC83" s="47">
        <f>COS(RADIANS(AU83))*COS(RADIANS(AW83-Insolation!$L$6))*SIN(RADIANS(0))+(SIN(RADIANS(AU83))*COS(RADIANS(0)))</f>
        <v>0.21652649966720869</v>
      </c>
      <c r="BD83" s="47">
        <f>COS(RADIANS(AU83))*COS(RADIANS(AW83-Insolation!$L$6))*SIN(RADIANS(Insolation!$L$7))+SIN(RADIANS(AU83))*COS(RADIANS(Insolation!$L$7))</f>
        <v>0.14662762488915362</v>
      </c>
      <c r="BE83" s="46">
        <f t="shared" si="174"/>
        <v>103.28979649699421</v>
      </c>
      <c r="BF83" s="46">
        <f t="shared" si="175"/>
        <v>53.128935405741089</v>
      </c>
      <c r="BG83" s="46">
        <f t="shared" si="176"/>
        <v>69.945884494118104</v>
      </c>
      <c r="BH83" s="46">
        <f>$AS$91*BB83*((1+COS(RADIANS(Insolation!$L$7)))/2)</f>
        <v>26.564467702870544</v>
      </c>
      <c r="BI83" s="46">
        <f t="shared" si="177"/>
        <v>476.67371122784868</v>
      </c>
      <c r="BJ83" s="46">
        <f t="shared" si="178"/>
        <v>31.308876133360467</v>
      </c>
      <c r="BK83" s="46">
        <f t="shared" si="179"/>
        <v>477.03074060563443</v>
      </c>
      <c r="BL83" s="46">
        <f t="shared" si="180"/>
        <v>32.316378910095715</v>
      </c>
      <c r="BN83" s="46">
        <f>23.45*SIN(RADIANS(360/365*(BN81-81)))</f>
        <v>-9.5993972342263252</v>
      </c>
      <c r="BO83" s="212">
        <v>7</v>
      </c>
      <c r="BP83" s="46">
        <f t="shared" si="181"/>
        <v>4.2962304789302284</v>
      </c>
      <c r="BQ83" s="207">
        <f t="shared" si="136"/>
        <v>75</v>
      </c>
      <c r="BR83" s="46">
        <f t="shared" si="182"/>
        <v>72.762469127471491</v>
      </c>
      <c r="BS83" s="46">
        <f t="shared" si="183"/>
        <v>72.762469127471491</v>
      </c>
      <c r="BT83" s="46">
        <f t="shared" si="184"/>
        <v>107.23753087252851</v>
      </c>
      <c r="BU83" s="46">
        <f t="shared" si="185"/>
        <v>-252.76246912747149</v>
      </c>
      <c r="BV83" s="46">
        <f t="shared" si="186"/>
        <v>13.348796347315457</v>
      </c>
      <c r="BW83" s="46">
        <f t="shared" si="187"/>
        <v>120.53009145179796</v>
      </c>
      <c r="BX83" s="47">
        <f>COS(RADIANS(BP83))*COS(RADIANS(BR83-Insolation!$L$6))*SIN(RADIANS(0))+(SIN(RADIANS(BP83))*COS(RADIANS(0)))</f>
        <v>7.4913121301839886E-2</v>
      </c>
      <c r="BY83" s="47">
        <f>COS(RADIANS(BP83))*COS(RADIANS(BR83-Insolation!$L$6))*SIN(RADIANS(Insolation!$L$7))+SIN(RADIANS(BP83))*COS(RADIANS(Insolation!$L$7))</f>
        <v>0.295501050777154</v>
      </c>
      <c r="BZ83" s="46">
        <f t="shared" si="188"/>
        <v>9.0292853614503947</v>
      </c>
      <c r="CA83" s="46">
        <f t="shared" si="189"/>
        <v>10.994577763879898</v>
      </c>
      <c r="CB83" s="46">
        <f t="shared" si="190"/>
        <v>35.616768674272762</v>
      </c>
      <c r="CC83" s="46">
        <f>$BN$91*BW83*((1+COS(RADIANS(Insolation!$L$7)))/2)</f>
        <v>5.4972888819399488</v>
      </c>
      <c r="CD83" s="46">
        <f t="shared" si="191"/>
        <v>118.84240397647626</v>
      </c>
      <c r="CE83" s="46">
        <f t="shared" si="192"/>
        <v>6.8174846071260609</v>
      </c>
      <c r="CF83" s="46">
        <f t="shared" si="193"/>
        <v>120.53009145179796</v>
      </c>
      <c r="CG83" s="46">
        <f t="shared" si="194"/>
        <v>5.9091079507839721</v>
      </c>
      <c r="CI83" s="46">
        <f>23.45*SIN(RADIANS(360/365*(CI81-81)))</f>
        <v>-19.147817306406722</v>
      </c>
      <c r="CJ83" s="212">
        <v>7</v>
      </c>
      <c r="CK83" s="46">
        <f t="shared" si="195"/>
        <v>-2.4144225048222729</v>
      </c>
      <c r="CL83" s="207">
        <f t="shared" si="137"/>
        <v>75</v>
      </c>
      <c r="CM83" s="46">
        <f t="shared" si="196"/>
        <v>65.96505724038829</v>
      </c>
      <c r="CN83" s="46">
        <f t="shared" si="197"/>
        <v>65.96505724038829</v>
      </c>
      <c r="CO83" s="46">
        <f t="shared" si="198"/>
        <v>114.03494275961171</v>
      </c>
      <c r="CP83" s="46">
        <f t="shared" si="199"/>
        <v>-245.96505724038829</v>
      </c>
      <c r="CQ83" s="46">
        <f t="shared" si="200"/>
        <v>23.737659856276093</v>
      </c>
      <c r="CR83" s="46">
        <f t="shared" si="201"/>
        <v>0</v>
      </c>
      <c r="CS83" s="47">
        <f>COS(RADIANS(CK83))*COS(RADIANS(CM83-Insolation!$L$6))*SIN(RADIANS(0))+(SIN(RADIANS(CK83))*COS(RADIANS(0)))</f>
        <v>-4.212715179401335E-2</v>
      </c>
      <c r="CT83" s="47">
        <f>COS(RADIANS(CK83))*COS(RADIANS(CM83-Insolation!$L$6))*SIN(RADIANS(Insolation!$L$7))+SIN(RADIANS(CK83))*COS(RADIANS(Insolation!$L$7))</f>
        <v>0.40693213596690253</v>
      </c>
      <c r="CU83" s="46">
        <f t="shared" si="202"/>
        <v>0</v>
      </c>
      <c r="CV83" s="46">
        <f t="shared" si="203"/>
        <v>0</v>
      </c>
      <c r="CW83" s="46">
        <f t="shared" si="204"/>
        <v>0</v>
      </c>
      <c r="CX83" s="46">
        <f>$CI$91*CR83*((1+COS(RADIANS(Insolation!$L$7)))/2)</f>
        <v>0</v>
      </c>
      <c r="CY83" s="46">
        <f t="shared" si="205"/>
        <v>0</v>
      </c>
      <c r="CZ83" s="46">
        <f t="shared" si="206"/>
        <v>0</v>
      </c>
      <c r="DA83" s="46">
        <f t="shared" si="207"/>
        <v>0</v>
      </c>
      <c r="DB83" s="46">
        <f t="shared" si="208"/>
        <v>0</v>
      </c>
      <c r="DD83" s="46">
        <f>23.45*SIN(RADIANS(360/365*(DD81-81)))</f>
        <v>-23.335219545311354</v>
      </c>
      <c r="DE83" s="212">
        <v>7</v>
      </c>
      <c r="DF83" s="46">
        <f t="shared" si="209"/>
        <v>-5.3521907865463865</v>
      </c>
      <c r="DG83" s="207">
        <f t="shared" si="138"/>
        <v>75</v>
      </c>
      <c r="DH83" s="46">
        <f t="shared" si="210"/>
        <v>62.97392391991297</v>
      </c>
      <c r="DI83" s="46">
        <f t="shared" si="211"/>
        <v>62.97392391991297</v>
      </c>
      <c r="DJ83" s="46">
        <f t="shared" si="212"/>
        <v>117.02607608008702</v>
      </c>
      <c r="DK83" s="46">
        <f t="shared" si="213"/>
        <v>-242.97392391991298</v>
      </c>
      <c r="DL83" s="46">
        <f t="shared" si="214"/>
        <v>10.720692589307772</v>
      </c>
      <c r="DM83" s="46">
        <f t="shared" si="215"/>
        <v>0</v>
      </c>
      <c r="DN83" s="47">
        <f>COS(RADIANS(DF83))*COS(RADIANS(DH83-Insolation!$L$6))*SIN(RADIANS(0))+(SIN(RADIANS(DF83))*COS(RADIANS(0)))</f>
        <v>-9.3277555686779492E-2</v>
      </c>
      <c r="DO83" s="47">
        <f>COS(RADIANS(DF83))*COS(RADIANS(DH83-Insolation!$L$6))*SIN(RADIANS(Insolation!$L$7))+SIN(RADIANS(DF83))*COS(RADIANS(Insolation!$L$7))</f>
        <v>0.45241486109218243</v>
      </c>
      <c r="DP83" s="46">
        <f t="shared" si="216"/>
        <v>0</v>
      </c>
      <c r="DQ83" s="46">
        <f t="shared" si="217"/>
        <v>0</v>
      </c>
      <c r="DR83" s="46">
        <f t="shared" si="218"/>
        <v>0</v>
      </c>
      <c r="DS83" s="46">
        <f>$DD$91*DM83*((1+COS(RADIANS(Insolation!$L$7)))/2)</f>
        <v>0</v>
      </c>
      <c r="DT83" s="46">
        <f t="shared" si="219"/>
        <v>0</v>
      </c>
      <c r="DU83" s="46">
        <f t="shared" si="220"/>
        <v>0</v>
      </c>
      <c r="DV83" s="46">
        <f t="shared" si="221"/>
        <v>0</v>
      </c>
      <c r="DW83" s="46">
        <f t="shared" si="222"/>
        <v>0</v>
      </c>
    </row>
    <row r="84" spans="3:127" x14ac:dyDescent="0.25">
      <c r="C84" s="236" t="s">
        <v>180</v>
      </c>
      <c r="D84" s="212">
        <v>7.5</v>
      </c>
      <c r="E84" s="46">
        <f t="shared" si="139"/>
        <v>30.685974770400637</v>
      </c>
      <c r="F84" s="207">
        <f t="shared" si="133"/>
        <v>67.5</v>
      </c>
      <c r="G84" s="46">
        <f t="shared" si="140"/>
        <v>91.926265387508678</v>
      </c>
      <c r="H84" s="46">
        <f t="shared" si="141"/>
        <v>88.073734612491322</v>
      </c>
      <c r="I84" s="46">
        <f t="shared" si="142"/>
        <v>91.926265387508678</v>
      </c>
      <c r="J84" s="46">
        <f t="shared" si="143"/>
        <v>-268.07373461249131</v>
      </c>
      <c r="K84" s="46">
        <f t="shared" si="144"/>
        <v>1.9595070899232463</v>
      </c>
      <c r="L84" s="46">
        <f t="shared" si="145"/>
        <v>721.66242589295439</v>
      </c>
      <c r="M84" s="47">
        <f>COS(RADIANS(E84))*COS(RADIANS(G84-Insolation!$L$6))*SIN(RADIANS(0))+(SIN(RADIANS(E84))*COS(RADIANS(0)))</f>
        <v>0.51033242244567223</v>
      </c>
      <c r="N84" s="47">
        <f>COS(RADIANS(E84))*COS(RADIANS(G84-Insolation!$L$6))*SIN(RADIANS(Insolation!$L$7))+SIN(RADIANS(E84))*COS(RADIANS(Insolation!$L$7))</f>
        <v>-2.890670698242832E-2</v>
      </c>
      <c r="O84" s="46">
        <f t="shared" si="146"/>
        <v>368.28773399397181</v>
      </c>
      <c r="P84" s="46">
        <f t="shared" si="147"/>
        <v>97.327981692939559</v>
      </c>
      <c r="Q84" s="46">
        <f t="shared" si="148"/>
        <v>0</v>
      </c>
      <c r="R84" s="46">
        <f>$C$91*L84*((1+COS(RADIANS(Insolation!$L$7)))/2)</f>
        <v>48.66399084646978</v>
      </c>
      <c r="S84" s="46">
        <f t="shared" si="149"/>
        <v>671.36734146295771</v>
      </c>
      <c r="T84" s="46">
        <f t="shared" si="150"/>
        <v>56.418152394115253</v>
      </c>
      <c r="U84" s="46">
        <f t="shared" si="151"/>
        <v>721.66242589295439</v>
      </c>
      <c r="V84" s="46">
        <f t="shared" si="152"/>
        <v>73.498803181022723</v>
      </c>
      <c r="X84" s="236" t="s">
        <v>180</v>
      </c>
      <c r="Y84" s="212">
        <v>7.5</v>
      </c>
      <c r="Z84" s="46">
        <f t="shared" si="153"/>
        <v>25.774704638849602</v>
      </c>
      <c r="AA84" s="207">
        <f t="shared" si="134"/>
        <v>67.5</v>
      </c>
      <c r="AB84" s="46">
        <f t="shared" si="154"/>
        <v>85.140789700416789</v>
      </c>
      <c r="AC84" s="46">
        <f t="shared" si="155"/>
        <v>85.140789700416789</v>
      </c>
      <c r="AD84" s="46">
        <f t="shared" si="156"/>
        <v>94.859210299583211</v>
      </c>
      <c r="AE84" s="46">
        <f t="shared" si="157"/>
        <v>-265.1407897004168</v>
      </c>
      <c r="AF84" s="46">
        <f t="shared" si="158"/>
        <v>2.2997304059296617</v>
      </c>
      <c r="AG84" s="46">
        <f t="shared" si="159"/>
        <v>693.38297357208853</v>
      </c>
      <c r="AH84" s="47">
        <f>COS(RADIANS(Z84))*COS(RADIANS(AB84-Insolation!$L$6))*SIN(RADIANS(0))+(SIN(RADIANS(Z84))*COS(RADIANS(0)))</f>
        <v>0.4348335776322233</v>
      </c>
      <c r="AI84" s="47">
        <f>COS(RADIANS(Z84))*COS(RADIANS(AB84-Insolation!$L$6))*SIN(RADIANS(Insolation!$L$7))+SIN(RADIANS(Z84))*COS(RADIANS(Insolation!$L$7))</f>
        <v>7.6280101337986211E-2</v>
      </c>
      <c r="AJ84" s="46">
        <f t="shared" si="160"/>
        <v>301.50619906762057</v>
      </c>
      <c r="AK84" s="46">
        <f t="shared" si="161"/>
        <v>88.518325775201546</v>
      </c>
      <c r="AL84" s="46">
        <f t="shared" si="162"/>
        <v>52.89132349011313</v>
      </c>
      <c r="AM84" s="46">
        <f>$X$91*AG84*((1+COS(RADIANS(Insolation!$L$7)))/2)</f>
        <v>44.259162887600773</v>
      </c>
      <c r="AN84" s="46">
        <f t="shared" si="163"/>
        <v>673.41539215944886</v>
      </c>
      <c r="AO84" s="46">
        <f t="shared" si="164"/>
        <v>53.454466016625425</v>
      </c>
      <c r="AP84" s="46">
        <f t="shared" si="165"/>
        <v>693.38297357208853</v>
      </c>
      <c r="AQ84" s="46">
        <f t="shared" si="166"/>
        <v>63.504533029023534</v>
      </c>
      <c r="AS84" s="236" t="s">
        <v>180</v>
      </c>
      <c r="AT84" s="212">
        <v>7.5</v>
      </c>
      <c r="AU84" s="46">
        <f t="shared" si="167"/>
        <v>17.91569857722191</v>
      </c>
      <c r="AV84" s="207">
        <f t="shared" si="135"/>
        <v>67.5</v>
      </c>
      <c r="AW84" s="46">
        <f t="shared" si="168"/>
        <v>75.985527594391357</v>
      </c>
      <c r="AX84" s="46">
        <f t="shared" si="169"/>
        <v>75.985527594391357</v>
      </c>
      <c r="AY84" s="46">
        <f t="shared" si="170"/>
        <v>104.01447240560864</v>
      </c>
      <c r="AZ84" s="46">
        <f t="shared" si="171"/>
        <v>-255.98552759439136</v>
      </c>
      <c r="BA84" s="46">
        <f t="shared" si="172"/>
        <v>3.2507920880410768</v>
      </c>
      <c r="BB84" s="46">
        <f t="shared" si="173"/>
        <v>617.16341959355736</v>
      </c>
      <c r="BC84" s="47">
        <f>COS(RADIANS(AU84))*COS(RADIANS(AW84-Insolation!$L$6))*SIN(RADIANS(0))+(SIN(RADIANS(AU84))*COS(RADIANS(0)))</f>
        <v>0.30761733538074371</v>
      </c>
      <c r="BD84" s="47">
        <f>COS(RADIANS(AU84))*COS(RADIANS(AW84-Insolation!$L$6))*SIN(RADIANS(Insolation!$L$7))+SIN(RADIANS(AU84))*COS(RADIANS(Insolation!$L$7))</f>
        <v>0.23042433683093513</v>
      </c>
      <c r="BE84" s="46">
        <f t="shared" si="174"/>
        <v>189.85016662983799</v>
      </c>
      <c r="BF84" s="46">
        <f t="shared" si="175"/>
        <v>68.736105796333888</v>
      </c>
      <c r="BG84" s="46">
        <f t="shared" si="176"/>
        <v>142.20947167615762</v>
      </c>
      <c r="BH84" s="46">
        <f>$AS$91*BB84*((1+COS(RADIANS(Insolation!$L$7)))/2)</f>
        <v>34.368052898166944</v>
      </c>
      <c r="BI84" s="46">
        <f t="shared" si="177"/>
        <v>616.70150916948307</v>
      </c>
      <c r="BJ84" s="46">
        <f t="shared" si="178"/>
        <v>43.667377200033691</v>
      </c>
      <c r="BK84" s="46">
        <f t="shared" si="179"/>
        <v>617.16341959355736</v>
      </c>
      <c r="BL84" s="46">
        <f t="shared" si="180"/>
        <v>44.940261752925508</v>
      </c>
      <c r="BN84" s="236" t="s">
        <v>180</v>
      </c>
      <c r="BO84" s="212">
        <v>7.5</v>
      </c>
      <c r="BP84" s="46">
        <f t="shared" si="181"/>
        <v>9.4853697280673668</v>
      </c>
      <c r="BQ84" s="207">
        <f t="shared" si="136"/>
        <v>67.5</v>
      </c>
      <c r="BR84" s="46">
        <f t="shared" si="182"/>
        <v>67.453776164059818</v>
      </c>
      <c r="BS84" s="46">
        <f t="shared" si="183"/>
        <v>67.453776164059818</v>
      </c>
      <c r="BT84" s="46">
        <f t="shared" si="184"/>
        <v>112.54622383594018</v>
      </c>
      <c r="BU84" s="46">
        <f t="shared" si="185"/>
        <v>-247.45377616405983</v>
      </c>
      <c r="BV84" s="46">
        <f t="shared" si="186"/>
        <v>6.0681174341868429</v>
      </c>
      <c r="BW84" s="46">
        <f t="shared" si="187"/>
        <v>417.65150471119824</v>
      </c>
      <c r="BX84" s="47">
        <f>COS(RADIANS(BP84))*COS(RADIANS(BR84-Insolation!$L$6))*SIN(RADIANS(0))+(SIN(RADIANS(BP84))*COS(RADIANS(0)))</f>
        <v>0.16479575598951882</v>
      </c>
      <c r="BY84" s="47">
        <f>COS(RADIANS(BP84))*COS(RADIANS(BR84-Insolation!$L$6))*SIN(RADIANS(Insolation!$L$7))+SIN(RADIANS(BP84))*COS(RADIANS(Insolation!$L$7))</f>
        <v>0.37818630872316994</v>
      </c>
      <c r="BZ84" s="46">
        <f t="shared" si="188"/>
        <v>68.827195459041988</v>
      </c>
      <c r="CA84" s="46">
        <f t="shared" si="189"/>
        <v>38.097556315097464</v>
      </c>
      <c r="CB84" s="46">
        <f t="shared" si="190"/>
        <v>157.95008089940569</v>
      </c>
      <c r="CC84" s="46">
        <f>$BN$91*BW84*((1+COS(RADIANS(Insolation!$L$7)))/2)</f>
        <v>19.048778157548732</v>
      </c>
      <c r="CD84" s="46">
        <f t="shared" si="191"/>
        <v>411.80346124702947</v>
      </c>
      <c r="CE84" s="46">
        <f t="shared" si="192"/>
        <v>25.277093471720274</v>
      </c>
      <c r="CF84" s="46">
        <f t="shared" si="193"/>
        <v>417.65150471119824</v>
      </c>
      <c r="CG84" s="46">
        <f t="shared" si="194"/>
        <v>22.187935954698609</v>
      </c>
      <c r="CI84" s="236" t="s">
        <v>180</v>
      </c>
      <c r="CJ84" s="212">
        <v>7.5</v>
      </c>
      <c r="CK84" s="46">
        <f t="shared" si="195"/>
        <v>2.5211735755682319</v>
      </c>
      <c r="CL84" s="207">
        <f t="shared" si="137"/>
        <v>67.5</v>
      </c>
      <c r="CM84" s="46">
        <f t="shared" si="196"/>
        <v>60.881127551036045</v>
      </c>
      <c r="CN84" s="46">
        <f t="shared" si="197"/>
        <v>60.881127551036045</v>
      </c>
      <c r="CO84" s="46">
        <f t="shared" si="198"/>
        <v>119.11887244896396</v>
      </c>
      <c r="CP84" s="46">
        <f t="shared" si="199"/>
        <v>-240.88112755103606</v>
      </c>
      <c r="CQ84" s="46">
        <f t="shared" si="200"/>
        <v>22.733172368782597</v>
      </c>
      <c r="CR84" s="46">
        <f t="shared" si="201"/>
        <v>37.03058789538504</v>
      </c>
      <c r="CS84" s="47">
        <f>COS(RADIANS(CK84))*COS(RADIANS(CM84-Insolation!$L$6))*SIN(RADIANS(0))+(SIN(RADIANS(CK84))*COS(RADIANS(0)))</f>
        <v>4.3988581258162157E-2</v>
      </c>
      <c r="CT84" s="47">
        <f>COS(RADIANS(CK84))*COS(RADIANS(CM84-Insolation!$L$6))*SIN(RADIANS(Insolation!$L$7))+SIN(RADIANS(CK84))*COS(RADIANS(Insolation!$L$7))</f>
        <v>0.48615212796392687</v>
      </c>
      <c r="CU84" s="46">
        <f t="shared" si="202"/>
        <v>1.6289230246736608</v>
      </c>
      <c r="CV84" s="46">
        <f t="shared" si="203"/>
        <v>2.6472645121164788</v>
      </c>
      <c r="CW84" s="46">
        <f t="shared" si="204"/>
        <v>18.002499105096668</v>
      </c>
      <c r="CX84" s="46">
        <f>$CI$91*CR84*((1+COS(RADIANS(Insolation!$L$7)))/2)</f>
        <v>1.3236322560582394</v>
      </c>
      <c r="CY84" s="46">
        <f t="shared" si="205"/>
        <v>34.981889026141879</v>
      </c>
      <c r="CZ84" s="46">
        <f t="shared" si="206"/>
        <v>1.8123753212211231</v>
      </c>
      <c r="DA84" s="46">
        <f t="shared" si="207"/>
        <v>37.03058789538504</v>
      </c>
      <c r="DB84" s="46">
        <f t="shared" si="208"/>
        <v>1.3818569611097817</v>
      </c>
      <c r="DD84" s="236" t="s">
        <v>180</v>
      </c>
      <c r="DE84" s="212">
        <v>7.5</v>
      </c>
      <c r="DF84" s="46">
        <f t="shared" si="209"/>
        <v>-0.54861687764573541</v>
      </c>
      <c r="DG84" s="207">
        <f t="shared" si="138"/>
        <v>67.5</v>
      </c>
      <c r="DH84" s="46">
        <f t="shared" si="210"/>
        <v>58.032431087484653</v>
      </c>
      <c r="DI84" s="46">
        <f t="shared" si="211"/>
        <v>58.032431087484653</v>
      </c>
      <c r="DJ84" s="46">
        <f t="shared" si="212"/>
        <v>121.96756891251535</v>
      </c>
      <c r="DK84" s="46">
        <f t="shared" si="213"/>
        <v>-238.03243108748467</v>
      </c>
      <c r="DL84" s="46">
        <f t="shared" si="214"/>
        <v>104.43837470885887</v>
      </c>
      <c r="DM84" s="46">
        <f t="shared" si="215"/>
        <v>0</v>
      </c>
      <c r="DN84" s="47">
        <f>COS(RADIANS(DF84))*COS(RADIANS(DH84-Insolation!$L$6))*SIN(RADIANS(0))+(SIN(RADIANS(DF84))*COS(RADIANS(0)))</f>
        <v>-9.5750245327704819E-3</v>
      </c>
      <c r="DO84" s="47">
        <f>COS(RADIANS(DF84))*COS(RADIANS(DH84-Insolation!$L$6))*SIN(RADIANS(Insolation!$L$7))+SIN(RADIANS(DF84))*COS(RADIANS(Insolation!$L$7))</f>
        <v>0.52941488899804445</v>
      </c>
      <c r="DP84" s="46">
        <f t="shared" si="216"/>
        <v>0</v>
      </c>
      <c r="DQ84" s="46">
        <f t="shared" si="217"/>
        <v>0</v>
      </c>
      <c r="DR84" s="46">
        <f t="shared" si="218"/>
        <v>0</v>
      </c>
      <c r="DS84" s="46">
        <f>$DD$91*DM84*((1+COS(RADIANS(Insolation!$L$7)))/2)</f>
        <v>0</v>
      </c>
      <c r="DT84" s="46">
        <f t="shared" si="219"/>
        <v>0</v>
      </c>
      <c r="DU84" s="46">
        <f t="shared" si="220"/>
        <v>0</v>
      </c>
      <c r="DV84" s="46">
        <f t="shared" si="221"/>
        <v>0</v>
      </c>
      <c r="DW84" s="46">
        <f t="shared" si="222"/>
        <v>0</v>
      </c>
    </row>
    <row r="85" spans="3:127" x14ac:dyDescent="0.25">
      <c r="C85" s="47">
        <f>1370*(1+0.034*COS(RADIANS(360*C81)/365))</f>
        <v>1324.6721478516747</v>
      </c>
      <c r="D85" s="212">
        <v>8</v>
      </c>
      <c r="E85" s="46">
        <f t="shared" si="139"/>
        <v>36.203518828791729</v>
      </c>
      <c r="F85" s="207">
        <f t="shared" si="133"/>
        <v>60</v>
      </c>
      <c r="G85" s="46">
        <f t="shared" si="140"/>
        <v>86.804230558621853</v>
      </c>
      <c r="H85" s="46">
        <f t="shared" si="141"/>
        <v>86.804230558621853</v>
      </c>
      <c r="I85" s="46">
        <f t="shared" si="142"/>
        <v>93.195769441378147</v>
      </c>
      <c r="J85" s="46">
        <f t="shared" si="143"/>
        <v>-266.80423055862184</v>
      </c>
      <c r="K85" s="46">
        <f t="shared" si="144"/>
        <v>1.6930350495910507</v>
      </c>
      <c r="L85" s="46">
        <f t="shared" si="145"/>
        <v>762.97019758158513</v>
      </c>
      <c r="M85" s="47">
        <f>COS(RADIANS(E85))*COS(RADIANS(G85-Insolation!$L$6))*SIN(RADIANS(0))+(SIN(RADIANS(E85))*COS(RADIANS(0)))</f>
        <v>0.59065522609325072</v>
      </c>
      <c r="N85" s="47">
        <f>COS(RADIANS(E85))*COS(RADIANS(G85-Insolation!$L$6))*SIN(RADIANS(Insolation!$L$7))+SIN(RADIANS(E85))*COS(RADIANS(Insolation!$L$7))</f>
        <v>4.4984226028434257E-2</v>
      </c>
      <c r="O85" s="46">
        <f t="shared" si="146"/>
        <v>450.65233455496332</v>
      </c>
      <c r="P85" s="46">
        <f t="shared" si="147"/>
        <v>102.89901033796359</v>
      </c>
      <c r="Q85" s="46">
        <f t="shared" si="148"/>
        <v>34.321623820969172</v>
      </c>
      <c r="R85" s="46">
        <f>$C$91*L85*((1+COS(RADIANS(Insolation!$L$7)))/2)</f>
        <v>51.449505168981794</v>
      </c>
      <c r="S85" s="46">
        <f t="shared" si="149"/>
        <v>709.79623545177753</v>
      </c>
      <c r="T85" s="46">
        <f t="shared" si="150"/>
        <v>64.493224251098596</v>
      </c>
      <c r="U85" s="46">
        <f t="shared" si="151"/>
        <v>762.97019758158513</v>
      </c>
      <c r="V85" s="46">
        <f t="shared" si="152"/>
        <v>81.838424276952608</v>
      </c>
      <c r="X85" s="47">
        <f>1370*(1+0.034*COS(RADIANS(360*X81)/365))</f>
        <v>1336.4313241737811</v>
      </c>
      <c r="Y85" s="212">
        <v>8</v>
      </c>
      <c r="Z85" s="46">
        <f t="shared" si="153"/>
        <v>31.244242679878742</v>
      </c>
      <c r="AA85" s="207">
        <f t="shared" si="134"/>
        <v>60</v>
      </c>
      <c r="AB85" s="46">
        <f t="shared" si="154"/>
        <v>79.66254893312103</v>
      </c>
      <c r="AC85" s="46">
        <f t="shared" si="155"/>
        <v>79.66254893312103</v>
      </c>
      <c r="AD85" s="46">
        <f t="shared" si="156"/>
        <v>100.33745106687897</v>
      </c>
      <c r="AE85" s="46">
        <f t="shared" si="157"/>
        <v>-259.662548933121</v>
      </c>
      <c r="AF85" s="46">
        <f t="shared" si="158"/>
        <v>1.9279436816879698</v>
      </c>
      <c r="AG85" s="46">
        <f t="shared" si="159"/>
        <v>747.62281908662123</v>
      </c>
      <c r="AH85" s="47">
        <f>COS(RADIANS(Z85))*COS(RADIANS(AB85-Insolation!$L$6))*SIN(RADIANS(0))+(SIN(RADIANS(Z85))*COS(RADIANS(0)))</f>
        <v>0.51868735041288727</v>
      </c>
      <c r="AI85" s="47">
        <f>COS(RADIANS(Z85))*COS(RADIANS(AB85-Insolation!$L$6))*SIN(RADIANS(Insolation!$L$7))+SIN(RADIANS(Z85))*COS(RADIANS(Insolation!$L$7))</f>
        <v>0.15341926015557189</v>
      </c>
      <c r="AJ85" s="46">
        <f t="shared" si="160"/>
        <v>387.78249914025292</v>
      </c>
      <c r="AK85" s="46">
        <f t="shared" si="161"/>
        <v>95.442667009768712</v>
      </c>
      <c r="AL85" s="46">
        <f t="shared" si="162"/>
        <v>114.69973977969241</v>
      </c>
      <c r="AM85" s="46">
        <f>$X$91*AG85*((1+COS(RADIANS(Insolation!$L$7)))/2)</f>
        <v>47.721333504884356</v>
      </c>
      <c r="AN85" s="46">
        <f t="shared" si="163"/>
        <v>726.09327470056019</v>
      </c>
      <c r="AO85" s="46">
        <f t="shared" si="164"/>
        <v>62.040177027143741</v>
      </c>
      <c r="AP85" s="46">
        <f t="shared" si="165"/>
        <v>747.62281908662123</v>
      </c>
      <c r="AQ85" s="46">
        <f t="shared" si="166"/>
        <v>72.473785538702572</v>
      </c>
      <c r="AS85" s="47">
        <f>1370*(1+0.034*COS(RADIANS(360*AS81)/365))</f>
        <v>1357.5252096655458</v>
      </c>
      <c r="AT85" s="212">
        <v>8</v>
      </c>
      <c r="AU85" s="46">
        <f t="shared" si="167"/>
        <v>23.196942045309935</v>
      </c>
      <c r="AV85" s="207">
        <f t="shared" si="135"/>
        <v>60</v>
      </c>
      <c r="AW85" s="46">
        <f t="shared" si="168"/>
        <v>70.303438450299794</v>
      </c>
      <c r="AX85" s="46">
        <f t="shared" si="169"/>
        <v>70.303438450299794</v>
      </c>
      <c r="AY85" s="46">
        <f t="shared" si="170"/>
        <v>109.69656154970021</v>
      </c>
      <c r="AZ85" s="46">
        <f t="shared" si="171"/>
        <v>-250.30343845029978</v>
      </c>
      <c r="BA85" s="46">
        <f t="shared" si="172"/>
        <v>2.5387614705054591</v>
      </c>
      <c r="BB85" s="46">
        <f t="shared" si="173"/>
        <v>705.7272045700322</v>
      </c>
      <c r="BC85" s="47">
        <f>COS(RADIANS(AU85))*COS(RADIANS(AW85-Insolation!$L$6))*SIN(RADIANS(0))+(SIN(RADIANS(AU85))*COS(RADIANS(0)))</f>
        <v>0.3938928535105361</v>
      </c>
      <c r="BD85" s="47">
        <f>COS(RADIANS(AU85))*COS(RADIANS(AW85-Insolation!$L$6))*SIN(RADIANS(Insolation!$L$7))+SIN(RADIANS(AU85))*COS(RADIANS(Insolation!$L$7))</f>
        <v>0.30979131907145441</v>
      </c>
      <c r="BE85" s="46">
        <f t="shared" si="174"/>
        <v>277.98090240810382</v>
      </c>
      <c r="BF85" s="46">
        <f t="shared" si="175"/>
        <v>78.599829893714414</v>
      </c>
      <c r="BG85" s="46">
        <f t="shared" si="176"/>
        <v>218.62816160836041</v>
      </c>
      <c r="BH85" s="46">
        <f>$AS$91*BB85*((1+COS(RADIANS(Insolation!$L$7)))/2)</f>
        <v>39.299914946857207</v>
      </c>
      <c r="BI85" s="46">
        <f t="shared" si="177"/>
        <v>705.19900937570526</v>
      </c>
      <c r="BJ85" s="46">
        <f t="shared" si="178"/>
        <v>53.370972320606242</v>
      </c>
      <c r="BK85" s="46">
        <f t="shared" si="179"/>
        <v>705.7272045700322</v>
      </c>
      <c r="BL85" s="46">
        <f t="shared" si="180"/>
        <v>54.779870587996164</v>
      </c>
      <c r="BN85" s="47">
        <f>1370*(1+0.034*COS(RADIANS(360*BN81)/365))</f>
        <v>1381.3119400552289</v>
      </c>
      <c r="BO85" s="212">
        <v>8</v>
      </c>
      <c r="BP85" s="46">
        <f t="shared" si="181"/>
        <v>14.473189033275069</v>
      </c>
      <c r="BQ85" s="207">
        <f t="shared" si="136"/>
        <v>60</v>
      </c>
      <c r="BR85" s="46">
        <f t="shared" si="182"/>
        <v>61.870720984172841</v>
      </c>
      <c r="BS85" s="46">
        <f t="shared" si="183"/>
        <v>61.870720984172841</v>
      </c>
      <c r="BT85" s="46">
        <f t="shared" si="184"/>
        <v>118.12927901582717</v>
      </c>
      <c r="BU85" s="46">
        <f t="shared" si="185"/>
        <v>-241.87072098417283</v>
      </c>
      <c r="BV85" s="46">
        <f t="shared" si="186"/>
        <v>4.0011692697733787</v>
      </c>
      <c r="BW85" s="46">
        <f t="shared" si="187"/>
        <v>594.34339296179417</v>
      </c>
      <c r="BX85" s="47">
        <f>COS(RADIANS(BP85))*COS(RADIANS(BR85-Insolation!$L$6))*SIN(RADIANS(0))+(SIN(RADIANS(BP85))*COS(RADIANS(0)))</f>
        <v>0.249926941995293</v>
      </c>
      <c r="BY85" s="47">
        <f>COS(RADIANS(BP85))*COS(RADIANS(BR85-Insolation!$L$6))*SIN(RADIANS(Insolation!$L$7))+SIN(RADIANS(BP85))*COS(RADIANS(Insolation!$L$7))</f>
        <v>0.4565005915498464</v>
      </c>
      <c r="BZ85" s="46">
        <f t="shared" si="188"/>
        <v>148.54242669804796</v>
      </c>
      <c r="CA85" s="46">
        <f t="shared" si="189"/>
        <v>54.215130625533078</v>
      </c>
      <c r="CB85" s="46">
        <f t="shared" si="190"/>
        <v>271.31811047080186</v>
      </c>
      <c r="CC85" s="46">
        <f>$BN$91*BW85*((1+COS(RADIANS(Insolation!$L$7)))/2)</f>
        <v>27.107565312766539</v>
      </c>
      <c r="CD85" s="46">
        <f t="shared" si="191"/>
        <v>586.02127283179357</v>
      </c>
      <c r="CE85" s="46">
        <f t="shared" si="192"/>
        <v>38.164569317959469</v>
      </c>
      <c r="CF85" s="46">
        <f t="shared" si="193"/>
        <v>594.34339296179417</v>
      </c>
      <c r="CG85" s="46">
        <f t="shared" si="194"/>
        <v>33.882476216323958</v>
      </c>
      <c r="CI85" s="47">
        <f>1370*(1+0.034*COS(RADIANS(360*CI81)/365))</f>
        <v>1402.7237297467991</v>
      </c>
      <c r="CJ85" s="212">
        <v>8</v>
      </c>
      <c r="CK85" s="46">
        <f t="shared" si="195"/>
        <v>7.2126338827270713</v>
      </c>
      <c r="CL85" s="207">
        <f t="shared" si="137"/>
        <v>60</v>
      </c>
      <c r="CM85" s="46">
        <f t="shared" si="196"/>
        <v>55.551838429770918</v>
      </c>
      <c r="CN85" s="46">
        <f t="shared" si="197"/>
        <v>55.551838429770918</v>
      </c>
      <c r="CO85" s="46">
        <f t="shared" si="198"/>
        <v>124.44816157022908</v>
      </c>
      <c r="CP85" s="46">
        <f t="shared" si="199"/>
        <v>-235.55183842977092</v>
      </c>
      <c r="CQ85" s="46">
        <f t="shared" si="200"/>
        <v>7.9648276628502215</v>
      </c>
      <c r="CR85" s="46">
        <f t="shared" si="201"/>
        <v>356.95678254741091</v>
      </c>
      <c r="CS85" s="47">
        <f>COS(RADIANS(CK85))*COS(RADIANS(CM85-Insolation!$L$6))*SIN(RADIANS(0))+(SIN(RADIANS(CK85))*COS(RADIANS(0)))</f>
        <v>0.12555199463564401</v>
      </c>
      <c r="CT85" s="47">
        <f>COS(RADIANS(CK85))*COS(RADIANS(CM85-Insolation!$L$6))*SIN(RADIANS(Insolation!$L$7))+SIN(RADIANS(CK85))*COS(RADIANS(Insolation!$L$7))</f>
        <v>0.56118432853869615</v>
      </c>
      <c r="CU85" s="46">
        <f t="shared" si="202"/>
        <v>44.816636047549281</v>
      </c>
      <c r="CV85" s="46">
        <f t="shared" si="203"/>
        <v>25.518337042518461</v>
      </c>
      <c r="CW85" s="46">
        <f t="shared" si="204"/>
        <v>200.31855233120217</v>
      </c>
      <c r="CX85" s="46">
        <f>$CI$91*CR85*((1+COS(RADIANS(Insolation!$L$7)))/2)</f>
        <v>12.75916852125923</v>
      </c>
      <c r="CY85" s="46">
        <f t="shared" si="205"/>
        <v>337.2083259784917</v>
      </c>
      <c r="CZ85" s="46">
        <f t="shared" si="206"/>
        <v>18.42445372461474</v>
      </c>
      <c r="DA85" s="46">
        <f t="shared" si="207"/>
        <v>356.95678254741091</v>
      </c>
      <c r="DB85" s="46">
        <f t="shared" si="208"/>
        <v>14.36110757899565</v>
      </c>
      <c r="DD85" s="47">
        <f>1370*(1+0.034*COS(RADIANS(360*DD81)/365))</f>
        <v>1414.8243568278144</v>
      </c>
      <c r="DE85" s="212">
        <v>8</v>
      </c>
      <c r="DF85" s="46">
        <f t="shared" si="209"/>
        <v>3.9969146660508725</v>
      </c>
      <c r="DG85" s="207">
        <f t="shared" si="138"/>
        <v>60</v>
      </c>
      <c r="DH85" s="46">
        <f t="shared" si="210"/>
        <v>52.856520415427326</v>
      </c>
      <c r="DI85" s="46">
        <f t="shared" si="211"/>
        <v>52.856520415427326</v>
      </c>
      <c r="DJ85" s="46">
        <f t="shared" si="212"/>
        <v>127.14347958457267</v>
      </c>
      <c r="DK85" s="46">
        <f t="shared" si="213"/>
        <v>-232.85652041542733</v>
      </c>
      <c r="DL85" s="46">
        <f t="shared" si="214"/>
        <v>14.346635103060539</v>
      </c>
      <c r="DM85" s="46">
        <f t="shared" si="215"/>
        <v>160.30757780347571</v>
      </c>
      <c r="DN85" s="47">
        <f>COS(RADIANS(DF85))*COS(RADIANS(DH85-Insolation!$L$6))*SIN(RADIANS(0))+(SIN(RADIANS(DF85))*COS(RADIANS(0)))</f>
        <v>6.9702755581109888E-2</v>
      </c>
      <c r="DO85" s="47">
        <f>COS(RADIANS(DF85))*COS(RADIANS(DH85-Insolation!$L$6))*SIN(RADIANS(Insolation!$L$7))+SIN(RADIANS(DF85))*COS(RADIANS(Insolation!$L$7))</f>
        <v>0.6023444790226492</v>
      </c>
      <c r="DP85" s="46">
        <f t="shared" si="216"/>
        <v>11.173879913435425</v>
      </c>
      <c r="DQ85" s="46">
        <f t="shared" si="217"/>
        <v>9.3901469878488406</v>
      </c>
      <c r="DR85" s="46">
        <f t="shared" si="218"/>
        <v>96.560384435417376</v>
      </c>
      <c r="DS85" s="46">
        <f>$DD$91*DM85*((1+COS(RADIANS(Insolation!$L$7)))/2)</f>
        <v>4.6950734939244203</v>
      </c>
      <c r="DT85" s="46">
        <f t="shared" si="219"/>
        <v>147.19490963382282</v>
      </c>
      <c r="DU85" s="46">
        <f t="shared" si="220"/>
        <v>6.8508064474743522</v>
      </c>
      <c r="DV85" s="46">
        <f t="shared" si="221"/>
        <v>160.30757780347571</v>
      </c>
      <c r="DW85" s="46">
        <f t="shared" si="222"/>
        <v>5.0223330541067819</v>
      </c>
    </row>
    <row r="86" spans="3:127" x14ac:dyDescent="0.25">
      <c r="C86" s="236" t="s">
        <v>181</v>
      </c>
      <c r="D86" s="212">
        <v>8.5</v>
      </c>
      <c r="E86" s="46">
        <f t="shared" si="139"/>
        <v>41.691578705101456</v>
      </c>
      <c r="F86" s="207">
        <f t="shared" si="133"/>
        <v>52.5</v>
      </c>
      <c r="G86" s="46">
        <f t="shared" si="140"/>
        <v>81.258479632662514</v>
      </c>
      <c r="H86" s="46">
        <f t="shared" si="141"/>
        <v>81.258479632662514</v>
      </c>
      <c r="I86" s="46">
        <f t="shared" si="142"/>
        <v>98.741520367337486</v>
      </c>
      <c r="J86" s="46">
        <f t="shared" si="143"/>
        <v>-261.2584796326625</v>
      </c>
      <c r="K86" s="46">
        <f t="shared" si="144"/>
        <v>1.5034867200526467</v>
      </c>
      <c r="L86" s="46">
        <f t="shared" si="145"/>
        <v>793.7848116033972</v>
      </c>
      <c r="M86" s="47">
        <f>COS(RADIANS(E86))*COS(RADIANS(G86-Insolation!$L$6))*SIN(RADIANS(0))+(SIN(RADIANS(E86))*COS(RADIANS(0)))</f>
        <v>0.66512060709454324</v>
      </c>
      <c r="N86" s="47">
        <f>COS(RADIANS(E86))*COS(RADIANS(G86-Insolation!$L$6))*SIN(RADIANS(Insolation!$L$7))+SIN(RADIANS(E86))*COS(RADIANS(Insolation!$L$7))</f>
        <v>0.11348677112554886</v>
      </c>
      <c r="O86" s="46">
        <f t="shared" si="146"/>
        <v>527.96263579607921</v>
      </c>
      <c r="P86" s="46">
        <f t="shared" si="147"/>
        <v>107.05486504479404</v>
      </c>
      <c r="Q86" s="46">
        <f t="shared" si="148"/>
        <v>90.084075237371664</v>
      </c>
      <c r="R86" s="46">
        <f>$C$91*L86*((1+COS(RADIANS(Insolation!$L$7)))/2)</f>
        <v>53.527432522397021</v>
      </c>
      <c r="S86" s="46">
        <f t="shared" si="149"/>
        <v>738.46327526396226</v>
      </c>
      <c r="T86" s="46">
        <f t="shared" si="150"/>
        <v>71.987773496141486</v>
      </c>
      <c r="U86" s="46">
        <f t="shared" si="151"/>
        <v>793.7848116033972</v>
      </c>
      <c r="V86" s="46">
        <f t="shared" si="152"/>
        <v>89.129630937905944</v>
      </c>
      <c r="X86" s="236" t="s">
        <v>181</v>
      </c>
      <c r="Y86" s="212">
        <v>8.5</v>
      </c>
      <c r="Z86" s="46">
        <f t="shared" si="153"/>
        <v>36.61437027883936</v>
      </c>
      <c r="AA86" s="207">
        <f t="shared" si="134"/>
        <v>52.5</v>
      </c>
      <c r="AB86" s="46">
        <f t="shared" si="154"/>
        <v>73.725953918255584</v>
      </c>
      <c r="AC86" s="46">
        <f t="shared" si="155"/>
        <v>73.725953918255584</v>
      </c>
      <c r="AD86" s="46">
        <f t="shared" si="156"/>
        <v>106.27404608174442</v>
      </c>
      <c r="AE86" s="46">
        <f t="shared" si="157"/>
        <v>-253.72595391825558</v>
      </c>
      <c r="AF86" s="46">
        <f t="shared" si="158"/>
        <v>1.6766533454855679</v>
      </c>
      <c r="AG86" s="46">
        <f t="shared" si="159"/>
        <v>786.66673875485731</v>
      </c>
      <c r="AH86" s="47">
        <f>COS(RADIANS(Z86))*COS(RADIANS(AB86-Insolation!$L$6))*SIN(RADIANS(0))+(SIN(RADIANS(Z86))*COS(RADIANS(0)))</f>
        <v>0.59642620980211902</v>
      </c>
      <c r="AI86" s="47">
        <f>COS(RADIANS(Z86))*COS(RADIANS(AB86-Insolation!$L$6))*SIN(RADIANS(Insolation!$L$7))+SIN(RADIANS(Z86))*COS(RADIANS(Insolation!$L$7))</f>
        <v>0.22493315895663596</v>
      </c>
      <c r="AJ86" s="46">
        <f t="shared" si="160"/>
        <v>469.18866137295328</v>
      </c>
      <c r="AK86" s="46">
        <f t="shared" si="161"/>
        <v>100.42707322171964</v>
      </c>
      <c r="AL86" s="46">
        <f t="shared" si="162"/>
        <v>176.94743459424473</v>
      </c>
      <c r="AM86" s="46">
        <f>$X$91*AG86*((1+COS(RADIANS(Insolation!$L$7)))/2)</f>
        <v>50.213536610859819</v>
      </c>
      <c r="AN86" s="46">
        <f t="shared" si="163"/>
        <v>764.01283355470287</v>
      </c>
      <c r="AO86" s="46">
        <f t="shared" si="164"/>
        <v>69.696950545632191</v>
      </c>
      <c r="AP86" s="46">
        <f t="shared" si="165"/>
        <v>786.66673875485731</v>
      </c>
      <c r="AQ86" s="46">
        <f t="shared" si="166"/>
        <v>80.162205932434887</v>
      </c>
      <c r="AS86" s="236" t="s">
        <v>181</v>
      </c>
      <c r="AT86" s="212">
        <v>8.5</v>
      </c>
      <c r="AU86" s="46">
        <f t="shared" si="167"/>
        <v>28.286247398698389</v>
      </c>
      <c r="AV86" s="207">
        <f t="shared" si="135"/>
        <v>52.5</v>
      </c>
      <c r="AW86" s="46">
        <f t="shared" si="168"/>
        <v>64.192054615890072</v>
      </c>
      <c r="AX86" s="46">
        <f t="shared" si="169"/>
        <v>64.192054615890072</v>
      </c>
      <c r="AY86" s="46">
        <f t="shared" si="170"/>
        <v>115.80794538410993</v>
      </c>
      <c r="AZ86" s="46">
        <f t="shared" si="171"/>
        <v>-244.19205461589007</v>
      </c>
      <c r="BA86" s="46">
        <f t="shared" si="172"/>
        <v>2.1102528796111262</v>
      </c>
      <c r="BB86" s="46">
        <f t="shared" si="173"/>
        <v>765.04044439835695</v>
      </c>
      <c r="BC86" s="47">
        <f>COS(RADIANS(AU86))*COS(RADIANS(AW86-Insolation!$L$6))*SIN(RADIANS(0))+(SIN(RADIANS(AU86))*COS(RADIANS(0)))</f>
        <v>0.4738768560212927</v>
      </c>
      <c r="BD86" s="47">
        <f>COS(RADIANS(AU86))*COS(RADIANS(AW86-Insolation!$L$6))*SIN(RADIANS(Insolation!$L$7))+SIN(RADIANS(AU86))*COS(RADIANS(Insolation!$L$7))</f>
        <v>0.38337058053989131</v>
      </c>
      <c r="BE86" s="46">
        <f t="shared" si="174"/>
        <v>362.53496052062599</v>
      </c>
      <c r="BF86" s="46">
        <f t="shared" si="175"/>
        <v>85.205796803820661</v>
      </c>
      <c r="BG86" s="46">
        <f t="shared" si="176"/>
        <v>293.29399930549454</v>
      </c>
      <c r="BH86" s="46">
        <f>$AS$91*BB86*((1+COS(RADIANS(Insolation!$L$7)))/2)</f>
        <v>42.602898401910331</v>
      </c>
      <c r="BI86" s="46">
        <f t="shared" si="177"/>
        <v>764.46785674185139</v>
      </c>
      <c r="BJ86" s="46">
        <f t="shared" si="178"/>
        <v>61.325120393586751</v>
      </c>
      <c r="BK86" s="46">
        <f t="shared" si="179"/>
        <v>765.04044439835695</v>
      </c>
      <c r="BL86" s="46">
        <f t="shared" si="180"/>
        <v>62.79142595400215</v>
      </c>
      <c r="BN86" s="236" t="s">
        <v>181</v>
      </c>
      <c r="BO86" s="212">
        <v>8.5</v>
      </c>
      <c r="BP86" s="46">
        <f t="shared" si="181"/>
        <v>19.198993745658036</v>
      </c>
      <c r="BQ86" s="207">
        <f t="shared" si="136"/>
        <v>52.5</v>
      </c>
      <c r="BR86" s="46">
        <f t="shared" si="182"/>
        <v>55.925898866140273</v>
      </c>
      <c r="BS86" s="46">
        <f t="shared" si="183"/>
        <v>55.925898866140273</v>
      </c>
      <c r="BT86" s="46">
        <f t="shared" si="184"/>
        <v>124.07410113385973</v>
      </c>
      <c r="BU86" s="46">
        <f t="shared" si="185"/>
        <v>-235.92589886614027</v>
      </c>
      <c r="BV86" s="46">
        <f t="shared" si="186"/>
        <v>3.0408995412155266</v>
      </c>
      <c r="BW86" s="46">
        <f t="shared" si="187"/>
        <v>700.20059652547548</v>
      </c>
      <c r="BX86" s="47">
        <f>COS(RADIANS(BP86))*COS(RADIANS(BR86-Insolation!$L$6))*SIN(RADIANS(0))+(SIN(RADIANS(BP86))*COS(RADIANS(0)))</f>
        <v>0.32885006112377985</v>
      </c>
      <c r="BY86" s="47">
        <f>COS(RADIANS(BP86))*COS(RADIANS(BR86-Insolation!$L$6))*SIN(RADIANS(Insolation!$L$7))+SIN(RADIANS(BP86))*COS(RADIANS(Insolation!$L$7))</f>
        <v>0.52910392016519703</v>
      </c>
      <c r="BZ86" s="46">
        <f t="shared" si="188"/>
        <v>230.26100896630973</v>
      </c>
      <c r="CA86" s="46">
        <f t="shared" si="189"/>
        <v>63.871269125296877</v>
      </c>
      <c r="CB86" s="46">
        <f t="shared" si="190"/>
        <v>370.47888052363851</v>
      </c>
      <c r="CC86" s="46">
        <f>$BN$91*BW86*((1+COS(RADIANS(Insolation!$L$7)))/2)</f>
        <v>31.935634562648438</v>
      </c>
      <c r="CD86" s="46">
        <f t="shared" si="191"/>
        <v>690.39624175618189</v>
      </c>
      <c r="CE86" s="46">
        <f t="shared" si="192"/>
        <v>47.319957936071972</v>
      </c>
      <c r="CF86" s="46">
        <f t="shared" si="193"/>
        <v>700.20059652547548</v>
      </c>
      <c r="CG86" s="46">
        <f t="shared" si="194"/>
        <v>42.437669940602085</v>
      </c>
      <c r="CI86" s="236" t="s">
        <v>181</v>
      </c>
      <c r="CJ86" s="212">
        <v>8.5</v>
      </c>
      <c r="CK86" s="46">
        <f t="shared" si="195"/>
        <v>11.605240474651421</v>
      </c>
      <c r="CL86" s="207">
        <f t="shared" si="137"/>
        <v>52.5</v>
      </c>
      <c r="CM86" s="46">
        <f t="shared" si="196"/>
        <v>49.916117455726393</v>
      </c>
      <c r="CN86" s="46">
        <f t="shared" si="197"/>
        <v>49.916117455726393</v>
      </c>
      <c r="CO86" s="46">
        <f t="shared" si="198"/>
        <v>130.08388254427359</v>
      </c>
      <c r="CP86" s="46">
        <f t="shared" si="199"/>
        <v>-229.91611745572641</v>
      </c>
      <c r="CQ86" s="46">
        <f t="shared" si="200"/>
        <v>4.9709815047001147</v>
      </c>
      <c r="CR86" s="46">
        <f t="shared" si="201"/>
        <v>565.07196629064424</v>
      </c>
      <c r="CS86" s="47">
        <f>COS(RADIANS(CK86))*COS(RADIANS(CM86-Insolation!$L$6))*SIN(RADIANS(0))+(SIN(RADIANS(CK86))*COS(RADIANS(0)))</f>
        <v>0.20116751572189306</v>
      </c>
      <c r="CT86" s="47">
        <f>COS(RADIANS(CK86))*COS(RADIANS(CM86-Insolation!$L$6))*SIN(RADIANS(Insolation!$L$7))+SIN(RADIANS(CK86))*COS(RADIANS(Insolation!$L$7))</f>
        <v>0.63074491593651971</v>
      </c>
      <c r="CU86" s="46">
        <f t="shared" si="202"/>
        <v>113.67412366277421</v>
      </c>
      <c r="CV86" s="46">
        <f t="shared" si="203"/>
        <v>40.3961980668292</v>
      </c>
      <c r="CW86" s="46">
        <f t="shared" si="204"/>
        <v>356.41626987607629</v>
      </c>
      <c r="CX86" s="46">
        <f>$CI$91*CR86*((1+COS(RADIANS(Insolation!$L$7)))/2)</f>
        <v>20.1980990334146</v>
      </c>
      <c r="CY86" s="46">
        <f t="shared" si="205"/>
        <v>533.80964062486873</v>
      </c>
      <c r="CZ86" s="46">
        <f t="shared" si="206"/>
        <v>30.526173794220082</v>
      </c>
      <c r="DA86" s="46">
        <f t="shared" si="207"/>
        <v>565.07196629064424</v>
      </c>
      <c r="DB86" s="46">
        <f t="shared" si="208"/>
        <v>24.261300438271387</v>
      </c>
      <c r="DD86" s="236" t="s">
        <v>181</v>
      </c>
      <c r="DE86" s="212">
        <v>8.5</v>
      </c>
      <c r="DF86" s="46">
        <f t="shared" si="209"/>
        <v>8.2330196634699089</v>
      </c>
      <c r="DG86" s="207">
        <f t="shared" si="138"/>
        <v>52.5</v>
      </c>
      <c r="DH86" s="46">
        <f t="shared" si="210"/>
        <v>47.395612222690552</v>
      </c>
      <c r="DI86" s="46">
        <f t="shared" si="211"/>
        <v>47.395612222690552</v>
      </c>
      <c r="DJ86" s="46">
        <f t="shared" si="212"/>
        <v>132.60438777730946</v>
      </c>
      <c r="DK86" s="46">
        <f t="shared" si="213"/>
        <v>-227.39561222269054</v>
      </c>
      <c r="DL86" s="46">
        <f t="shared" si="214"/>
        <v>6.983273391224837</v>
      </c>
      <c r="DM86" s="46">
        <f t="shared" si="215"/>
        <v>456.52359005670581</v>
      </c>
      <c r="DN86" s="47">
        <f>COS(RADIANS(DF86))*COS(RADIANS(DH86-Insolation!$L$6))*SIN(RADIANS(0))+(SIN(RADIANS(DF86))*COS(RADIANS(0)))</f>
        <v>0.14319931985716003</v>
      </c>
      <c r="DO86" s="47">
        <f>COS(RADIANS(DF86))*COS(RADIANS(DH86-Insolation!$L$6))*SIN(RADIANS(Insolation!$L$7))+SIN(RADIANS(DF86))*COS(RADIANS(Insolation!$L$7))</f>
        <v>0.6699557856607733</v>
      </c>
      <c r="DP86" s="46">
        <f t="shared" si="216"/>
        <v>65.373867594869211</v>
      </c>
      <c r="DQ86" s="46">
        <f t="shared" si="217"/>
        <v>26.741241261272243</v>
      </c>
      <c r="DR86" s="46">
        <f t="shared" si="218"/>
        <v>305.85062044911712</v>
      </c>
      <c r="DS86" s="46">
        <f>$DD$91*DM86*((1+COS(RADIANS(Insolation!$L$7)))/2)</f>
        <v>13.370620630636122</v>
      </c>
      <c r="DT86" s="46">
        <f t="shared" si="219"/>
        <v>419.18136063714036</v>
      </c>
      <c r="DU86" s="46">
        <f t="shared" si="220"/>
        <v>20.37032353945402</v>
      </c>
      <c r="DV86" s="46">
        <f t="shared" si="221"/>
        <v>456.52359005670581</v>
      </c>
      <c r="DW86" s="46">
        <f t="shared" si="222"/>
        <v>15.285284411011325</v>
      </c>
    </row>
    <row r="87" spans="3:127" x14ac:dyDescent="0.25">
      <c r="C87" s="235">
        <f>1160+75*SIN(RADIANS((360/365)*(C81-275)))</f>
        <v>1086.6613743870757</v>
      </c>
      <c r="D87" s="212">
        <v>9</v>
      </c>
      <c r="E87" s="46">
        <f t="shared" si="139"/>
        <v>47.09255518849529</v>
      </c>
      <c r="F87" s="207">
        <f t="shared" si="133"/>
        <v>45</v>
      </c>
      <c r="G87" s="46">
        <f t="shared" si="140"/>
        <v>75.067889213553471</v>
      </c>
      <c r="H87" s="46">
        <f t="shared" si="141"/>
        <v>75.067889213553471</v>
      </c>
      <c r="I87" s="46">
        <f t="shared" si="142"/>
        <v>104.93211078644653</v>
      </c>
      <c r="J87" s="46">
        <f t="shared" si="143"/>
        <v>-255.06788921355349</v>
      </c>
      <c r="K87" s="46">
        <f t="shared" si="144"/>
        <v>1.3652726264930011</v>
      </c>
      <c r="L87" s="46">
        <f t="shared" si="145"/>
        <v>817.03586262381998</v>
      </c>
      <c r="M87" s="47">
        <f>COS(RADIANS(E87))*COS(RADIANS(G87-Insolation!$L$6))*SIN(RADIANS(0))+(SIN(RADIANS(E87))*COS(RADIANS(0)))</f>
        <v>0.73245444213491406</v>
      </c>
      <c r="N87" s="47">
        <f>COS(RADIANS(E87))*COS(RADIANS(G87-Insolation!$L$6))*SIN(RADIANS(Insolation!$L$7))+SIN(RADIANS(E87))*COS(RADIANS(Insolation!$L$7))</f>
        <v>0.17542883076981017</v>
      </c>
      <c r="O87" s="46">
        <f t="shared" si="146"/>
        <v>598.4415469623483</v>
      </c>
      <c r="P87" s="46">
        <f t="shared" si="147"/>
        <v>110.19064957072</v>
      </c>
      <c r="Q87" s="46">
        <f t="shared" si="148"/>
        <v>143.33164607709998</v>
      </c>
      <c r="R87" s="46">
        <f>$C$91*L87*((1+COS(RADIANS(Insolation!$L$7)))/2)</f>
        <v>55.095324785359999</v>
      </c>
      <c r="S87" s="46">
        <f t="shared" si="149"/>
        <v>760.09388224822601</v>
      </c>
      <c r="T87" s="46">
        <f t="shared" si="150"/>
        <v>78.879737340405867</v>
      </c>
      <c r="U87" s="46">
        <f t="shared" si="151"/>
        <v>817.03586262381998</v>
      </c>
      <c r="V87" s="46">
        <f t="shared" si="152"/>
        <v>95.450140165262766</v>
      </c>
      <c r="X87" s="235">
        <f>1160+75*SIN(RADIANS((360/365)*(X81-275)))</f>
        <v>1104.843723277701</v>
      </c>
      <c r="Y87" s="212">
        <v>9</v>
      </c>
      <c r="Z87" s="46">
        <f t="shared" si="153"/>
        <v>41.814416498354866</v>
      </c>
      <c r="AA87" s="207">
        <f t="shared" si="134"/>
        <v>45</v>
      </c>
      <c r="AB87" s="46">
        <f t="shared" si="154"/>
        <v>67.134972257690677</v>
      </c>
      <c r="AC87" s="46">
        <f t="shared" si="155"/>
        <v>67.134972257690677</v>
      </c>
      <c r="AD87" s="46">
        <f t="shared" si="156"/>
        <v>112.86502774230932</v>
      </c>
      <c r="AE87" s="46">
        <f t="shared" si="157"/>
        <v>-247.13497225769066</v>
      </c>
      <c r="AF87" s="46">
        <f t="shared" si="158"/>
        <v>1.4998799592916918</v>
      </c>
      <c r="AG87" s="46">
        <f t="shared" si="159"/>
        <v>815.34818841692413</v>
      </c>
      <c r="AH87" s="47">
        <f>COS(RADIANS(Z87))*COS(RADIANS(AB87-Insolation!$L$6))*SIN(RADIANS(0))+(SIN(RADIANS(Z87))*COS(RADIANS(0)))</f>
        <v>0.66672002236248507</v>
      </c>
      <c r="AI87" s="47">
        <f>COS(RADIANS(Z87))*COS(RADIANS(AB87-Insolation!$L$6))*SIN(RADIANS(Insolation!$L$7))+SIN(RADIANS(Z87))*COS(RADIANS(Insolation!$L$7))</f>
        <v>0.28959817510529468</v>
      </c>
      <c r="AJ87" s="46">
        <f t="shared" si="160"/>
        <v>543.60896241454338</v>
      </c>
      <c r="AK87" s="46">
        <f t="shared" si="161"/>
        <v>104.08859074040431</v>
      </c>
      <c r="AL87" s="46">
        <f t="shared" si="162"/>
        <v>236.1233474409492</v>
      </c>
      <c r="AM87" s="46">
        <f>$X$91*AG87*((1+COS(RADIANS(Insolation!$L$7)))/2)</f>
        <v>52.044295370202157</v>
      </c>
      <c r="AN87" s="46">
        <f t="shared" si="163"/>
        <v>791.868333917482</v>
      </c>
      <c r="AO87" s="46">
        <f t="shared" si="164"/>
        <v>76.502352708700926</v>
      </c>
      <c r="AP87" s="46">
        <f t="shared" si="165"/>
        <v>815.34818841692413</v>
      </c>
      <c r="AQ87" s="46">
        <f t="shared" si="166"/>
        <v>86.74326914326312</v>
      </c>
      <c r="AS87" s="235">
        <f>1160+75*SIN(RADIANS((360/365)*(AS81-275)))</f>
        <v>1138.3638175339543</v>
      </c>
      <c r="AT87" s="212">
        <v>9</v>
      </c>
      <c r="AU87" s="46">
        <f t="shared" si="167"/>
        <v>33.106759974030304</v>
      </c>
      <c r="AV87" s="207">
        <f t="shared" si="135"/>
        <v>45</v>
      </c>
      <c r="AW87" s="46">
        <f t="shared" si="168"/>
        <v>57.513636717849323</v>
      </c>
      <c r="AX87" s="46">
        <f t="shared" si="169"/>
        <v>57.513636717849323</v>
      </c>
      <c r="AY87" s="46">
        <f t="shared" si="170"/>
        <v>122.48636328215068</v>
      </c>
      <c r="AZ87" s="46">
        <f t="shared" si="171"/>
        <v>-237.51363671784932</v>
      </c>
      <c r="BA87" s="46">
        <f t="shared" si="172"/>
        <v>1.8308285344020492</v>
      </c>
      <c r="BB87" s="46">
        <f t="shared" si="173"/>
        <v>806.37748594815787</v>
      </c>
      <c r="BC87" s="47">
        <f>COS(RADIANS(AU87))*COS(RADIANS(AW87-Insolation!$L$6))*SIN(RADIANS(0))+(SIN(RADIANS(AU87))*COS(RADIANS(0)))</f>
        <v>0.54620079445429948</v>
      </c>
      <c r="BD87" s="47">
        <f>COS(RADIANS(AU87))*COS(RADIANS(AW87-Insolation!$L$6))*SIN(RADIANS(Insolation!$L$7))+SIN(RADIANS(AU87))*COS(RADIANS(Insolation!$L$7))</f>
        <v>0.44990315967249533</v>
      </c>
      <c r="BE87" s="46">
        <f t="shared" si="174"/>
        <v>440.44402345494456</v>
      </c>
      <c r="BF87" s="46">
        <f t="shared" si="175"/>
        <v>89.809678322180545</v>
      </c>
      <c r="BG87" s="46">
        <f t="shared" si="176"/>
        <v>362.79177881683944</v>
      </c>
      <c r="BH87" s="46">
        <f>$AS$91*BB87*((1+COS(RADIANS(Insolation!$L$7)))/2)</f>
        <v>44.904839161090273</v>
      </c>
      <c r="BI87" s="46">
        <f t="shared" si="177"/>
        <v>805.77395995378902</v>
      </c>
      <c r="BJ87" s="46">
        <f t="shared" si="178"/>
        <v>67.95851587366468</v>
      </c>
      <c r="BK87" s="46">
        <f t="shared" si="179"/>
        <v>806.37748594815787</v>
      </c>
      <c r="BL87" s="46">
        <f t="shared" si="180"/>
        <v>69.431897985720312</v>
      </c>
      <c r="BN87" s="235">
        <f>1160+75*SIN(RADIANS((360/365)*(BN81-275)))</f>
        <v>1176.6441134753125</v>
      </c>
      <c r="BO87" s="212">
        <v>9</v>
      </c>
      <c r="BP87" s="46">
        <f t="shared" si="181"/>
        <v>23.591602154674931</v>
      </c>
      <c r="BQ87" s="207">
        <f t="shared" si="136"/>
        <v>45</v>
      </c>
      <c r="BR87" s="46">
        <f t="shared" si="182"/>
        <v>49.534035520295305</v>
      </c>
      <c r="BS87" s="46">
        <f t="shared" si="183"/>
        <v>49.534035520295305</v>
      </c>
      <c r="BT87" s="46">
        <f t="shared" si="184"/>
        <v>130.4659644797047</v>
      </c>
      <c r="BU87" s="46">
        <f t="shared" si="185"/>
        <v>-229.5340355202953</v>
      </c>
      <c r="BV87" s="46">
        <f t="shared" si="186"/>
        <v>2.4986587391968116</v>
      </c>
      <c r="BW87" s="46">
        <f t="shared" si="187"/>
        <v>768.10204936744356</v>
      </c>
      <c r="BX87" s="47">
        <f>COS(RADIANS(BP87))*COS(RADIANS(BR87-Insolation!$L$6))*SIN(RADIANS(0))+(SIN(RADIANS(BP87))*COS(RADIANS(0)))</f>
        <v>0.40021471692506827</v>
      </c>
      <c r="BY87" s="47">
        <f>COS(RADIANS(BP87))*COS(RADIANS(BR87-Insolation!$L$6))*SIN(RADIANS(Insolation!$L$7))+SIN(RADIANS(BP87))*COS(RADIANS(Insolation!$L$7))</f>
        <v>0.59475403148716821</v>
      </c>
      <c r="BZ87" s="46">
        <f t="shared" si="188"/>
        <v>307.40574425715624</v>
      </c>
      <c r="CA87" s="46">
        <f t="shared" si="189"/>
        <v>70.065139838902027</v>
      </c>
      <c r="CB87" s="46">
        <f t="shared" si="190"/>
        <v>456.83179045484297</v>
      </c>
      <c r="CC87" s="46">
        <f>$BN$91*BW87*((1+COS(RADIANS(Insolation!$L$7)))/2)</f>
        <v>35.032569919451014</v>
      </c>
      <c r="CD87" s="46">
        <f t="shared" si="191"/>
        <v>757.34692429558731</v>
      </c>
      <c r="CE87" s="46">
        <f t="shared" si="192"/>
        <v>54.210511649420901</v>
      </c>
      <c r="CF87" s="46">
        <f t="shared" si="193"/>
        <v>768.10204936744356</v>
      </c>
      <c r="CG87" s="46">
        <f t="shared" si="194"/>
        <v>49.053119972921763</v>
      </c>
      <c r="CI87" s="235">
        <f>1160+75*SIN(RADIANS((360/365)*(CI81-275)))</f>
        <v>1211.5289575417751</v>
      </c>
      <c r="CJ87" s="212">
        <v>9</v>
      </c>
      <c r="CK87" s="46">
        <f t="shared" si="195"/>
        <v>15.636975858162822</v>
      </c>
      <c r="CL87" s="207">
        <f t="shared" si="137"/>
        <v>45</v>
      </c>
      <c r="CM87" s="46">
        <f t="shared" si="196"/>
        <v>43.920501587395911</v>
      </c>
      <c r="CN87" s="46">
        <f t="shared" si="197"/>
        <v>43.920501587395911</v>
      </c>
      <c r="CO87" s="46">
        <f t="shared" si="198"/>
        <v>136.0794984126041</v>
      </c>
      <c r="CP87" s="46">
        <f t="shared" si="199"/>
        <v>-223.9205015873959</v>
      </c>
      <c r="CQ87" s="46">
        <f t="shared" si="200"/>
        <v>3.7100060147728069</v>
      </c>
      <c r="CR87" s="46">
        <f t="shared" si="201"/>
        <v>685.68712273045003</v>
      </c>
      <c r="CS87" s="47">
        <f>COS(RADIANS(CK87))*COS(RADIANS(CM87-Insolation!$L$6))*SIN(RADIANS(0))+(SIN(RADIANS(CK87))*COS(RADIANS(0)))</f>
        <v>0.26954134198654067</v>
      </c>
      <c r="CT87" s="47">
        <f>COS(RADIANS(CK87))*COS(RADIANS(CM87-Insolation!$L$6))*SIN(RADIANS(Insolation!$L$7))+SIN(RADIANS(CK87))*COS(RADIANS(Insolation!$L$7))</f>
        <v>0.69364368922118236</v>
      </c>
      <c r="CU87" s="46">
        <f t="shared" si="202"/>
        <v>184.82102724365532</v>
      </c>
      <c r="CV87" s="46">
        <f t="shared" si="203"/>
        <v>49.018805522280054</v>
      </c>
      <c r="CW87" s="46">
        <f t="shared" si="204"/>
        <v>475.62254546220703</v>
      </c>
      <c r="CX87" s="46">
        <f>$CI$91*CR87*((1+COS(RADIANS(Insolation!$L$7)))/2)</f>
        <v>24.509402761140027</v>
      </c>
      <c r="CY87" s="46">
        <f t="shared" si="205"/>
        <v>647.75182348645569</v>
      </c>
      <c r="CZ87" s="46">
        <f t="shared" si="206"/>
        <v>38.491909364368276</v>
      </c>
      <c r="DA87" s="46">
        <f t="shared" si="207"/>
        <v>685.68712273045003</v>
      </c>
      <c r="DB87" s="46">
        <f t="shared" si="208"/>
        <v>31.115700072666343</v>
      </c>
      <c r="DD87" s="235">
        <f>1160+75*SIN(RADIANS((360/365)*(DD81-275)))</f>
        <v>1231.7176119943929</v>
      </c>
      <c r="DE87" s="212">
        <v>9</v>
      </c>
      <c r="DF87" s="46">
        <f t="shared" si="209"/>
        <v>12.102259463797306</v>
      </c>
      <c r="DG87" s="207">
        <f t="shared" si="138"/>
        <v>45</v>
      </c>
      <c r="DH87" s="46">
        <f t="shared" si="210"/>
        <v>41.607615786386027</v>
      </c>
      <c r="DI87" s="46">
        <f t="shared" si="211"/>
        <v>41.607615786386027</v>
      </c>
      <c r="DJ87" s="46">
        <f t="shared" si="212"/>
        <v>138.39238421361398</v>
      </c>
      <c r="DK87" s="46">
        <f t="shared" si="213"/>
        <v>-221.60761578638602</v>
      </c>
      <c r="DL87" s="46">
        <f t="shared" si="214"/>
        <v>4.769692495416975</v>
      </c>
      <c r="DM87" s="46">
        <f t="shared" si="215"/>
        <v>625.31408220665389</v>
      </c>
      <c r="DN87" s="47">
        <f>COS(RADIANS(DF87))*COS(RADIANS(DH87-Insolation!$L$6))*SIN(RADIANS(0))+(SIN(RADIANS(DF87))*COS(RADIANS(0)))</f>
        <v>0.20965712170351944</v>
      </c>
      <c r="DO87" s="47">
        <f>COS(RADIANS(DF87))*COS(RADIANS(DH87-Insolation!$L$6))*SIN(RADIANS(Insolation!$L$7))+SIN(RADIANS(DF87))*COS(RADIANS(Insolation!$L$7))</f>
        <v>0.73109196071044313</v>
      </c>
      <c r="DP87" s="46">
        <f t="shared" si="216"/>
        <v>131.10155063612498</v>
      </c>
      <c r="DQ87" s="46">
        <f t="shared" si="217"/>
        <v>36.628281868812344</v>
      </c>
      <c r="DR87" s="46">
        <f t="shared" si="218"/>
        <v>457.16209842031384</v>
      </c>
      <c r="DS87" s="46">
        <f>$DD$91*DM87*((1+COS(RADIANS(Insolation!$L$7)))/2)</f>
        <v>18.314140934406172</v>
      </c>
      <c r="DT87" s="46">
        <f t="shared" si="219"/>
        <v>574.16530824265033</v>
      </c>
      <c r="DU87" s="46">
        <f t="shared" si="220"/>
        <v>28.93294081800008</v>
      </c>
      <c r="DV87" s="46">
        <f t="shared" si="221"/>
        <v>625.31408220665389</v>
      </c>
      <c r="DW87" s="46">
        <f t="shared" si="222"/>
        <v>22.15383100918638</v>
      </c>
    </row>
    <row r="88" spans="3:127" x14ac:dyDescent="0.25">
      <c r="C88" s="236" t="s">
        <v>184</v>
      </c>
      <c r="D88" s="212">
        <v>9.5</v>
      </c>
      <c r="E88" s="46">
        <f t="shared" si="139"/>
        <v>52.326344709703122</v>
      </c>
      <c r="F88" s="207">
        <f t="shared" si="133"/>
        <v>37.5</v>
      </c>
      <c r="G88" s="46">
        <f t="shared" si="140"/>
        <v>67.918601626992981</v>
      </c>
      <c r="H88" s="46">
        <f t="shared" si="141"/>
        <v>67.918601626992981</v>
      </c>
      <c r="I88" s="46">
        <f t="shared" si="142"/>
        <v>112.08139837300702</v>
      </c>
      <c r="J88" s="46">
        <f t="shared" si="143"/>
        <v>-247.918601626993</v>
      </c>
      <c r="K88" s="46">
        <f t="shared" si="144"/>
        <v>1.26341648716082</v>
      </c>
      <c r="L88" s="46">
        <f t="shared" si="145"/>
        <v>834.60537773078852</v>
      </c>
      <c r="M88" s="47">
        <f>COS(RADIANS(E88))*COS(RADIANS(G88-Insolation!$L$6))*SIN(RADIANS(0))+(SIN(RADIANS(E88))*COS(RADIANS(0)))</f>
        <v>0.79150463062835608</v>
      </c>
      <c r="N88" s="47">
        <f>COS(RADIANS(E88))*COS(RADIANS(G88-Insolation!$L$6))*SIN(RADIANS(Insolation!$L$7))+SIN(RADIANS(E88))*COS(RADIANS(Insolation!$L$7))</f>
        <v>0.22975055914712098</v>
      </c>
      <c r="O88" s="46">
        <f t="shared" si="146"/>
        <v>660.59402122124732</v>
      </c>
      <c r="P88" s="46">
        <f t="shared" si="147"/>
        <v>112.56018605111659</v>
      </c>
      <c r="Q88" s="46">
        <f t="shared" si="148"/>
        <v>191.75105220084276</v>
      </c>
      <c r="R88" s="46">
        <f>$C$91*L88*((1+COS(RADIANS(Insolation!$L$7)))/2)</f>
        <v>56.280093025558294</v>
      </c>
      <c r="S88" s="46">
        <f t="shared" si="149"/>
        <v>776.4389186876158</v>
      </c>
      <c r="T88" s="46">
        <f t="shared" si="150"/>
        <v>85.105513657201215</v>
      </c>
      <c r="U88" s="46">
        <f t="shared" si="151"/>
        <v>834.60537773078852</v>
      </c>
      <c r="V88" s="46">
        <f t="shared" si="152"/>
        <v>100.82604726748232</v>
      </c>
      <c r="X88" s="236" t="s">
        <v>184</v>
      </c>
      <c r="Y88" s="212">
        <v>9.5</v>
      </c>
      <c r="Z88" s="46">
        <f t="shared" si="153"/>
        <v>46.749587882298727</v>
      </c>
      <c r="AA88" s="207">
        <f t="shared" si="134"/>
        <v>37.5</v>
      </c>
      <c r="AB88" s="46">
        <f t="shared" si="154"/>
        <v>59.640759510809531</v>
      </c>
      <c r="AC88" s="46">
        <f t="shared" si="155"/>
        <v>59.640759510809531</v>
      </c>
      <c r="AD88" s="46">
        <f t="shared" si="156"/>
        <v>120.35924048919047</v>
      </c>
      <c r="AE88" s="46">
        <f t="shared" si="157"/>
        <v>-239.64075951080952</v>
      </c>
      <c r="AF88" s="46">
        <f t="shared" si="158"/>
        <v>1.3729360555842307</v>
      </c>
      <c r="AG88" s="46">
        <f t="shared" si="159"/>
        <v>836.58773199248344</v>
      </c>
      <c r="AH88" s="47">
        <f>COS(RADIANS(Z88))*COS(RADIANS(AB88-Insolation!$L$6))*SIN(RADIANS(0))+(SIN(RADIANS(Z88))*COS(RADIANS(0)))</f>
        <v>0.72836604147195061</v>
      </c>
      <c r="AI88" s="47">
        <f>COS(RADIANS(Z88))*COS(RADIANS(AB88-Insolation!$L$6))*SIN(RADIANS(Insolation!$L$7))+SIN(RADIANS(Z88))*COS(RADIANS(Insolation!$L$7))</f>
        <v>0.34630787224671511</v>
      </c>
      <c r="AJ88" s="46">
        <f t="shared" si="160"/>
        <v>609.34209469536233</v>
      </c>
      <c r="AK88" s="46">
        <f t="shared" si="161"/>
        <v>106.80006320107397</v>
      </c>
      <c r="AL88" s="46">
        <f t="shared" si="162"/>
        <v>289.71691741402208</v>
      </c>
      <c r="AM88" s="46">
        <f>$X$91*AG88*((1+COS(RADIANS(Insolation!$L$7)))/2)</f>
        <v>53.400031600536984</v>
      </c>
      <c r="AN88" s="46">
        <f t="shared" si="163"/>
        <v>812.49623525249501</v>
      </c>
      <c r="AO88" s="46">
        <f t="shared" si="164"/>
        <v>82.457210732081037</v>
      </c>
      <c r="AP88" s="46">
        <f t="shared" si="165"/>
        <v>836.58773199248344</v>
      </c>
      <c r="AQ88" s="46">
        <f t="shared" si="166"/>
        <v>92.294801231897182</v>
      </c>
      <c r="AS88" s="236" t="s">
        <v>184</v>
      </c>
      <c r="AT88" s="212">
        <v>9.5</v>
      </c>
      <c r="AU88" s="46">
        <f t="shared" si="167"/>
        <v>37.562550977506156</v>
      </c>
      <c r="AV88" s="207">
        <f t="shared" si="135"/>
        <v>37.5</v>
      </c>
      <c r="AW88" s="46">
        <f t="shared" si="168"/>
        <v>50.120624237501303</v>
      </c>
      <c r="AX88" s="46">
        <f t="shared" si="169"/>
        <v>50.120624237501303</v>
      </c>
      <c r="AY88" s="46">
        <f t="shared" si="170"/>
        <v>129.87937576249868</v>
      </c>
      <c r="AZ88" s="46">
        <f t="shared" si="171"/>
        <v>-230.12062423750132</v>
      </c>
      <c r="BA88" s="46">
        <f t="shared" si="172"/>
        <v>1.6403467933917355</v>
      </c>
      <c r="BB88" s="46">
        <f t="shared" si="173"/>
        <v>835.82972984172136</v>
      </c>
      <c r="BC88" s="47">
        <f>COS(RADIANS(AU88))*COS(RADIANS(AW88-Insolation!$L$6))*SIN(RADIANS(0))+(SIN(RADIANS(AU88))*COS(RADIANS(0)))</f>
        <v>0.60962718617098388</v>
      </c>
      <c r="BD88" s="47">
        <f>COS(RADIANS(AU88))*COS(RADIANS(AW88-Insolation!$L$6))*SIN(RADIANS(Insolation!$L$7))+SIN(RADIANS(AU88))*COS(RADIANS(Insolation!$L$7))</f>
        <v>0.50825066559399223</v>
      </c>
      <c r="BE88" s="46">
        <f t="shared" si="174"/>
        <v>509.54452632146223</v>
      </c>
      <c r="BF88" s="46">
        <f t="shared" si="175"/>
        <v>93.089899553601924</v>
      </c>
      <c r="BG88" s="46">
        <f t="shared" si="176"/>
        <v>424.81101651530162</v>
      </c>
      <c r="BH88" s="46">
        <f>$AS$91*BB88*((1+COS(RADIANS(Insolation!$L$7)))/2)</f>
        <v>46.544949776800962</v>
      </c>
      <c r="BI88" s="46">
        <f t="shared" si="177"/>
        <v>835.20416057966213</v>
      </c>
      <c r="BJ88" s="46">
        <f t="shared" si="178"/>
        <v>73.471570682399332</v>
      </c>
      <c r="BK88" s="46">
        <f t="shared" si="179"/>
        <v>835.82972984172136</v>
      </c>
      <c r="BL88" s="46">
        <f t="shared" si="180"/>
        <v>74.920016539701891</v>
      </c>
      <c r="BN88" s="236" t="s">
        <v>184</v>
      </c>
      <c r="BO88" s="212">
        <v>9.5</v>
      </c>
      <c r="BP88" s="46">
        <f t="shared" si="181"/>
        <v>27.56792417854205</v>
      </c>
      <c r="BQ88" s="207">
        <f t="shared" si="136"/>
        <v>37.5</v>
      </c>
      <c r="BR88" s="46">
        <f t="shared" si="182"/>
        <v>42.618622396296885</v>
      </c>
      <c r="BS88" s="46">
        <f t="shared" si="183"/>
        <v>42.618622396296885</v>
      </c>
      <c r="BT88" s="46">
        <f t="shared" si="184"/>
        <v>137.38137760370313</v>
      </c>
      <c r="BU88" s="46">
        <f t="shared" si="185"/>
        <v>-222.61862239629687</v>
      </c>
      <c r="BV88" s="46">
        <f t="shared" si="186"/>
        <v>2.1607613331037356</v>
      </c>
      <c r="BW88" s="46">
        <f t="shared" si="187"/>
        <v>813.70567294854743</v>
      </c>
      <c r="BX88" s="47">
        <f>COS(RADIANS(BP88))*COS(RADIANS(BR88-Insolation!$L$6))*SIN(RADIANS(0))+(SIN(RADIANS(BP88))*COS(RADIANS(0)))</f>
        <v>0.46279984035237781</v>
      </c>
      <c r="BY88" s="47">
        <f>COS(RADIANS(BP88))*COS(RADIANS(BR88-Insolation!$L$6))*SIN(RADIANS(Insolation!$L$7))+SIN(RADIANS(BP88))*COS(RADIANS(Insolation!$L$7))</f>
        <v>0.6523276339093913</v>
      </c>
      <c r="BZ88" s="46">
        <f t="shared" si="188"/>
        <v>376.58285553441192</v>
      </c>
      <c r="CA88" s="46">
        <f t="shared" si="189"/>
        <v>74.225035344977115</v>
      </c>
      <c r="CB88" s="46">
        <f t="shared" si="190"/>
        <v>530.80269633317494</v>
      </c>
      <c r="CC88" s="46">
        <f>$BN$91*BW88*((1+COS(RADIANS(Insolation!$L$7)))/2)</f>
        <v>37.112517672488558</v>
      </c>
      <c r="CD88" s="46">
        <f t="shared" si="191"/>
        <v>802.31199642933007</v>
      </c>
      <c r="CE88" s="46">
        <f t="shared" si="192"/>
        <v>59.533849142321003</v>
      </c>
      <c r="CF88" s="46">
        <f t="shared" si="193"/>
        <v>813.70567294854743</v>
      </c>
      <c r="CG88" s="46">
        <f t="shared" si="194"/>
        <v>54.288184926391061</v>
      </c>
      <c r="CI88" s="236" t="s">
        <v>184</v>
      </c>
      <c r="CJ88" s="212">
        <v>9.5</v>
      </c>
      <c r="CK88" s="46">
        <f t="shared" si="195"/>
        <v>19.238647493842635</v>
      </c>
      <c r="CL88" s="207">
        <f t="shared" si="137"/>
        <v>37.5</v>
      </c>
      <c r="CM88" s="46">
        <f t="shared" si="196"/>
        <v>37.524272289966781</v>
      </c>
      <c r="CN88" s="46">
        <f t="shared" si="197"/>
        <v>37.524272289966781</v>
      </c>
      <c r="CO88" s="46">
        <f t="shared" si="198"/>
        <v>142.47572771003323</v>
      </c>
      <c r="CP88" s="46">
        <f t="shared" si="199"/>
        <v>-217.52427228996677</v>
      </c>
      <c r="CQ88" s="46">
        <f t="shared" si="200"/>
        <v>3.0348684076297761</v>
      </c>
      <c r="CR88" s="46">
        <f t="shared" si="201"/>
        <v>760.52282204145399</v>
      </c>
      <c r="CS88" s="47">
        <f>COS(RADIANS(CK88))*COS(RADIANS(CM88-Insolation!$L$6))*SIN(RADIANS(0))+(SIN(RADIANS(CK88))*COS(RADIANS(0)))</f>
        <v>0.32950357830539256</v>
      </c>
      <c r="CT88" s="47">
        <f>COS(RADIANS(CK88))*COS(RADIANS(CM88-Insolation!$L$6))*SIN(RADIANS(Insolation!$L$7))+SIN(RADIANS(CK88))*COS(RADIANS(Insolation!$L$7))</f>
        <v>0.74880443294294896</v>
      </c>
      <c r="CU88" s="46">
        <f t="shared" si="202"/>
        <v>250.59499124557436</v>
      </c>
      <c r="CV88" s="46">
        <f t="shared" si="203"/>
        <v>54.368704140825344</v>
      </c>
      <c r="CW88" s="46">
        <f t="shared" si="204"/>
        <v>569.48286049892226</v>
      </c>
      <c r="CX88" s="46">
        <f>$CI$91*CR88*((1+COS(RADIANS(Insolation!$L$7)))/2)</f>
        <v>27.184352070412672</v>
      </c>
      <c r="CY88" s="46">
        <f t="shared" si="205"/>
        <v>718.44727493019354</v>
      </c>
      <c r="CZ88" s="46">
        <f t="shared" si="206"/>
        <v>44.064818774276375</v>
      </c>
      <c r="DA88" s="46">
        <f t="shared" si="207"/>
        <v>760.52282204145399</v>
      </c>
      <c r="DB88" s="46">
        <f t="shared" si="208"/>
        <v>36.141693351527252</v>
      </c>
      <c r="DD88" s="236" t="s">
        <v>184</v>
      </c>
      <c r="DE88" s="212">
        <v>9.5</v>
      </c>
      <c r="DF88" s="46">
        <f t="shared" si="209"/>
        <v>15.541665031954876</v>
      </c>
      <c r="DG88" s="207">
        <f t="shared" si="138"/>
        <v>37.5</v>
      </c>
      <c r="DH88" s="46">
        <f t="shared" si="210"/>
        <v>35.463232442797697</v>
      </c>
      <c r="DI88" s="46">
        <f t="shared" si="211"/>
        <v>35.463232442797697</v>
      </c>
      <c r="DJ88" s="46">
        <f t="shared" si="212"/>
        <v>144.5367675572023</v>
      </c>
      <c r="DK88" s="46">
        <f t="shared" si="213"/>
        <v>-215.4632324427977</v>
      </c>
      <c r="DL88" s="46">
        <f t="shared" si="214"/>
        <v>3.7321920828671571</v>
      </c>
      <c r="DM88" s="46">
        <f t="shared" si="215"/>
        <v>724.66739425573553</v>
      </c>
      <c r="DN88" s="47">
        <f>COS(RADIANS(DF88))*COS(RADIANS(DH88-Insolation!$L$6))*SIN(RADIANS(0))+(SIN(RADIANS(DF88))*COS(RADIANS(0)))</f>
        <v>0.2679390497050132</v>
      </c>
      <c r="DO88" s="47">
        <f>COS(RADIANS(DF88))*COS(RADIANS(DH88-Insolation!$L$6))*SIN(RADIANS(Insolation!$L$7))+SIN(RADIANS(DF88))*COS(RADIANS(Insolation!$L$7))</f>
        <v>0.78470694726640833</v>
      </c>
      <c r="DP88" s="46">
        <f t="shared" si="216"/>
        <v>194.16669296908992</v>
      </c>
      <c r="DQ88" s="46">
        <f t="shared" si="217"/>
        <v>42.44798307479153</v>
      </c>
      <c r="DR88" s="46">
        <f t="shared" si="218"/>
        <v>568.65153872992096</v>
      </c>
      <c r="DS88" s="46">
        <f>$DD$91*DM88*((1+COS(RADIANS(Insolation!$L$7)))/2)</f>
        <v>21.223991537395765</v>
      </c>
      <c r="DT88" s="46">
        <f t="shared" si="219"/>
        <v>665.39182410214255</v>
      </c>
      <c r="DU88" s="46">
        <f t="shared" si="220"/>
        <v>34.545209280052042</v>
      </c>
      <c r="DV88" s="46">
        <f t="shared" si="221"/>
        <v>724.66739425573553</v>
      </c>
      <c r="DW88" s="46">
        <f t="shared" si="222"/>
        <v>26.910727660872826</v>
      </c>
    </row>
    <row r="89" spans="3:127" x14ac:dyDescent="0.25">
      <c r="C89" s="47">
        <f>0.174+0.035*SIN(RADIANS(360/365*(C81-100)))</f>
        <v>0.20888306156139594</v>
      </c>
      <c r="D89" s="212">
        <v>10</v>
      </c>
      <c r="E89" s="46">
        <f t="shared" si="139"/>
        <v>57.273498229907844</v>
      </c>
      <c r="F89" s="207">
        <f t="shared" si="133"/>
        <v>30</v>
      </c>
      <c r="G89" s="46">
        <f t="shared" si="140"/>
        <v>59.36062965005106</v>
      </c>
      <c r="H89" s="46">
        <f t="shared" si="141"/>
        <v>59.36062965005106</v>
      </c>
      <c r="I89" s="46">
        <f t="shared" si="142"/>
        <v>120.63937034994893</v>
      </c>
      <c r="J89" s="46">
        <f t="shared" si="143"/>
        <v>-239.36062965005107</v>
      </c>
      <c r="K89" s="46">
        <f t="shared" si="144"/>
        <v>1.1886920097917681</v>
      </c>
      <c r="L89" s="46">
        <f t="shared" si="145"/>
        <v>847.73466283243044</v>
      </c>
      <c r="M89" s="47">
        <f>COS(RADIANS(E89))*COS(RADIANS(G89-Insolation!$L$6))*SIN(RADIANS(0))+(SIN(RADIANS(E89))*COS(RADIANS(0)))</f>
        <v>0.84126080747794152</v>
      </c>
      <c r="N89" s="47">
        <f>COS(RADIANS(E89))*COS(RADIANS(G89-Insolation!$L$6))*SIN(RADIANS(Insolation!$L$7))+SIN(RADIANS(E89))*COS(RADIANS(Insolation!$L$7))</f>
        <v>0.27552249642411641</v>
      </c>
      <c r="O89" s="46">
        <f t="shared" si="146"/>
        <v>713.16594698145093</v>
      </c>
      <c r="P89" s="46">
        <f t="shared" si="147"/>
        <v>114.33088489058137</v>
      </c>
      <c r="Q89" s="46">
        <f t="shared" si="148"/>
        <v>233.56997060884785</v>
      </c>
      <c r="R89" s="46">
        <f>$C$91*L89*((1+COS(RADIANS(Insolation!$L$7)))/2)</f>
        <v>57.165442445290687</v>
      </c>
      <c r="S89" s="46">
        <f t="shared" si="149"/>
        <v>788.65317970181752</v>
      </c>
      <c r="T89" s="46">
        <f t="shared" si="150"/>
        <v>90.569322590511092</v>
      </c>
      <c r="U89" s="46">
        <f t="shared" si="151"/>
        <v>847.73466283243044</v>
      </c>
      <c r="V89" s="46">
        <f t="shared" si="152"/>
        <v>105.25648871664973</v>
      </c>
      <c r="X89" s="47">
        <f>0.174+0.035*SIN(RADIANS(360/365*(X81-100)))</f>
        <v>0.20257883180060704</v>
      </c>
      <c r="Y89" s="212">
        <v>10</v>
      </c>
      <c r="Z89" s="46">
        <f t="shared" si="153"/>
        <v>51.288920447261894</v>
      </c>
      <c r="AA89" s="207">
        <f t="shared" si="134"/>
        <v>30</v>
      </c>
      <c r="AB89" s="46">
        <f t="shared" si="154"/>
        <v>50.938788650858463</v>
      </c>
      <c r="AC89" s="46">
        <f t="shared" si="155"/>
        <v>50.938788650858463</v>
      </c>
      <c r="AD89" s="46">
        <f t="shared" si="156"/>
        <v>129.06121134914153</v>
      </c>
      <c r="AE89" s="46">
        <f t="shared" si="157"/>
        <v>-230.93878865085847</v>
      </c>
      <c r="AF89" s="46">
        <f t="shared" si="158"/>
        <v>1.2815427943732229</v>
      </c>
      <c r="AG89" s="46">
        <f t="shared" si="159"/>
        <v>852.22087387173792</v>
      </c>
      <c r="AH89" s="47">
        <f>COS(RADIANS(Z89))*COS(RADIANS(AB89-Insolation!$L$6))*SIN(RADIANS(0))+(SIN(RADIANS(Z89))*COS(RADIANS(0)))</f>
        <v>0.78030948665204747</v>
      </c>
      <c r="AI89" s="47">
        <f>COS(RADIANS(Z89))*COS(RADIANS(AB89-Insolation!$L$6))*SIN(RADIANS(Insolation!$L$7))+SIN(RADIANS(Z89))*COS(RADIANS(Insolation!$L$7))</f>
        <v>0.39409193173990892</v>
      </c>
      <c r="AJ89" s="46">
        <f t="shared" si="160"/>
        <v>664.9960326050151</v>
      </c>
      <c r="AK89" s="46">
        <f t="shared" si="161"/>
        <v>108.7958138879257</v>
      </c>
      <c r="AL89" s="46">
        <f t="shared" si="162"/>
        <v>335.85337045318647</v>
      </c>
      <c r="AM89" s="46">
        <f>$X$91*AG89*((1+COS(RADIANS(Insolation!$L$7)))/2)</f>
        <v>54.397906943962852</v>
      </c>
      <c r="AN89" s="46">
        <f t="shared" si="163"/>
        <v>827.67918431608052</v>
      </c>
      <c r="AO89" s="46">
        <f t="shared" si="164"/>
        <v>87.517288864105424</v>
      </c>
      <c r="AP89" s="46">
        <f t="shared" si="165"/>
        <v>852.22087387173792</v>
      </c>
      <c r="AQ89" s="46">
        <f t="shared" si="166"/>
        <v>96.845109786352353</v>
      </c>
      <c r="AS89" s="47">
        <f>0.174+0.035*SIN(RADIANS(360/365*(AS81-100)))</f>
        <v>0.18832745855854674</v>
      </c>
      <c r="AT89" s="212">
        <v>10</v>
      </c>
      <c r="AU89" s="46">
        <f t="shared" si="167"/>
        <v>41.534491183600302</v>
      </c>
      <c r="AV89" s="207">
        <f t="shared" si="135"/>
        <v>30</v>
      </c>
      <c r="AW89" s="46">
        <f t="shared" si="168"/>
        <v>41.870723981805767</v>
      </c>
      <c r="AX89" s="46">
        <f t="shared" si="169"/>
        <v>41.870723981805767</v>
      </c>
      <c r="AY89" s="46">
        <f t="shared" si="170"/>
        <v>138.12927601819422</v>
      </c>
      <c r="AZ89" s="46">
        <f t="shared" si="171"/>
        <v>-221.87072398180578</v>
      </c>
      <c r="BA89" s="46">
        <f t="shared" si="172"/>
        <v>1.5081346035166803</v>
      </c>
      <c r="BB89" s="46">
        <f t="shared" si="173"/>
        <v>856.90246782163547</v>
      </c>
      <c r="BC89" s="47">
        <f>COS(RADIANS(AU89))*COS(RADIANS(AW89-Insolation!$L$6))*SIN(RADIANS(0))+(SIN(RADIANS(AU89))*COS(RADIANS(0)))</f>
        <v>0.66307078802395492</v>
      </c>
      <c r="BD89" s="47">
        <f>COS(RADIANS(AU89))*COS(RADIANS(AW89-Insolation!$L$6))*SIN(RADIANS(Insolation!$L$7))+SIN(RADIANS(AU89))*COS(RADIANS(Insolation!$L$7))</f>
        <v>0.55741475630108051</v>
      </c>
      <c r="BE89" s="46">
        <f t="shared" si="174"/>
        <v>568.18699459816355</v>
      </c>
      <c r="BF89" s="46">
        <f t="shared" si="175"/>
        <v>95.436859696119285</v>
      </c>
      <c r="BG89" s="46">
        <f t="shared" si="176"/>
        <v>477.6500802745914</v>
      </c>
      <c r="BH89" s="46">
        <f>$AS$91*BB89*((1+COS(RADIANS(Insolation!$L$7)))/2)</f>
        <v>47.718429848059642</v>
      </c>
      <c r="BI89" s="46">
        <f t="shared" si="177"/>
        <v>856.26112685790429</v>
      </c>
      <c r="BJ89" s="46">
        <f t="shared" si="178"/>
        <v>77.953714982811093</v>
      </c>
      <c r="BK89" s="46">
        <f t="shared" si="179"/>
        <v>856.90246782163547</v>
      </c>
      <c r="BL89" s="46">
        <f t="shared" si="180"/>
        <v>79.359126730678369</v>
      </c>
      <c r="BN89" s="47">
        <f>0.174+0.035*SIN(RADIANS(360/365*(BN81-100)))</f>
        <v>0.17069121375639804</v>
      </c>
      <c r="BO89" s="212">
        <v>10</v>
      </c>
      <c r="BP89" s="46">
        <f t="shared" si="181"/>
        <v>31.033193926675867</v>
      </c>
      <c r="BQ89" s="207">
        <f t="shared" si="136"/>
        <v>30</v>
      </c>
      <c r="BR89" s="46">
        <f t="shared" si="182"/>
        <v>35.124101399740788</v>
      </c>
      <c r="BS89" s="46">
        <f t="shared" si="183"/>
        <v>35.124101399740788</v>
      </c>
      <c r="BT89" s="46">
        <f t="shared" si="184"/>
        <v>144.87589860025921</v>
      </c>
      <c r="BU89" s="46">
        <f t="shared" si="185"/>
        <v>-215.12410139974079</v>
      </c>
      <c r="BV89" s="46">
        <f t="shared" si="186"/>
        <v>1.9397340814116164</v>
      </c>
      <c r="BW89" s="46">
        <f t="shared" si="187"/>
        <v>844.99112921917333</v>
      </c>
      <c r="BX89" s="47">
        <f>COS(RADIANS(BP89))*COS(RADIANS(BR89-Insolation!$L$6))*SIN(RADIANS(0))+(SIN(RADIANS(BP89))*COS(RADIANS(0)))</f>
        <v>0.5155345825919927</v>
      </c>
      <c r="BY89" s="47">
        <f>COS(RADIANS(BP89))*COS(RADIANS(BR89-Insolation!$L$6))*SIN(RADIANS(Insolation!$L$7))+SIN(RADIANS(BP89))*COS(RADIANS(Insolation!$L$7))</f>
        <v>0.70083962713200354</v>
      </c>
      <c r="BZ89" s="46">
        <f t="shared" si="188"/>
        <v>435.62214909594309</v>
      </c>
      <c r="CA89" s="46">
        <f t="shared" si="189"/>
        <v>77.078848676591647</v>
      </c>
      <c r="CB89" s="46">
        <f t="shared" si="190"/>
        <v>592.20326793181607</v>
      </c>
      <c r="CC89" s="46">
        <f>$BN$91*BW89*((1+COS(RADIANS(Insolation!$L$7)))/2)</f>
        <v>38.539424338295824</v>
      </c>
      <c r="CD89" s="46">
        <f t="shared" si="191"/>
        <v>833.15938721712359</v>
      </c>
      <c r="CE89" s="46">
        <f t="shared" si="192"/>
        <v>63.636528819267802</v>
      </c>
      <c r="CF89" s="46">
        <f t="shared" si="193"/>
        <v>844.99112921917333</v>
      </c>
      <c r="CG89" s="46">
        <f t="shared" si="194"/>
        <v>58.407830377874838</v>
      </c>
      <c r="CI89" s="47">
        <f>0.174+0.035*SIN(RADIANS(360/365*(CI81-100)))</f>
        <v>0.15342751616976344</v>
      </c>
      <c r="CJ89" s="212">
        <v>10</v>
      </c>
      <c r="CK89" s="46">
        <f t="shared" si="195"/>
        <v>22.335432797988489</v>
      </c>
      <c r="CL89" s="207">
        <f t="shared" si="137"/>
        <v>30</v>
      </c>
      <c r="CM89" s="46">
        <f t="shared" si="196"/>
        <v>30.707087117272032</v>
      </c>
      <c r="CN89" s="46">
        <f t="shared" si="197"/>
        <v>30.707087117272032</v>
      </c>
      <c r="CO89" s="46">
        <f t="shared" si="198"/>
        <v>149.29291288272796</v>
      </c>
      <c r="CP89" s="46">
        <f t="shared" si="199"/>
        <v>-210.70708711727204</v>
      </c>
      <c r="CQ89" s="46">
        <f t="shared" si="200"/>
        <v>2.6313832957774985</v>
      </c>
      <c r="CR89" s="46">
        <f t="shared" si="201"/>
        <v>809.0913590339095</v>
      </c>
      <c r="CS89" s="47">
        <f>COS(RADIANS(CK89))*COS(RADIANS(CM89-Insolation!$L$6))*SIN(RADIANS(0))+(SIN(RADIANS(CK89))*COS(RADIANS(0)))</f>
        <v>0.38002825419036057</v>
      </c>
      <c r="CT89" s="47">
        <f>COS(RADIANS(CK89))*COS(RADIANS(CM89-Insolation!$L$6))*SIN(RADIANS(Insolation!$L$7))+SIN(RADIANS(CK89))*COS(RADIANS(Insolation!$L$7))</f>
        <v>0.79528333148329311</v>
      </c>
      <c r="CU89" s="46">
        <f t="shared" si="202"/>
        <v>307.47757665416287</v>
      </c>
      <c r="CV89" s="46">
        <f t="shared" si="203"/>
        <v>57.840800364325148</v>
      </c>
      <c r="CW89" s="46">
        <f t="shared" si="204"/>
        <v>643.45687148683271</v>
      </c>
      <c r="CX89" s="46">
        <f>$CI$91*CR89*((1+COS(RADIANS(Insolation!$L$7)))/2)</f>
        <v>28.920400182162574</v>
      </c>
      <c r="CY89" s="46">
        <f t="shared" si="205"/>
        <v>764.32878175455289</v>
      </c>
      <c r="CZ89" s="46">
        <f t="shared" si="206"/>
        <v>48.077304195183395</v>
      </c>
      <c r="DA89" s="46">
        <f t="shared" si="207"/>
        <v>809.0913590339095</v>
      </c>
      <c r="DB89" s="46">
        <f t="shared" si="208"/>
        <v>39.910969373876405</v>
      </c>
      <c r="DD89" s="47">
        <f>0.174+0.035*SIN(RADIANS(360/365*(DD81-100)))</f>
        <v>0.14212883794670242</v>
      </c>
      <c r="DE89" s="212">
        <v>10</v>
      </c>
      <c r="DF89" s="46">
        <f t="shared" si="209"/>
        <v>18.484487032750355</v>
      </c>
      <c r="DG89" s="207">
        <f t="shared" si="138"/>
        <v>30</v>
      </c>
      <c r="DH89" s="46">
        <f t="shared" si="210"/>
        <v>28.95189978304462</v>
      </c>
      <c r="DI89" s="46">
        <f t="shared" si="211"/>
        <v>28.95189978304462</v>
      </c>
      <c r="DJ89" s="46">
        <f t="shared" si="212"/>
        <v>151.04810021695539</v>
      </c>
      <c r="DK89" s="46">
        <f t="shared" si="213"/>
        <v>-208.95189978304461</v>
      </c>
      <c r="DL89" s="46">
        <f t="shared" si="214"/>
        <v>3.1540976954413042</v>
      </c>
      <c r="DM89" s="46">
        <f t="shared" si="215"/>
        <v>786.72335370797919</v>
      </c>
      <c r="DN89" s="47">
        <f>COS(RADIANS(DF89))*COS(RADIANS(DH89-Insolation!$L$6))*SIN(RADIANS(0))+(SIN(RADIANS(DF89))*COS(RADIANS(0)))</f>
        <v>0.31704788391473254</v>
      </c>
      <c r="DO89" s="47">
        <f>COS(RADIANS(DF89))*COS(RADIANS(DH89-Insolation!$L$6))*SIN(RADIANS(Insolation!$L$7))+SIN(RADIANS(DF89))*COS(RADIANS(Insolation!$L$7))</f>
        <v>0.82988337804381429</v>
      </c>
      <c r="DP89" s="46">
        <f t="shared" si="216"/>
        <v>249.42897451941644</v>
      </c>
      <c r="DQ89" s="46">
        <f t="shared" si="217"/>
        <v>46.082961462668599</v>
      </c>
      <c r="DR89" s="46">
        <f t="shared" si="218"/>
        <v>652.88863436113627</v>
      </c>
      <c r="DS89" s="46">
        <f>$DD$91*DM89*((1+COS(RADIANS(Insolation!$L$7)))/2)</f>
        <v>23.0414807313343</v>
      </c>
      <c r="DT89" s="46">
        <f t="shared" si="219"/>
        <v>722.37179640894851</v>
      </c>
      <c r="DU89" s="46">
        <f t="shared" si="220"/>
        <v>38.405282786088243</v>
      </c>
      <c r="DV89" s="46">
        <f t="shared" si="221"/>
        <v>786.72335370797919</v>
      </c>
      <c r="DW89" s="46">
        <f t="shared" si="222"/>
        <v>30.346733439465925</v>
      </c>
    </row>
    <row r="90" spans="3:127" x14ac:dyDescent="0.25">
      <c r="C90" s="236" t="s">
        <v>182</v>
      </c>
      <c r="D90" s="212">
        <v>10.5</v>
      </c>
      <c r="E90" s="46">
        <f t="shared" si="139"/>
        <v>61.747687106175135</v>
      </c>
      <c r="F90" s="207">
        <f t="shared" si="133"/>
        <v>22.5</v>
      </c>
      <c r="G90" s="46">
        <f t="shared" si="140"/>
        <v>48.773068874990621</v>
      </c>
      <c r="H90" s="46">
        <f t="shared" si="141"/>
        <v>48.773068874990621</v>
      </c>
      <c r="I90" s="46">
        <f t="shared" si="142"/>
        <v>131.22693112500937</v>
      </c>
      <c r="J90" s="46">
        <f t="shared" si="143"/>
        <v>-228.77306887499063</v>
      </c>
      <c r="K90" s="46">
        <f t="shared" si="144"/>
        <v>1.1352391939359026</v>
      </c>
      <c r="L90" s="46">
        <f t="shared" si="145"/>
        <v>857.25298812838162</v>
      </c>
      <c r="M90" s="47">
        <f>COS(RADIANS(E90))*COS(RADIANS(G90-Insolation!$L$6))*SIN(RADIANS(0))+(SIN(RADIANS(E90))*COS(RADIANS(0)))</f>
        <v>0.88087163070275531</v>
      </c>
      <c r="N90" s="47">
        <f>COS(RADIANS(E90))*COS(RADIANS(G90-Insolation!$L$6))*SIN(RADIANS(Insolation!$L$7))+SIN(RADIANS(E90))*COS(RADIANS(Insolation!$L$7))</f>
        <v>0.31196147206360947</v>
      </c>
      <c r="O90" s="46">
        <f t="shared" si="146"/>
        <v>755.12983757745724</v>
      </c>
      <c r="P90" s="46">
        <f t="shared" si="147"/>
        <v>115.6145867391368</v>
      </c>
      <c r="Q90" s="46">
        <f t="shared" si="148"/>
        <v>267.42990410745784</v>
      </c>
      <c r="R90" s="46">
        <f>$C$91*L90*((1+COS(RADIANS(Insolation!$L$7)))/2)</f>
        <v>57.807293369568399</v>
      </c>
      <c r="S90" s="46">
        <f t="shared" si="149"/>
        <v>797.5081408579498</v>
      </c>
      <c r="T90" s="46">
        <f t="shared" si="150"/>
        <v>95.142839035828047</v>
      </c>
      <c r="U90" s="46">
        <f t="shared" si="151"/>
        <v>857.25298812838162</v>
      </c>
      <c r="V90" s="46">
        <f t="shared" si="152"/>
        <v>108.72809814653269</v>
      </c>
      <c r="X90" s="236" t="s">
        <v>182</v>
      </c>
      <c r="Y90" s="212">
        <v>10.5</v>
      </c>
      <c r="Z90" s="46">
        <f t="shared" si="153"/>
        <v>55.251472960591222</v>
      </c>
      <c r="AA90" s="207">
        <f t="shared" si="134"/>
        <v>22.5</v>
      </c>
      <c r="AB90" s="46">
        <f t="shared" si="154"/>
        <v>40.697741295432863</v>
      </c>
      <c r="AC90" s="46">
        <f t="shared" si="155"/>
        <v>40.697741295432863</v>
      </c>
      <c r="AD90" s="46">
        <f t="shared" si="156"/>
        <v>139.30225870456712</v>
      </c>
      <c r="AE90" s="46">
        <f t="shared" si="157"/>
        <v>-220.69774129543288</v>
      </c>
      <c r="AF90" s="46">
        <f t="shared" si="158"/>
        <v>1.2170460573618436</v>
      </c>
      <c r="AG90" s="46">
        <f t="shared" si="159"/>
        <v>863.42877361499086</v>
      </c>
      <c r="AH90" s="47">
        <f>COS(RADIANS(Z90))*COS(RADIANS(AB90-Insolation!$L$6))*SIN(RADIANS(0))+(SIN(RADIANS(Z90))*COS(RADIANS(0)))</f>
        <v>0.82166159115430015</v>
      </c>
      <c r="AI90" s="47">
        <f>COS(RADIANS(Z90))*COS(RADIANS(AB90-Insolation!$L$6))*SIN(RADIANS(Insolation!$L$7))+SIN(RADIANS(Z90))*COS(RADIANS(Insolation!$L$7))</f>
        <v>0.4321327550787033</v>
      </c>
      <c r="AJ90" s="46">
        <f t="shared" si="160"/>
        <v>709.44625997689946</v>
      </c>
      <c r="AK90" s="46">
        <f t="shared" si="161"/>
        <v>110.226631428221</v>
      </c>
      <c r="AL90" s="46">
        <f t="shared" si="162"/>
        <v>373.115854756472</v>
      </c>
      <c r="AM90" s="46">
        <f>$X$91*AG90*((1+COS(RADIANS(Insolation!$L$7)))/2)</f>
        <v>55.113315714110499</v>
      </c>
      <c r="AN90" s="46">
        <f t="shared" si="163"/>
        <v>838.56432642160951</v>
      </c>
      <c r="AO90" s="46">
        <f t="shared" si="164"/>
        <v>91.609378528242814</v>
      </c>
      <c r="AP90" s="46">
        <f t="shared" si="165"/>
        <v>863.42877361499086</v>
      </c>
      <c r="AQ90" s="46">
        <f t="shared" si="166"/>
        <v>100.39781039755583</v>
      </c>
      <c r="AS90" s="236" t="s">
        <v>182</v>
      </c>
      <c r="AT90" s="212">
        <v>10.5</v>
      </c>
      <c r="AU90" s="46">
        <f t="shared" si="167"/>
        <v>44.879425476267492</v>
      </c>
      <c r="AV90" s="207">
        <f t="shared" si="135"/>
        <v>22.5</v>
      </c>
      <c r="AW90" s="46">
        <f t="shared" si="168"/>
        <v>32.660263626921299</v>
      </c>
      <c r="AX90" s="46">
        <f t="shared" si="169"/>
        <v>32.660263626921299</v>
      </c>
      <c r="AY90" s="46">
        <f t="shared" si="170"/>
        <v>147.33973637307869</v>
      </c>
      <c r="AZ90" s="46">
        <f t="shared" si="171"/>
        <v>-212.66026362692131</v>
      </c>
      <c r="BA90" s="46">
        <f t="shared" si="172"/>
        <v>1.4171990838143911</v>
      </c>
      <c r="BB90" s="46">
        <f t="shared" si="173"/>
        <v>871.70386417869895</v>
      </c>
      <c r="BC90" s="47">
        <f>COS(RADIANS(AU90))*COS(RADIANS(AW90-Insolation!$L$6))*SIN(RADIANS(0))+(SIN(RADIANS(AU90))*COS(RADIANS(0)))</f>
        <v>0.70561716516814288</v>
      </c>
      <c r="BD90" s="47">
        <f>COS(RADIANS(AU90))*COS(RADIANS(AW90-Insolation!$L$6))*SIN(RADIANS(Insolation!$L$7))+SIN(RADIANS(AU90))*COS(RADIANS(Insolation!$L$7))</f>
        <v>0.59655422057090024</v>
      </c>
      <c r="BE90" s="46">
        <f t="shared" si="174"/>
        <v>615.08920950788945</v>
      </c>
      <c r="BF90" s="46">
        <f t="shared" si="175"/>
        <v>97.085353941942543</v>
      </c>
      <c r="BG90" s="46">
        <f t="shared" si="176"/>
        <v>520.01861926376569</v>
      </c>
      <c r="BH90" s="46">
        <f>$AS$91*BB90*((1+COS(RADIANS(Insolation!$L$7)))/2)</f>
        <v>48.542676970971272</v>
      </c>
      <c r="BI90" s="46">
        <f t="shared" si="177"/>
        <v>871.05144524266552</v>
      </c>
      <c r="BJ90" s="46">
        <f t="shared" si="178"/>
        <v>81.439030766530479</v>
      </c>
      <c r="BK90" s="46">
        <f t="shared" si="179"/>
        <v>871.70386417869895</v>
      </c>
      <c r="BL90" s="46">
        <f t="shared" si="180"/>
        <v>82.795223084900911</v>
      </c>
      <c r="BN90" s="236" t="s">
        <v>182</v>
      </c>
      <c r="BO90" s="212">
        <v>10.5</v>
      </c>
      <c r="BP90" s="46">
        <f t="shared" si="181"/>
        <v>33.884230068986966</v>
      </c>
      <c r="BQ90" s="207">
        <f t="shared" si="136"/>
        <v>22.5</v>
      </c>
      <c r="BR90" s="46">
        <f t="shared" si="182"/>
        <v>27.03390530126606</v>
      </c>
      <c r="BS90" s="46">
        <f t="shared" si="183"/>
        <v>27.03390530126606</v>
      </c>
      <c r="BT90" s="46">
        <f t="shared" si="184"/>
        <v>152.96609469873394</v>
      </c>
      <c r="BU90" s="46">
        <f t="shared" si="185"/>
        <v>-207.03390530126606</v>
      </c>
      <c r="BV90" s="46">
        <f t="shared" si="186"/>
        <v>1.7936684442901114</v>
      </c>
      <c r="BW90" s="46">
        <f t="shared" si="187"/>
        <v>866.32337424053367</v>
      </c>
      <c r="BX90" s="47">
        <f>COS(RADIANS(BP90))*COS(RADIANS(BR90-Insolation!$L$6))*SIN(RADIANS(0))+(SIN(RADIANS(BP90))*COS(RADIANS(0)))</f>
        <v>0.55751663758336045</v>
      </c>
      <c r="BY90" s="47">
        <f>COS(RADIANS(BP90))*COS(RADIANS(BR90-Insolation!$L$6))*SIN(RADIANS(Insolation!$L$7))+SIN(RADIANS(BP90))*COS(RADIANS(Insolation!$L$7))</f>
        <v>0.73945995750090088</v>
      </c>
      <c r="BZ90" s="46">
        <f t="shared" si="188"/>
        <v>482.98969466645354</v>
      </c>
      <c r="CA90" s="46">
        <f t="shared" si="189"/>
        <v>79.024744709195943</v>
      </c>
      <c r="CB90" s="46">
        <f t="shared" si="190"/>
        <v>640.6114454979421</v>
      </c>
      <c r="CC90" s="46">
        <f>$BN$91*BW90*((1+COS(RADIANS(Insolation!$L$7)))/2)</f>
        <v>39.512372354597971</v>
      </c>
      <c r="CD90" s="46">
        <f t="shared" si="191"/>
        <v>854.19293369516254</v>
      </c>
      <c r="CE90" s="46">
        <f t="shared" si="192"/>
        <v>66.702703381351526</v>
      </c>
      <c r="CF90" s="46">
        <f t="shared" si="193"/>
        <v>866.32337424053367</v>
      </c>
      <c r="CG90" s="46">
        <f t="shared" si="194"/>
        <v>61.541177332675161</v>
      </c>
      <c r="CI90" s="236" t="s">
        <v>182</v>
      </c>
      <c r="CJ90" s="212">
        <v>10.5</v>
      </c>
      <c r="CK90" s="46">
        <f t="shared" si="195"/>
        <v>24.850427504179841</v>
      </c>
      <c r="CL90" s="207">
        <f t="shared" si="137"/>
        <v>22.5</v>
      </c>
      <c r="CM90" s="46">
        <f t="shared" si="196"/>
        <v>23.478215637389553</v>
      </c>
      <c r="CN90" s="46">
        <f t="shared" si="197"/>
        <v>23.478215637389553</v>
      </c>
      <c r="CO90" s="46">
        <f t="shared" si="198"/>
        <v>156.52178436261045</v>
      </c>
      <c r="CP90" s="46">
        <f t="shared" si="199"/>
        <v>-203.47821563738955</v>
      </c>
      <c r="CQ90" s="46">
        <f t="shared" si="200"/>
        <v>2.3795310166592007</v>
      </c>
      <c r="CR90" s="46">
        <f t="shared" si="201"/>
        <v>840.96741077544164</v>
      </c>
      <c r="CS90" s="47">
        <f>COS(RADIANS(CK90))*COS(RADIANS(CM90-Insolation!$L$6))*SIN(RADIANS(0))+(SIN(RADIANS(CK90))*COS(RADIANS(0)))</f>
        <v>0.42025087842896613</v>
      </c>
      <c r="CT90" s="47">
        <f>COS(RADIANS(CK90))*COS(RADIANS(CM90-Insolation!$L$6))*SIN(RADIANS(Insolation!$L$7))+SIN(RADIANS(CK90))*COS(RADIANS(Insolation!$L$7))</f>
        <v>0.83228511800180383</v>
      </c>
      <c r="CU90" s="46">
        <f t="shared" si="202"/>
        <v>353.41729310851252</v>
      </c>
      <c r="CV90" s="46">
        <f t="shared" si="203"/>
        <v>60.119574355171324</v>
      </c>
      <c r="CW90" s="46">
        <f t="shared" si="204"/>
        <v>699.92466071290983</v>
      </c>
      <c r="CX90" s="46">
        <f>$CI$91*CR90*((1+COS(RADIANS(Insolation!$L$7)))/2)</f>
        <v>30.059787177585662</v>
      </c>
      <c r="CY90" s="46">
        <f t="shared" si="205"/>
        <v>794.44130677748944</v>
      </c>
      <c r="CZ90" s="46">
        <f t="shared" si="206"/>
        <v>50.94040754334884</v>
      </c>
      <c r="DA90" s="46">
        <f t="shared" si="207"/>
        <v>840.96741077544164</v>
      </c>
      <c r="DB90" s="46">
        <f t="shared" si="208"/>
        <v>42.692439144353806</v>
      </c>
      <c r="DD90" s="236" t="s">
        <v>182</v>
      </c>
      <c r="DE90" s="212">
        <v>10.5</v>
      </c>
      <c r="DF90" s="46">
        <f t="shared" si="209"/>
        <v>20.86353446248998</v>
      </c>
      <c r="DG90" s="207">
        <f t="shared" si="138"/>
        <v>22.5</v>
      </c>
      <c r="DH90" s="46">
        <f t="shared" si="210"/>
        <v>22.088443288833567</v>
      </c>
      <c r="DI90" s="46">
        <f t="shared" si="211"/>
        <v>22.088443288833567</v>
      </c>
      <c r="DJ90" s="46">
        <f t="shared" si="212"/>
        <v>157.91155671116644</v>
      </c>
      <c r="DK90" s="46">
        <f t="shared" si="213"/>
        <v>-202.08844328883356</v>
      </c>
      <c r="DL90" s="46">
        <f t="shared" si="214"/>
        <v>2.8078580603963053</v>
      </c>
      <c r="DM90" s="46">
        <f t="shared" si="215"/>
        <v>826.40692999488181</v>
      </c>
      <c r="DN90" s="47">
        <f>COS(RADIANS(DF90))*COS(RADIANS(DH90-Insolation!$L$6))*SIN(RADIANS(0))+(SIN(RADIANS(DF90))*COS(RADIANS(0)))</f>
        <v>0.35614335856380808</v>
      </c>
      <c r="DO90" s="47">
        <f>COS(RADIANS(DF90))*COS(RADIANS(DH90-Insolation!$L$6))*SIN(RADIANS(Insolation!$L$7))+SIN(RADIANS(DF90))*COS(RADIANS(Insolation!$L$7))</f>
        <v>0.86584827178678658</v>
      </c>
      <c r="DP90" s="46">
        <f t="shared" si="216"/>
        <v>294.31933958878301</v>
      </c>
      <c r="DQ90" s="46">
        <f t="shared" si="217"/>
        <v>48.407459277702323</v>
      </c>
      <c r="DR90" s="46">
        <f t="shared" si="218"/>
        <v>715.54301212869234</v>
      </c>
      <c r="DS90" s="46">
        <f>$DD$91*DM90*((1+COS(RADIANS(Insolation!$L$7)))/2)</f>
        <v>24.203729638851161</v>
      </c>
      <c r="DT90" s="46">
        <f t="shared" si="219"/>
        <v>758.80937787286666</v>
      </c>
      <c r="DU90" s="46">
        <f t="shared" si="220"/>
        <v>41.077347951786763</v>
      </c>
      <c r="DV90" s="46">
        <f t="shared" si="221"/>
        <v>826.40692999488181</v>
      </c>
      <c r="DW90" s="46">
        <f t="shared" si="222"/>
        <v>32.823727202202008</v>
      </c>
    </row>
    <row r="91" spans="3:127" x14ac:dyDescent="0.25">
      <c r="C91" s="47">
        <f>0.095+0.04*SIN(RADIANS(360/365*(C81-100)))</f>
        <v>0.13486635607016681</v>
      </c>
      <c r="D91" s="212">
        <v>11</v>
      </c>
      <c r="E91" s="46">
        <f t="shared" si="139"/>
        <v>65.458318336698667</v>
      </c>
      <c r="F91" s="207">
        <f t="shared" si="133"/>
        <v>15</v>
      </c>
      <c r="G91" s="46">
        <f t="shared" si="140"/>
        <v>35.429396761505579</v>
      </c>
      <c r="H91" s="46">
        <f t="shared" si="141"/>
        <v>35.429396761505579</v>
      </c>
      <c r="I91" s="46">
        <f t="shared" si="142"/>
        <v>144.57060323849441</v>
      </c>
      <c r="J91" s="46">
        <f>180-H91-360</f>
        <v>-215.42939676150559</v>
      </c>
      <c r="K91" s="46">
        <f t="shared" si="144"/>
        <v>1.0993126185642672</v>
      </c>
      <c r="L91" s="46">
        <f t="shared" si="145"/>
        <v>863.71040230982237</v>
      </c>
      <c r="M91" s="47">
        <f>COS(RADIANS(E91))*COS(RADIANS(G91-Insolation!$L$6))*SIN(RADIANS(0))+(SIN(RADIANS(E91))*COS(RADIANS(0)))</f>
        <v>0.90965934813522631</v>
      </c>
      <c r="N91" s="47">
        <f>COS(RADIANS(E91))*COS(RADIANS(G91-Insolation!$L$6))*SIN(RADIANS(Insolation!$L$7))+SIN(RADIANS(E91))*COS(RADIANS(Insolation!$L$7))</f>
        <v>0.33844400508961503</v>
      </c>
      <c r="O91" s="46">
        <f t="shared" si="146"/>
        <v>785.68224154276709</v>
      </c>
      <c r="P91" s="46">
        <f t="shared" si="147"/>
        <v>116.48547465942353</v>
      </c>
      <c r="Q91" s="46">
        <f t="shared" si="148"/>
        <v>292.31760779529895</v>
      </c>
      <c r="R91" s="46">
        <f>$C$91*L91*((1+COS(RADIANS(Insolation!$L$7)))/2)</f>
        <v>58.242737329711765</v>
      </c>
      <c r="S91" s="46">
        <f t="shared" si="149"/>
        <v>803.51551610179013</v>
      </c>
      <c r="T91" s="46">
        <f t="shared" si="150"/>
        <v>98.658365445646581</v>
      </c>
      <c r="U91" s="46">
        <f t="shared" si="151"/>
        <v>863.71040230982237</v>
      </c>
      <c r="V91" s="46">
        <f t="shared" si="152"/>
        <v>111.22378780266858</v>
      </c>
      <c r="X91" s="47">
        <f>0.095+0.04*SIN(RADIANS(360/365*(X81-100)))</f>
        <v>0.12766152205783665</v>
      </c>
      <c r="Y91" s="212">
        <v>11</v>
      </c>
      <c r="Z91" s="46">
        <f t="shared" si="153"/>
        <v>58.398674189281046</v>
      </c>
      <c r="AA91" s="207">
        <f t="shared" si="134"/>
        <v>15</v>
      </c>
      <c r="AB91" s="46">
        <f t="shared" si="154"/>
        <v>28.665841925723978</v>
      </c>
      <c r="AC91" s="46">
        <f t="shared" si="155"/>
        <v>28.665841925723978</v>
      </c>
      <c r="AD91" s="46">
        <f t="shared" si="156"/>
        <v>151.33415807427602</v>
      </c>
      <c r="AE91" s="46">
        <f>180-AC91-360</f>
        <v>-208.66584192572398</v>
      </c>
      <c r="AF91" s="46">
        <f t="shared" si="158"/>
        <v>1.1741019287517174</v>
      </c>
      <c r="AG91" s="46">
        <f t="shared" si="159"/>
        <v>870.973002082167</v>
      </c>
      <c r="AH91" s="47">
        <f>COS(RADIANS(Z91))*COS(RADIANS(AB91-Insolation!$L$6))*SIN(RADIANS(0))+(SIN(RADIANS(Z91))*COS(RADIANS(0)))</f>
        <v>0.85171480900570595</v>
      </c>
      <c r="AI91" s="47">
        <f>COS(RADIANS(Z91))*COS(RADIANS(AB91-Insolation!$L$6))*SIN(RADIANS(Insolation!$L$7))+SIN(RADIANS(Z91))*COS(RADIANS(Insolation!$L$7))</f>
        <v>0.45977945322886277</v>
      </c>
      <c r="AJ91" s="46">
        <f t="shared" si="160"/>
        <v>741.82060411753923</v>
      </c>
      <c r="AK91" s="46">
        <f t="shared" si="161"/>
        <v>111.18973911709277</v>
      </c>
      <c r="AL91" s="46">
        <f t="shared" si="162"/>
        <v>400.45549067443989</v>
      </c>
      <c r="AM91" s="46">
        <f>$X$91*AG91*((1+COS(RADIANS(Insolation!$L$7)))/2)</f>
        <v>55.594869558546385</v>
      </c>
      <c r="AN91" s="46">
        <f t="shared" si="163"/>
        <v>845.89130121822348</v>
      </c>
      <c r="AO91" s="46">
        <f t="shared" si="164"/>
        <v>94.641414933520949</v>
      </c>
      <c r="AP91" s="46">
        <f t="shared" si="165"/>
        <v>870.973002082167</v>
      </c>
      <c r="AQ91" s="46">
        <f t="shared" si="166"/>
        <v>102.94584326630086</v>
      </c>
      <c r="AS91" s="47">
        <f>0.095+0.04*SIN(RADIANS(360/365*(AS81-100)))</f>
        <v>0.11137423835262486</v>
      </c>
      <c r="AT91" s="212">
        <v>11</v>
      </c>
      <c r="AU91" s="46">
        <f t="shared" si="167"/>
        <v>47.437363924088558</v>
      </c>
      <c r="AV91" s="207">
        <f t="shared" si="135"/>
        <v>15</v>
      </c>
      <c r="AW91" s="46">
        <f t="shared" si="168"/>
        <v>22.479818301301112</v>
      </c>
      <c r="AX91" s="46">
        <f t="shared" si="169"/>
        <v>22.479818301301112</v>
      </c>
      <c r="AY91" s="46">
        <f t="shared" si="170"/>
        <v>157.52018169869888</v>
      </c>
      <c r="AZ91" s="46">
        <f>180-AX91-360</f>
        <v>-202.47981830130112</v>
      </c>
      <c r="BA91" s="46">
        <f t="shared" si="172"/>
        <v>1.3577025788952526</v>
      </c>
      <c r="BB91" s="46">
        <f t="shared" si="173"/>
        <v>881.52607926091321</v>
      </c>
      <c r="BC91" s="47">
        <f>COS(RADIANS(AU91))*COS(RADIANS(AW91-Insolation!$L$6))*SIN(RADIANS(0))+(SIN(RADIANS(AU91))*COS(RADIANS(0)))</f>
        <v>0.73653833729452645</v>
      </c>
      <c r="BD91" s="47">
        <f>COS(RADIANS(AU91))*COS(RADIANS(AW91-Insolation!$L$6))*SIN(RADIANS(Insolation!$L$7))+SIN(RADIANS(AU91))*COS(RADIANS(Insolation!$L$7))</f>
        <v>0.62499937131828531</v>
      </c>
      <c r="BE91" s="46">
        <f t="shared" si="174"/>
        <v>649.2777527005959</v>
      </c>
      <c r="BF91" s="46">
        <f t="shared" si="175"/>
        <v>98.179295665659822</v>
      </c>
      <c r="BG91" s="46">
        <f t="shared" si="176"/>
        <v>550.95324533874373</v>
      </c>
      <c r="BH91" s="46">
        <f>$AS$91*BB91*((1+COS(RADIANS(Insolation!$L$7)))/2)</f>
        <v>49.089647832829911</v>
      </c>
      <c r="BI91" s="46">
        <f t="shared" si="177"/>
        <v>880.86630897612849</v>
      </c>
      <c r="BJ91" s="46">
        <f t="shared" si="178"/>
        <v>83.93458550687194</v>
      </c>
      <c r="BK91" s="46">
        <f t="shared" si="179"/>
        <v>881.52607926091321</v>
      </c>
      <c r="BL91" s="46">
        <f t="shared" si="180"/>
        <v>85.246055425996303</v>
      </c>
      <c r="BN91" s="47">
        <f>0.095+0.04*SIN(RADIANS(360/365*(BN81-100)))</f>
        <v>9.1218530007312046E-2</v>
      </c>
      <c r="BO91" s="212">
        <v>11</v>
      </c>
      <c r="BP91" s="46">
        <f t="shared" si="181"/>
        <v>36.017171009689278</v>
      </c>
      <c r="BQ91" s="207">
        <f t="shared" si="136"/>
        <v>15</v>
      </c>
      <c r="BR91" s="46">
        <f t="shared" si="182"/>
        <v>18.391428942955681</v>
      </c>
      <c r="BS91" s="46">
        <f t="shared" si="183"/>
        <v>18.391428942955681</v>
      </c>
      <c r="BT91" s="46">
        <f t="shared" si="184"/>
        <v>161.60857105704432</v>
      </c>
      <c r="BU91" s="46">
        <f>180-BS91-360</f>
        <v>-198.39142894295568</v>
      </c>
      <c r="BV91" s="46">
        <f t="shared" si="186"/>
        <v>1.7006002145433738</v>
      </c>
      <c r="BW91" s="46">
        <f t="shared" si="187"/>
        <v>880.19562096801417</v>
      </c>
      <c r="BX91" s="47">
        <f>COS(RADIANS(BP91))*COS(RADIANS(BR91-Insolation!$L$6))*SIN(RADIANS(0))+(SIN(RADIANS(BP91))*COS(RADIANS(0)))</f>
        <v>0.58802768072595402</v>
      </c>
      <c r="BY91" s="47">
        <f>COS(RADIANS(BP91))*COS(RADIANS(BR91-Insolation!$L$6))*SIN(RADIANS(Insolation!$L$7))+SIN(RADIANS(BP91))*COS(RADIANS(Insolation!$L$7))</f>
        <v>0.76752782045589285</v>
      </c>
      <c r="BZ91" s="46">
        <f t="shared" si="188"/>
        <v>517.57938958296222</v>
      </c>
      <c r="CA91" s="46">
        <f t="shared" si="189"/>
        <v>80.29015066357546</v>
      </c>
      <c r="CB91" s="46">
        <f t="shared" si="190"/>
        <v>675.57462653640107</v>
      </c>
      <c r="CC91" s="46">
        <f>$BN$91*BW91*((1+COS(RADIANS(Insolation!$L$7)))/2)</f>
        <v>40.14507533178773</v>
      </c>
      <c r="CD91" s="46">
        <f t="shared" si="191"/>
        <v>867.87093833110771</v>
      </c>
      <c r="CE91" s="46">
        <f t="shared" si="192"/>
        <v>68.83575590808266</v>
      </c>
      <c r="CF91" s="46">
        <f t="shared" si="193"/>
        <v>880.19562096801417</v>
      </c>
      <c r="CG91" s="46">
        <f t="shared" si="194"/>
        <v>63.751490871707574</v>
      </c>
      <c r="CI91" s="47">
        <f>0.095+0.04*SIN(RADIANS(360/365*(CI81-100)))</f>
        <v>7.1488589908301078E-2</v>
      </c>
      <c r="CJ91" s="212">
        <v>11</v>
      </c>
      <c r="CK91" s="46">
        <f t="shared" si="195"/>
        <v>26.710533406868461</v>
      </c>
      <c r="CL91" s="207">
        <f t="shared" si="137"/>
        <v>15</v>
      </c>
      <c r="CM91" s="46">
        <f t="shared" si="196"/>
        <v>15.885016028529643</v>
      </c>
      <c r="CN91" s="46">
        <f t="shared" si="197"/>
        <v>15.885016028529643</v>
      </c>
      <c r="CO91" s="46">
        <f t="shared" si="198"/>
        <v>164.11498397147037</v>
      </c>
      <c r="CP91" s="46">
        <f>180-CN91-360</f>
        <v>-195.88501602852963</v>
      </c>
      <c r="CQ91" s="46">
        <f t="shared" si="200"/>
        <v>2.224777103007566</v>
      </c>
      <c r="CR91" s="46">
        <f t="shared" si="201"/>
        <v>861.17386448950651</v>
      </c>
      <c r="CS91" s="47">
        <f>COS(RADIANS(CK91))*COS(RADIANS(CM91-Insolation!$L$6))*SIN(RADIANS(0))+(SIN(RADIANS(CK91))*COS(RADIANS(0)))</f>
        <v>0.4494832307686687</v>
      </c>
      <c r="CT91" s="47">
        <f>COS(RADIANS(CK91))*COS(RADIANS(CM91-Insolation!$L$6))*SIN(RADIANS(Insolation!$L$7))+SIN(RADIANS(CK91))*COS(RADIANS(Insolation!$L$7))</f>
        <v>0.85917668167231631</v>
      </c>
      <c r="CU91" s="46">
        <f t="shared" si="202"/>
        <v>387.0832108642831</v>
      </c>
      <c r="CV91" s="46">
        <f t="shared" si="203"/>
        <v>61.564105238237175</v>
      </c>
      <c r="CW91" s="46">
        <f t="shared" si="204"/>
        <v>739.90050323501919</v>
      </c>
      <c r="CX91" s="46">
        <f>$CI$91*CR91*((1+COS(RADIANS(Insolation!$L$7)))/2)</f>
        <v>30.782052619118588</v>
      </c>
      <c r="CY91" s="46">
        <f t="shared" si="205"/>
        <v>813.52984848344988</v>
      </c>
      <c r="CZ91" s="46">
        <f t="shared" si="206"/>
        <v>52.871876518228127</v>
      </c>
      <c r="DA91" s="46">
        <f t="shared" si="207"/>
        <v>861.17386448950651</v>
      </c>
      <c r="DB91" s="46">
        <f t="shared" si="208"/>
        <v>44.618069080051178</v>
      </c>
      <c r="DD91" s="47">
        <f>0.095+0.04*SIN(RADIANS(360/365*(DD81-100)))</f>
        <v>5.8575814796231349E-2</v>
      </c>
      <c r="DE91" s="212">
        <v>11</v>
      </c>
      <c r="DF91" s="46">
        <f t="shared" si="209"/>
        <v>22.616212439026366</v>
      </c>
      <c r="DG91" s="207">
        <f t="shared" si="138"/>
        <v>15</v>
      </c>
      <c r="DH91" s="46">
        <f t="shared" si="210"/>
        <v>14.918549282841902</v>
      </c>
      <c r="DI91" s="46">
        <f t="shared" si="211"/>
        <v>14.918549282841902</v>
      </c>
      <c r="DJ91" s="46">
        <f t="shared" si="212"/>
        <v>165.08145071715811</v>
      </c>
      <c r="DK91" s="46">
        <f>180-DI91-360</f>
        <v>-194.91854928284189</v>
      </c>
      <c r="DL91" s="46">
        <f t="shared" si="214"/>
        <v>2.6003978555973366</v>
      </c>
      <c r="DM91" s="46">
        <f t="shared" si="215"/>
        <v>851.13723718771223</v>
      </c>
      <c r="DN91" s="47">
        <f>COS(RADIANS(DF91))*COS(RADIANS(DH91-Insolation!$L$6))*SIN(RADIANS(0))+(SIN(RADIANS(DF91))*COS(RADIANS(0)))</f>
        <v>0.38455653924168087</v>
      </c>
      <c r="DO91" s="47">
        <f>COS(RADIANS(DF91))*COS(RADIANS(DH91-Insolation!$L$6))*SIN(RADIANS(Insolation!$L$7))+SIN(RADIANS(DF91))*COS(RADIANS(Insolation!$L$7))</f>
        <v>0.89198625919203012</v>
      </c>
      <c r="DP91" s="46">
        <f t="shared" si="216"/>
        <v>327.31039035263228</v>
      </c>
      <c r="DQ91" s="46">
        <f t="shared" si="217"/>
        <v>49.856057171683467</v>
      </c>
      <c r="DR91" s="46">
        <f t="shared" si="218"/>
        <v>759.20272025810709</v>
      </c>
      <c r="DS91" s="46">
        <f>$DD$91*DM91*((1+COS(RADIANS(Insolation!$L$7)))/2)</f>
        <v>24.928028585841734</v>
      </c>
      <c r="DT91" s="46">
        <f t="shared" si="219"/>
        <v>781.51682179000898</v>
      </c>
      <c r="DU91" s="46">
        <f t="shared" si="220"/>
        <v>42.845066573279631</v>
      </c>
      <c r="DV91" s="46">
        <f t="shared" si="221"/>
        <v>851.13723718771223</v>
      </c>
      <c r="DW91" s="46">
        <f t="shared" si="222"/>
        <v>34.514264988930726</v>
      </c>
    </row>
    <row r="92" spans="3:127" x14ac:dyDescent="0.25">
      <c r="C92" s="236"/>
      <c r="D92" s="212">
        <v>11.5</v>
      </c>
      <c r="E92" s="46">
        <f t="shared" si="139"/>
        <v>67.991977580398839</v>
      </c>
      <c r="F92" s="207">
        <f t="shared" si="133"/>
        <v>7.5</v>
      </c>
      <c r="G92" s="46">
        <f t="shared" si="140"/>
        <v>18.907390776201424</v>
      </c>
      <c r="H92" s="46">
        <f t="shared" si="141"/>
        <v>18.907390776201424</v>
      </c>
      <c r="I92" s="46">
        <f t="shared" si="142"/>
        <v>161.09260922379858</v>
      </c>
      <c r="J92" s="46">
        <f t="shared" ref="J92:J110" si="223">180-H92-360</f>
        <v>-198.90739077620142</v>
      </c>
      <c r="K92" s="46">
        <f t="shared" si="144"/>
        <v>1.0785957702726836</v>
      </c>
      <c r="L92" s="46">
        <f t="shared" si="145"/>
        <v>867.45612034176133</v>
      </c>
      <c r="M92" s="47">
        <f>COS(RADIANS(E92))*COS(RADIANS(G92-Insolation!$L$6))*SIN(RADIANS(0))+(SIN(RADIANS(E92))*COS(RADIANS(0)))</f>
        <v>0.92713139394862121</v>
      </c>
      <c r="N92" s="47">
        <f>COS(RADIANS(E92))*COS(RADIANS(G92-Insolation!$L$6))*SIN(RADIANS(Insolation!$L$7))+SIN(RADIANS(E92))*COS(RADIANS(Insolation!$L$7))</f>
        <v>0.35451697201971361</v>
      </c>
      <c r="O92" s="46">
        <f t="shared" si="146"/>
        <v>804.24580204172014</v>
      </c>
      <c r="P92" s="46">
        <f t="shared" si="147"/>
        <v>116.99064600125746</v>
      </c>
      <c r="Q92" s="46">
        <f t="shared" si="148"/>
        <v>307.52791714352952</v>
      </c>
      <c r="R92" s="46">
        <f>$C$91*L92*((1+COS(RADIANS(Insolation!$L$7)))/2)</f>
        <v>58.49532300062873</v>
      </c>
      <c r="S92" s="46">
        <f t="shared" si="149"/>
        <v>807.00018243156489</v>
      </c>
      <c r="T92" s="46">
        <f t="shared" si="150"/>
        <v>100.90850591832726</v>
      </c>
      <c r="U92" s="46">
        <f t="shared" si="151"/>
        <v>867.45612034176133</v>
      </c>
      <c r="V92" s="46">
        <f t="shared" si="152"/>
        <v>112.72817335367648</v>
      </c>
      <c r="X92" s="236"/>
      <c r="Y92" s="212">
        <v>11.5</v>
      </c>
      <c r="Z92" s="46">
        <f t="shared" si="153"/>
        <v>60.453401489528794</v>
      </c>
      <c r="AA92" s="207">
        <f t="shared" si="134"/>
        <v>7.5</v>
      </c>
      <c r="AB92" s="46">
        <f t="shared" si="154"/>
        <v>14.896052725983379</v>
      </c>
      <c r="AC92" s="46">
        <f t="shared" si="155"/>
        <v>14.896052725983379</v>
      </c>
      <c r="AD92" s="46">
        <f t="shared" si="156"/>
        <v>165.10394727401663</v>
      </c>
      <c r="AE92" s="46">
        <f t="shared" ref="AE92:AE110" si="224">180-AC92-360</f>
        <v>-194.89605272598337</v>
      </c>
      <c r="AF92" s="46">
        <f t="shared" si="158"/>
        <v>1.149484847429453</v>
      </c>
      <c r="AG92" s="46">
        <f t="shared" si="159"/>
        <v>875.327305189659</v>
      </c>
      <c r="AH92" s="47">
        <f>COS(RADIANS(Z92))*COS(RADIANS(AB92-Insolation!$L$6))*SIN(RADIANS(0))+(SIN(RADIANS(Z92))*COS(RADIANS(0)))</f>
        <v>0.8699549213165011</v>
      </c>
      <c r="AI92" s="47">
        <f>COS(RADIANS(Z92))*COS(RADIANS(AB92-Insolation!$L$6))*SIN(RADIANS(Insolation!$L$7))+SIN(RADIANS(Z92))*COS(RADIANS(Insolation!$L$7))</f>
        <v>0.47655898351992504</v>
      </c>
      <c r="AJ92" s="46">
        <f t="shared" si="160"/>
        <v>761.49529691245471</v>
      </c>
      <c r="AK92" s="46">
        <f t="shared" si="161"/>
        <v>111.74561607929637</v>
      </c>
      <c r="AL92" s="46">
        <f t="shared" si="162"/>
        <v>417.14509080841913</v>
      </c>
      <c r="AM92" s="46">
        <f>$X$91*AG92*((1+COS(RADIANS(Insolation!$L$7)))/2)</f>
        <v>55.872808039648184</v>
      </c>
      <c r="AN92" s="46">
        <f t="shared" si="163"/>
        <v>850.12021200270203</v>
      </c>
      <c r="AO92" s="46">
        <f t="shared" si="164"/>
        <v>96.515337624640651</v>
      </c>
      <c r="AP92" s="46">
        <f t="shared" si="165"/>
        <v>875.327305189659</v>
      </c>
      <c r="AQ92" s="46">
        <f t="shared" si="166"/>
        <v>104.4796323615123</v>
      </c>
      <c r="AS92" s="236"/>
      <c r="AT92" s="212">
        <v>11.5</v>
      </c>
      <c r="AU92" s="46">
        <f t="shared" si="167"/>
        <v>49.052047643640229</v>
      </c>
      <c r="AV92" s="207">
        <f t="shared" si="135"/>
        <v>7.5</v>
      </c>
      <c r="AW92" s="46">
        <f t="shared" si="168"/>
        <v>11.479312020272335</v>
      </c>
      <c r="AX92" s="46">
        <f t="shared" si="169"/>
        <v>11.479312020272335</v>
      </c>
      <c r="AY92" s="46">
        <f t="shared" si="170"/>
        <v>168.52068797972765</v>
      </c>
      <c r="AZ92" s="46">
        <f t="shared" ref="AZ92:AZ110" si="225">180-AX92-360</f>
        <v>-191.47931202027235</v>
      </c>
      <c r="BA92" s="46">
        <f t="shared" si="172"/>
        <v>1.3239680518864858</v>
      </c>
      <c r="BB92" s="46">
        <f t="shared" si="173"/>
        <v>887.1443638320311</v>
      </c>
      <c r="BC92" s="47">
        <f>COS(RADIANS(AU92))*COS(RADIANS(AW92-Insolation!$L$6))*SIN(RADIANS(0))+(SIN(RADIANS(AU92))*COS(RADIANS(0)))</f>
        <v>0.75530523457505439</v>
      </c>
      <c r="BD92" s="47">
        <f>COS(RADIANS(AU92))*COS(RADIANS(AW92-Insolation!$L$6))*SIN(RADIANS(Insolation!$L$7))+SIN(RADIANS(AU92))*COS(RADIANS(Insolation!$L$7))</f>
        <v>0.64226350412746269</v>
      </c>
      <c r="BE92" s="46">
        <f t="shared" si="174"/>
        <v>670.06478182608964</v>
      </c>
      <c r="BF92" s="46">
        <f t="shared" si="175"/>
        <v>98.805027830616382</v>
      </c>
      <c r="BG92" s="46">
        <f t="shared" si="176"/>
        <v>569.78044778168896</v>
      </c>
      <c r="BH92" s="46">
        <f>$AS$91*BB92*((1+COS(RADIANS(Insolation!$L$7)))/2)</f>
        <v>49.402513915308191</v>
      </c>
      <c r="BI92" s="46">
        <f t="shared" si="177"/>
        <v>886.48038859256758</v>
      </c>
      <c r="BJ92" s="46">
        <f t="shared" si="178"/>
        <v>85.436143292556494</v>
      </c>
      <c r="BK92" s="46">
        <f t="shared" si="179"/>
        <v>887.1443638320311</v>
      </c>
      <c r="BL92" s="46">
        <f t="shared" si="180"/>
        <v>86.71649127670743</v>
      </c>
      <c r="BN92" s="236"/>
      <c r="BO92" s="212">
        <v>11.5</v>
      </c>
      <c r="BP92" s="46">
        <f t="shared" si="181"/>
        <v>37.340148585980494</v>
      </c>
      <c r="BQ92" s="207">
        <f t="shared" si="136"/>
        <v>7.5</v>
      </c>
      <c r="BR92" s="46">
        <f t="shared" si="182"/>
        <v>9.3157473622783282</v>
      </c>
      <c r="BS92" s="46">
        <f t="shared" si="183"/>
        <v>9.3157473622783282</v>
      </c>
      <c r="BT92" s="46">
        <f t="shared" si="184"/>
        <v>170.68425263772167</v>
      </c>
      <c r="BU92" s="46">
        <f t="shared" ref="BU92:BU110" si="226">180-BS92-360</f>
        <v>-189.31574736227833</v>
      </c>
      <c r="BV92" s="46">
        <f t="shared" si="186"/>
        <v>1.6486804977536569</v>
      </c>
      <c r="BW92" s="46">
        <f t="shared" si="187"/>
        <v>888.03079265062684</v>
      </c>
      <c r="BX92" s="47">
        <f>COS(RADIANS(BP92))*COS(RADIANS(BR92-Insolation!$L$6))*SIN(RADIANS(0))+(SIN(RADIANS(BP92))*COS(RADIANS(0)))</f>
        <v>0.6065456596123443</v>
      </c>
      <c r="BY92" s="47">
        <f>COS(RADIANS(BP92))*COS(RADIANS(BR92-Insolation!$L$6))*SIN(RADIANS(Insolation!$L$7))+SIN(RADIANS(BP92))*COS(RADIANS(Insolation!$L$7))</f>
        <v>0.78456296707993778</v>
      </c>
      <c r="BZ92" s="46">
        <f t="shared" si="188"/>
        <v>538.63122288434738</v>
      </c>
      <c r="CA92" s="46">
        <f t="shared" si="189"/>
        <v>81.00486350681831</v>
      </c>
      <c r="CB92" s="46">
        <f t="shared" si="190"/>
        <v>696.71607354032483</v>
      </c>
      <c r="CC92" s="46">
        <f>$BN$91*BW92*((1+COS(RADIANS(Insolation!$L$7)))/2)</f>
        <v>40.502431753409155</v>
      </c>
      <c r="CD92" s="46">
        <f t="shared" si="191"/>
        <v>875.59640030590833</v>
      </c>
      <c r="CE92" s="46">
        <f t="shared" si="192"/>
        <v>70.09487338440259</v>
      </c>
      <c r="CF92" s="46">
        <f t="shared" si="193"/>
        <v>888.03079265062684</v>
      </c>
      <c r="CG92" s="46">
        <f t="shared" si="194"/>
        <v>65.06900593718467</v>
      </c>
      <c r="CI92" s="236"/>
      <c r="CJ92" s="212">
        <v>11.5</v>
      </c>
      <c r="CK92" s="46">
        <f t="shared" si="195"/>
        <v>27.854324444351061</v>
      </c>
      <c r="CL92" s="207">
        <f t="shared" si="137"/>
        <v>7.5</v>
      </c>
      <c r="CM92" s="46">
        <f t="shared" si="196"/>
        <v>8.016793529794068</v>
      </c>
      <c r="CN92" s="46">
        <f t="shared" si="197"/>
        <v>8.016793529794068</v>
      </c>
      <c r="CO92" s="46">
        <f t="shared" si="198"/>
        <v>171.98320647020594</v>
      </c>
      <c r="CP92" s="46">
        <f t="shared" ref="CP92:CP110" si="227">180-CN92-360</f>
        <v>-188.01679352979406</v>
      </c>
      <c r="CQ92" s="46">
        <f t="shared" si="200"/>
        <v>2.1402958009289961</v>
      </c>
      <c r="CR92" s="46">
        <f t="shared" si="201"/>
        <v>872.40884553543822</v>
      </c>
      <c r="CS92" s="47">
        <f>COS(RADIANS(CK92))*COS(RADIANS(CM92-Insolation!$L$6))*SIN(RADIANS(0))+(SIN(RADIANS(CK92))*COS(RADIANS(0)))</f>
        <v>0.46722513755619655</v>
      </c>
      <c r="CT92" s="47">
        <f>COS(RADIANS(CK92))*COS(RADIANS(CM92-Insolation!$L$6))*SIN(RADIANS(Insolation!$L$7))+SIN(RADIANS(CK92))*COS(RADIANS(Insolation!$L$7))</f>
        <v>0.8754979003846779</v>
      </c>
      <c r="CU92" s="46">
        <f t="shared" si="202"/>
        <v>407.61134286053772</v>
      </c>
      <c r="CV92" s="46">
        <f t="shared" si="203"/>
        <v>62.36727819085732</v>
      </c>
      <c r="CW92" s="46">
        <f t="shared" si="204"/>
        <v>763.79211254329698</v>
      </c>
      <c r="CX92" s="46">
        <f>$CI$91*CR92*((1+COS(RADIANS(Insolation!$L$7)))/2)</f>
        <v>31.18363909542866</v>
      </c>
      <c r="CY92" s="46">
        <f t="shared" si="205"/>
        <v>824.14325978736736</v>
      </c>
      <c r="CZ92" s="46">
        <f t="shared" si="206"/>
        <v>53.990703942295127</v>
      </c>
      <c r="DA92" s="46">
        <f t="shared" si="207"/>
        <v>872.40884553543822</v>
      </c>
      <c r="DB92" s="46">
        <f t="shared" si="208"/>
        <v>45.75341916129311</v>
      </c>
      <c r="DD92" s="236"/>
      <c r="DE92" s="212">
        <v>11.5</v>
      </c>
      <c r="DF92" s="46">
        <f t="shared" si="209"/>
        <v>23.690832866275606</v>
      </c>
      <c r="DG92" s="207">
        <f t="shared" si="138"/>
        <v>7.5</v>
      </c>
      <c r="DH92" s="46">
        <f t="shared" si="210"/>
        <v>7.5203975185005856</v>
      </c>
      <c r="DI92" s="46">
        <f t="shared" si="211"/>
        <v>7.5203975185005856</v>
      </c>
      <c r="DJ92" s="46">
        <f t="shared" si="212"/>
        <v>172.47960248149943</v>
      </c>
      <c r="DK92" s="46">
        <f t="shared" ref="DK92:DK110" si="228">180-DI92-360</f>
        <v>-187.52039751850057</v>
      </c>
      <c r="DL92" s="46">
        <f t="shared" si="214"/>
        <v>2.4887925406766773</v>
      </c>
      <c r="DM92" s="46">
        <f t="shared" si="215"/>
        <v>864.74590737537369</v>
      </c>
      <c r="DN92" s="47">
        <f>COS(RADIANS(DF92))*COS(RADIANS(DH92-Insolation!$L$6))*SIN(RADIANS(0))+(SIN(RADIANS(DF92))*COS(RADIANS(0)))</f>
        <v>0.4018012685493304</v>
      </c>
      <c r="DO92" s="47">
        <f>COS(RADIANS(DF92))*COS(RADIANS(DH92-Insolation!$L$6))*SIN(RADIANS(Insolation!$L$7))+SIN(RADIANS(DF92))*COS(RADIANS(Insolation!$L$7))</f>
        <v>0.90785011204822241</v>
      </c>
      <c r="DP92" s="46">
        <f t="shared" si="216"/>
        <v>347.45600255626692</v>
      </c>
      <c r="DQ92" s="46">
        <f t="shared" si="217"/>
        <v>50.653196116218915</v>
      </c>
      <c r="DR92" s="46">
        <f t="shared" si="218"/>
        <v>785.05966890397474</v>
      </c>
      <c r="DS92" s="46">
        <f>$DD$91*DM92*((1+COS(RADIANS(Insolation!$L$7)))/2)</f>
        <v>25.326598058109457</v>
      </c>
      <c r="DT92" s="46">
        <f t="shared" si="219"/>
        <v>794.01234449677077</v>
      </c>
      <c r="DU92" s="46">
        <f t="shared" si="220"/>
        <v>43.857151284410349</v>
      </c>
      <c r="DV92" s="46">
        <f t="shared" si="221"/>
        <v>864.74590737537369</v>
      </c>
      <c r="DW92" s="46">
        <f t="shared" si="222"/>
        <v>35.502857285896845</v>
      </c>
    </row>
    <row r="93" spans="3:127" x14ac:dyDescent="0.25">
      <c r="C93" s="212"/>
      <c r="D93" s="212">
        <v>12</v>
      </c>
      <c r="E93" s="46">
        <f t="shared" si="139"/>
        <v>68.905616031092805</v>
      </c>
      <c r="F93" s="207">
        <f t="shared" si="133"/>
        <v>0</v>
      </c>
      <c r="G93" s="46">
        <f t="shared" si="140"/>
        <v>0</v>
      </c>
      <c r="H93" s="46">
        <f t="shared" si="141"/>
        <v>0</v>
      </c>
      <c r="I93" s="46">
        <f t="shared" si="142"/>
        <v>180</v>
      </c>
      <c r="J93" s="46">
        <f t="shared" si="223"/>
        <v>-180</v>
      </c>
      <c r="K93" s="46">
        <f t="shared" si="144"/>
        <v>1.0718242086219867</v>
      </c>
      <c r="L93" s="46">
        <f t="shared" si="145"/>
        <v>868.68397442788921</v>
      </c>
      <c r="M93" s="47">
        <f>COS(RADIANS(E93))*COS(RADIANS(G93-Insolation!$L$6))*SIN(RADIANS(0))+(SIN(RADIANS(E93))*COS(RADIANS(0)))</f>
        <v>0.93298881659490696</v>
      </c>
      <c r="N93" s="47">
        <f>COS(RADIANS(E93))*COS(RADIANS(G93-Insolation!$L$6))*SIN(RADIANS(Insolation!$L$7))+SIN(RADIANS(E93))*COS(RADIANS(Insolation!$L$7))</f>
        <v>0.35990535993346234</v>
      </c>
      <c r="O93" s="46">
        <f t="shared" si="146"/>
        <v>810.47243329643675</v>
      </c>
      <c r="P93" s="46">
        <f t="shared" si="147"/>
        <v>117.15624220763938</v>
      </c>
      <c r="Q93" s="46">
        <f t="shared" si="148"/>
        <v>312.64401848490007</v>
      </c>
      <c r="R93" s="46">
        <f>$C$91*L93*((1+COS(RADIANS(Insolation!$L$7)))/2)</f>
        <v>58.57812110381969</v>
      </c>
      <c r="S93" s="46">
        <f t="shared" si="149"/>
        <v>808.14246323202099</v>
      </c>
      <c r="T93" s="46">
        <f t="shared" si="150"/>
        <v>101.68919398006356</v>
      </c>
      <c r="U93" s="46">
        <f t="shared" si="151"/>
        <v>868.68397442788921</v>
      </c>
      <c r="V93" s="46">
        <f t="shared" si="152"/>
        <v>113.23085299082557</v>
      </c>
      <c r="X93" s="212"/>
      <c r="Y93" s="212">
        <v>12</v>
      </c>
      <c r="Z93" s="46">
        <f t="shared" si="153"/>
        <v>61.171844166258509</v>
      </c>
      <c r="AA93" s="207">
        <f t="shared" si="134"/>
        <v>0</v>
      </c>
      <c r="AB93" s="46">
        <f t="shared" si="154"/>
        <v>0</v>
      </c>
      <c r="AC93" s="46">
        <f t="shared" si="155"/>
        <v>0</v>
      </c>
      <c r="AD93" s="46">
        <f t="shared" si="156"/>
        <v>180</v>
      </c>
      <c r="AE93" s="46">
        <f t="shared" si="224"/>
        <v>-180</v>
      </c>
      <c r="AF93" s="46">
        <f t="shared" si="158"/>
        <v>1.1414615141193427</v>
      </c>
      <c r="AG93" s="46">
        <f t="shared" si="159"/>
        <v>876.75118182137919</v>
      </c>
      <c r="AH93" s="47">
        <f>COS(RADIANS(Z93))*COS(RADIANS(AB93-Insolation!$L$6))*SIN(RADIANS(0))+(SIN(RADIANS(Z93))*COS(RADIANS(0)))</f>
        <v>0.87606983470793343</v>
      </c>
      <c r="AI93" s="47">
        <f>COS(RADIANS(Z93))*COS(RADIANS(AB93-Insolation!$L$6))*SIN(RADIANS(Insolation!$L$7))+SIN(RADIANS(Z93))*COS(RADIANS(Insolation!$L$7))</f>
        <v>0.48218424353644557</v>
      </c>
      <c r="AJ93" s="46">
        <f t="shared" si="160"/>
        <v>768.09526293824092</v>
      </c>
      <c r="AK93" s="46">
        <f t="shared" si="161"/>
        <v>111.92739033732435</v>
      </c>
      <c r="AL93" s="46">
        <f t="shared" si="162"/>
        <v>422.75560537622636</v>
      </c>
      <c r="AM93" s="46">
        <f>$X$91*AG93*((1+COS(RADIANS(Insolation!$L$7)))/2)</f>
        <v>55.963695168662177</v>
      </c>
      <c r="AN93" s="46">
        <f t="shared" si="163"/>
        <v>851.50308478280044</v>
      </c>
      <c r="AO93" s="46">
        <f t="shared" si="164"/>
        <v>97.150658754675362</v>
      </c>
      <c r="AP93" s="46">
        <f t="shared" si="165"/>
        <v>876.75118182137919</v>
      </c>
      <c r="AQ93" s="46">
        <f t="shared" si="166"/>
        <v>104.99180034471722</v>
      </c>
      <c r="AS93" s="212"/>
      <c r="AT93" s="212">
        <v>12</v>
      </c>
      <c r="AU93" s="46">
        <f t="shared" si="167"/>
        <v>49.605166783213335</v>
      </c>
      <c r="AV93" s="207">
        <f t="shared" si="135"/>
        <v>0</v>
      </c>
      <c r="AW93" s="46">
        <f t="shared" si="168"/>
        <v>0</v>
      </c>
      <c r="AX93" s="46">
        <f t="shared" si="169"/>
        <v>0</v>
      </c>
      <c r="AY93" s="46">
        <f t="shared" si="170"/>
        <v>180</v>
      </c>
      <c r="AZ93" s="46">
        <f t="shared" si="225"/>
        <v>-180</v>
      </c>
      <c r="BA93" s="46">
        <f t="shared" si="172"/>
        <v>1.3130308128877304</v>
      </c>
      <c r="BB93" s="46">
        <f t="shared" si="173"/>
        <v>888.97357143856107</v>
      </c>
      <c r="BC93" s="47">
        <f>COS(RADIANS(AU93))*COS(RADIANS(AW93-Insolation!$L$6))*SIN(RADIANS(0))+(SIN(RADIANS(AU93))*COS(RADIANS(0)))</f>
        <v>0.76159675019409023</v>
      </c>
      <c r="BD93" s="47">
        <f>COS(RADIANS(AU93))*COS(RADIANS(AW93-Insolation!$L$6))*SIN(RADIANS(Insolation!$L$7))+SIN(RADIANS(AU93))*COS(RADIANS(Insolation!$L$7))</f>
        <v>0.64805122489954492</v>
      </c>
      <c r="BE93" s="46">
        <f t="shared" si="174"/>
        <v>677.03938301604205</v>
      </c>
      <c r="BF93" s="46">
        <f t="shared" si="175"/>
        <v>99.008754434582485</v>
      </c>
      <c r="BG93" s="46">
        <f t="shared" si="176"/>
        <v>576.10041187408262</v>
      </c>
      <c r="BH93" s="46">
        <f>$AS$91*BB93*((1+COS(RADIANS(Insolation!$L$7)))/2)</f>
        <v>49.504377217291243</v>
      </c>
      <c r="BI93" s="46">
        <f t="shared" si="177"/>
        <v>888.30822714507644</v>
      </c>
      <c r="BJ93" s="46">
        <f t="shared" si="178"/>
        <v>85.937550110037819</v>
      </c>
      <c r="BK93" s="46">
        <f t="shared" si="179"/>
        <v>888.97357143856107</v>
      </c>
      <c r="BL93" s="46">
        <f t="shared" si="180"/>
        <v>87.206750026362613</v>
      </c>
      <c r="BN93" s="212"/>
      <c r="BO93" s="212">
        <v>12</v>
      </c>
      <c r="BP93" s="46">
        <f t="shared" si="181"/>
        <v>37.788882765773685</v>
      </c>
      <c r="BQ93" s="207">
        <f t="shared" si="136"/>
        <v>0</v>
      </c>
      <c r="BR93" s="46">
        <f t="shared" si="182"/>
        <v>0</v>
      </c>
      <c r="BS93" s="46">
        <f t="shared" si="183"/>
        <v>0</v>
      </c>
      <c r="BT93" s="46">
        <f t="shared" si="184"/>
        <v>180</v>
      </c>
      <c r="BU93" s="46">
        <f t="shared" si="226"/>
        <v>-180</v>
      </c>
      <c r="BV93" s="46">
        <f t="shared" si="186"/>
        <v>1.6319770191016878</v>
      </c>
      <c r="BW93" s="46">
        <f t="shared" si="187"/>
        <v>890.56630296680828</v>
      </c>
      <c r="BX93" s="47">
        <f>COS(RADIANS(BP93))*COS(RADIANS(BR93-Insolation!$L$6))*SIN(RADIANS(0))+(SIN(RADIANS(BP93))*COS(RADIANS(0)))</f>
        <v>0.61275372648963167</v>
      </c>
      <c r="BY93" s="47">
        <f>COS(RADIANS(BP93))*COS(RADIANS(BR93-Insolation!$L$6))*SIN(RADIANS(Insolation!$L$7))+SIN(RADIANS(BP93))*COS(RADIANS(Insolation!$L$7))</f>
        <v>0.79027392129126317</v>
      </c>
      <c r="BZ93" s="46">
        <f t="shared" si="188"/>
        <v>545.6978208290061</v>
      </c>
      <c r="CA93" s="46">
        <f t="shared" si="189"/>
        <v>81.236149030678746</v>
      </c>
      <c r="CB93" s="46">
        <f t="shared" si="190"/>
        <v>703.79132441544266</v>
      </c>
      <c r="CC93" s="46">
        <f>$BN$91*BW93*((1+COS(RADIANS(Insolation!$L$7)))/2)</f>
        <v>40.618074515339373</v>
      </c>
      <c r="CD93" s="46">
        <f t="shared" si="191"/>
        <v>878.0964078778984</v>
      </c>
      <c r="CE93" s="46">
        <f t="shared" si="192"/>
        <v>70.511296379181587</v>
      </c>
      <c r="CF93" s="46">
        <f t="shared" si="193"/>
        <v>890.56630296680828</v>
      </c>
      <c r="CG93" s="46">
        <f t="shared" si="194"/>
        <v>65.506951037447109</v>
      </c>
      <c r="CI93" s="212"/>
      <c r="CJ93" s="212">
        <v>12</v>
      </c>
      <c r="CK93" s="46">
        <f t="shared" si="195"/>
        <v>28.240462693593273</v>
      </c>
      <c r="CL93" s="207">
        <f t="shared" si="137"/>
        <v>0</v>
      </c>
      <c r="CM93" s="46">
        <f t="shared" si="196"/>
        <v>0</v>
      </c>
      <c r="CN93" s="46">
        <f t="shared" si="197"/>
        <v>0</v>
      </c>
      <c r="CO93" s="46">
        <f t="shared" si="198"/>
        <v>180</v>
      </c>
      <c r="CP93" s="46">
        <f t="shared" si="227"/>
        <v>-180</v>
      </c>
      <c r="CQ93" s="46">
        <f t="shared" si="200"/>
        <v>2.1133917973356211</v>
      </c>
      <c r="CR93" s="46">
        <f t="shared" si="201"/>
        <v>876.01743003092861</v>
      </c>
      <c r="CS93" s="47">
        <f>COS(RADIANS(CK93))*COS(RADIANS(CM93-Insolation!$L$6))*SIN(RADIANS(0))+(SIN(RADIANS(CK93))*COS(RADIANS(0)))</f>
        <v>0.47317302984742921</v>
      </c>
      <c r="CT93" s="47">
        <f>COS(RADIANS(CK93))*COS(RADIANS(CM93-Insolation!$L$6))*SIN(RADIANS(Insolation!$L$7))+SIN(RADIANS(CK93))*COS(RADIANS(Insolation!$L$7))</f>
        <v>0.88096951356162367</v>
      </c>
      <c r="CU93" s="46">
        <f t="shared" si="202"/>
        <v>414.5078215668928</v>
      </c>
      <c r="CV93" s="46">
        <f t="shared" si="203"/>
        <v>62.625250808004886</v>
      </c>
      <c r="CW93" s="46">
        <f t="shared" si="204"/>
        <v>771.74464920585092</v>
      </c>
      <c r="CX93" s="46">
        <f>$CI$91*CR93*((1+COS(RADIANS(Insolation!$L$7)))/2)</f>
        <v>31.312625404002443</v>
      </c>
      <c r="CY93" s="46">
        <f t="shared" si="205"/>
        <v>827.55220113929317</v>
      </c>
      <c r="CZ93" s="46">
        <f t="shared" si="206"/>
        <v>54.357421828011503</v>
      </c>
      <c r="DA93" s="46">
        <f t="shared" si="207"/>
        <v>876.01743003092861</v>
      </c>
      <c r="DB93" s="46">
        <f t="shared" si="208"/>
        <v>46.128915238891864</v>
      </c>
      <c r="DD93" s="212"/>
      <c r="DE93" s="212">
        <v>12</v>
      </c>
      <c r="DF93" s="46">
        <f t="shared" si="209"/>
        <v>24.053060454688648</v>
      </c>
      <c r="DG93" s="207">
        <f t="shared" si="138"/>
        <v>0</v>
      </c>
      <c r="DH93" s="46">
        <f t="shared" si="210"/>
        <v>0</v>
      </c>
      <c r="DI93" s="46">
        <f t="shared" si="211"/>
        <v>0</v>
      </c>
      <c r="DJ93" s="46">
        <f t="shared" si="212"/>
        <v>180</v>
      </c>
      <c r="DK93" s="46">
        <f t="shared" si="228"/>
        <v>-180</v>
      </c>
      <c r="DL93" s="46">
        <f t="shared" si="214"/>
        <v>2.4534911050056434</v>
      </c>
      <c r="DM93" s="46">
        <f t="shared" si="215"/>
        <v>869.09554471510467</v>
      </c>
      <c r="DN93" s="47">
        <f>COS(RADIANS(DF93))*COS(RADIANS(DH93-Insolation!$L$6))*SIN(RADIANS(0))+(SIN(RADIANS(DF93))*COS(RADIANS(0)))</f>
        <v>0.4075824843871606</v>
      </c>
      <c r="DO93" s="47">
        <f>COS(RADIANS(DF93))*COS(RADIANS(DH93-Insolation!$L$6))*SIN(RADIANS(Insolation!$L$7))+SIN(RADIANS(DF93))*COS(RADIANS(Insolation!$L$7))</f>
        <v>0.91316839543470296</v>
      </c>
      <c r="DP93" s="46">
        <f t="shared" si="216"/>
        <v>354.22812128479501</v>
      </c>
      <c r="DQ93" s="46">
        <f t="shared" si="217"/>
        <v>50.907979667461774</v>
      </c>
      <c r="DR93" s="46">
        <f t="shared" si="218"/>
        <v>793.63058404694129</v>
      </c>
      <c r="DS93" s="46">
        <f>$DD$91*DM93*((1+COS(RADIANS(Insolation!$L$7)))/2)</f>
        <v>25.453989833730887</v>
      </c>
      <c r="DT93" s="46">
        <f t="shared" si="219"/>
        <v>798.00619484329957</v>
      </c>
      <c r="DU93" s="46">
        <f t="shared" si="220"/>
        <v>44.187072937715733</v>
      </c>
      <c r="DV93" s="46">
        <f t="shared" si="221"/>
        <v>869.09554471510467</v>
      </c>
      <c r="DW93" s="46">
        <f t="shared" si="222"/>
        <v>35.828590247728449</v>
      </c>
    </row>
    <row r="94" spans="3:127" x14ac:dyDescent="0.25">
      <c r="D94" s="212">
        <v>12.5</v>
      </c>
      <c r="E94" s="46">
        <f t="shared" si="139"/>
        <v>67.991977580398839</v>
      </c>
      <c r="F94" s="207">
        <f t="shared" si="133"/>
        <v>-7.5</v>
      </c>
      <c r="G94" s="46">
        <f t="shared" si="140"/>
        <v>-18.907390776201424</v>
      </c>
      <c r="H94" s="46">
        <f t="shared" si="141"/>
        <v>-18.907390776201424</v>
      </c>
      <c r="I94" s="46">
        <f t="shared" si="142"/>
        <v>198.90739077620142</v>
      </c>
      <c r="J94" s="46">
        <f t="shared" si="223"/>
        <v>-161.09260922379858</v>
      </c>
      <c r="K94" s="46">
        <f t="shared" si="144"/>
        <v>1.0785957702726836</v>
      </c>
      <c r="L94" s="46">
        <f t="shared" si="145"/>
        <v>867.45612034176133</v>
      </c>
      <c r="M94" s="47">
        <f>COS(RADIANS(E94))*COS(RADIANS(G94-Insolation!$L$6))*SIN(RADIANS(0))+(SIN(RADIANS(E94))*COS(RADIANS(0)))</f>
        <v>0.92713139394862121</v>
      </c>
      <c r="N94" s="47">
        <f>COS(RADIANS(E94))*COS(RADIANS(G94-Insolation!$L$6))*SIN(RADIANS(Insolation!$L$7))+SIN(RADIANS(E94))*COS(RADIANS(Insolation!$L$7))</f>
        <v>0.35451697201971361</v>
      </c>
      <c r="O94" s="46">
        <f t="shared" si="146"/>
        <v>804.24580204172014</v>
      </c>
      <c r="P94" s="46">
        <f t="shared" si="147"/>
        <v>116.99064600125746</v>
      </c>
      <c r="Q94" s="46">
        <f t="shared" si="148"/>
        <v>307.52791714352952</v>
      </c>
      <c r="R94" s="46">
        <f>$C$91*L94*((1+COS(RADIANS(Insolation!$L$7)))/2)</f>
        <v>58.49532300062873</v>
      </c>
      <c r="S94" s="46">
        <f t="shared" si="149"/>
        <v>807.00018243156489</v>
      </c>
      <c r="T94" s="46">
        <f t="shared" si="150"/>
        <v>100.90850591832726</v>
      </c>
      <c r="U94" s="46">
        <f t="shared" si="151"/>
        <v>867.45612034176133</v>
      </c>
      <c r="V94" s="46">
        <f t="shared" si="152"/>
        <v>112.72817335367648</v>
      </c>
      <c r="Y94" s="212">
        <v>12.5</v>
      </c>
      <c r="Z94" s="46">
        <f t="shared" si="153"/>
        <v>60.453401489528794</v>
      </c>
      <c r="AA94" s="207">
        <f t="shared" si="134"/>
        <v>-7.5</v>
      </c>
      <c r="AB94" s="46">
        <f t="shared" si="154"/>
        <v>-14.896052725983379</v>
      </c>
      <c r="AC94" s="46">
        <f t="shared" si="155"/>
        <v>-14.896052725983379</v>
      </c>
      <c r="AD94" s="46">
        <f t="shared" si="156"/>
        <v>194.89605272598337</v>
      </c>
      <c r="AE94" s="46">
        <f t="shared" si="224"/>
        <v>-165.10394727401663</v>
      </c>
      <c r="AF94" s="46">
        <f t="shared" si="158"/>
        <v>1.149484847429453</v>
      </c>
      <c r="AG94" s="46">
        <f t="shared" si="159"/>
        <v>875.327305189659</v>
      </c>
      <c r="AH94" s="47">
        <f>COS(RADIANS(Z94))*COS(RADIANS(AB94-Insolation!$L$6))*SIN(RADIANS(0))+(SIN(RADIANS(Z94))*COS(RADIANS(0)))</f>
        <v>0.8699549213165011</v>
      </c>
      <c r="AI94" s="47">
        <f>COS(RADIANS(Z94))*COS(RADIANS(AB94-Insolation!$L$6))*SIN(RADIANS(Insolation!$L$7))+SIN(RADIANS(Z94))*COS(RADIANS(Insolation!$L$7))</f>
        <v>0.47655898351992504</v>
      </c>
      <c r="AJ94" s="46">
        <f t="shared" si="160"/>
        <v>761.49529691245471</v>
      </c>
      <c r="AK94" s="46">
        <f t="shared" si="161"/>
        <v>111.74561607929637</v>
      </c>
      <c r="AL94" s="46">
        <f t="shared" si="162"/>
        <v>417.14509080841913</v>
      </c>
      <c r="AM94" s="46">
        <f>$X$91*AG94*((1+COS(RADIANS(Insolation!$L$7)))/2)</f>
        <v>55.872808039648184</v>
      </c>
      <c r="AN94" s="46">
        <f t="shared" si="163"/>
        <v>850.12021200270203</v>
      </c>
      <c r="AO94" s="46">
        <f t="shared" si="164"/>
        <v>96.515337624640651</v>
      </c>
      <c r="AP94" s="46">
        <f t="shared" si="165"/>
        <v>875.327305189659</v>
      </c>
      <c r="AQ94" s="46">
        <f t="shared" si="166"/>
        <v>104.4796323615123</v>
      </c>
      <c r="AT94" s="212">
        <v>12.5</v>
      </c>
      <c r="AU94" s="46">
        <f t="shared" si="167"/>
        <v>49.052047643640229</v>
      </c>
      <c r="AV94" s="207">
        <f t="shared" si="135"/>
        <v>-7.5</v>
      </c>
      <c r="AW94" s="46">
        <f t="shared" si="168"/>
        <v>-11.479312020272335</v>
      </c>
      <c r="AX94" s="46">
        <f t="shared" si="169"/>
        <v>-11.479312020272335</v>
      </c>
      <c r="AY94" s="46">
        <f t="shared" si="170"/>
        <v>191.47931202027235</v>
      </c>
      <c r="AZ94" s="46">
        <f t="shared" si="225"/>
        <v>-168.52068797972765</v>
      </c>
      <c r="BA94" s="46">
        <f t="shared" si="172"/>
        <v>1.3239680518864858</v>
      </c>
      <c r="BB94" s="46">
        <f t="shared" si="173"/>
        <v>887.1443638320311</v>
      </c>
      <c r="BC94" s="47">
        <f>COS(RADIANS(AU94))*COS(RADIANS(AW94-Insolation!$L$6))*SIN(RADIANS(0))+(SIN(RADIANS(AU94))*COS(RADIANS(0)))</f>
        <v>0.75530523457505439</v>
      </c>
      <c r="BD94" s="47">
        <f>COS(RADIANS(AU94))*COS(RADIANS(AW94-Insolation!$L$6))*SIN(RADIANS(Insolation!$L$7))+SIN(RADIANS(AU94))*COS(RADIANS(Insolation!$L$7))</f>
        <v>0.64226350412746269</v>
      </c>
      <c r="BE94" s="46">
        <f t="shared" si="174"/>
        <v>670.06478182608964</v>
      </c>
      <c r="BF94" s="46">
        <f t="shared" si="175"/>
        <v>98.805027830616382</v>
      </c>
      <c r="BG94" s="46">
        <f t="shared" si="176"/>
        <v>569.78044778168896</v>
      </c>
      <c r="BH94" s="46">
        <f>$AS$91*BB94*((1+COS(RADIANS(Insolation!$L$7)))/2)</f>
        <v>49.402513915308191</v>
      </c>
      <c r="BI94" s="46">
        <f t="shared" si="177"/>
        <v>886.48038859256758</v>
      </c>
      <c r="BJ94" s="46">
        <f t="shared" si="178"/>
        <v>85.436143292556494</v>
      </c>
      <c r="BK94" s="46">
        <f t="shared" si="179"/>
        <v>887.1443638320311</v>
      </c>
      <c r="BL94" s="46">
        <f t="shared" si="180"/>
        <v>86.71649127670743</v>
      </c>
      <c r="BO94" s="212">
        <v>12.5</v>
      </c>
      <c r="BP94" s="46">
        <f t="shared" si="181"/>
        <v>37.340148585980494</v>
      </c>
      <c r="BQ94" s="207">
        <f t="shared" si="136"/>
        <v>-7.5</v>
      </c>
      <c r="BR94" s="46">
        <f t="shared" si="182"/>
        <v>-9.3157473622783282</v>
      </c>
      <c r="BS94" s="46">
        <f t="shared" si="183"/>
        <v>-9.3157473622783282</v>
      </c>
      <c r="BT94" s="46">
        <f t="shared" si="184"/>
        <v>189.31574736227833</v>
      </c>
      <c r="BU94" s="46">
        <f t="shared" si="226"/>
        <v>-170.68425263772167</v>
      </c>
      <c r="BV94" s="46">
        <f t="shared" si="186"/>
        <v>1.6486804977536569</v>
      </c>
      <c r="BW94" s="46">
        <f t="shared" si="187"/>
        <v>888.03079265062684</v>
      </c>
      <c r="BX94" s="47">
        <f>COS(RADIANS(BP94))*COS(RADIANS(BR94-Insolation!$L$6))*SIN(RADIANS(0))+(SIN(RADIANS(BP94))*COS(RADIANS(0)))</f>
        <v>0.6065456596123443</v>
      </c>
      <c r="BY94" s="47">
        <f>COS(RADIANS(BP94))*COS(RADIANS(BR94-Insolation!$L$6))*SIN(RADIANS(Insolation!$L$7))+SIN(RADIANS(BP94))*COS(RADIANS(Insolation!$L$7))</f>
        <v>0.78456296707993778</v>
      </c>
      <c r="BZ94" s="46">
        <f t="shared" si="188"/>
        <v>538.63122288434738</v>
      </c>
      <c r="CA94" s="46">
        <f t="shared" si="189"/>
        <v>81.00486350681831</v>
      </c>
      <c r="CB94" s="46">
        <f t="shared" si="190"/>
        <v>696.71607354032483</v>
      </c>
      <c r="CC94" s="46">
        <f>$BN$91*BW94*((1+COS(RADIANS(Insolation!$L$7)))/2)</f>
        <v>40.502431753409155</v>
      </c>
      <c r="CD94" s="46">
        <f t="shared" si="191"/>
        <v>875.59640030590833</v>
      </c>
      <c r="CE94" s="46">
        <f t="shared" si="192"/>
        <v>70.09487338440259</v>
      </c>
      <c r="CF94" s="46">
        <f t="shared" si="193"/>
        <v>888.03079265062684</v>
      </c>
      <c r="CG94" s="46">
        <f t="shared" si="194"/>
        <v>65.06900593718467</v>
      </c>
      <c r="CJ94" s="212">
        <v>12.5</v>
      </c>
      <c r="CK94" s="46">
        <f t="shared" si="195"/>
        <v>27.854324444351061</v>
      </c>
      <c r="CL94" s="207">
        <f t="shared" si="137"/>
        <v>-7.5</v>
      </c>
      <c r="CM94" s="46">
        <f t="shared" si="196"/>
        <v>-8.016793529794068</v>
      </c>
      <c r="CN94" s="46">
        <f t="shared" si="197"/>
        <v>-8.016793529794068</v>
      </c>
      <c r="CO94" s="46">
        <f t="shared" si="198"/>
        <v>188.01679352979406</v>
      </c>
      <c r="CP94" s="46">
        <f t="shared" si="227"/>
        <v>-171.98320647020594</v>
      </c>
      <c r="CQ94" s="46">
        <f t="shared" si="200"/>
        <v>2.1402958009289961</v>
      </c>
      <c r="CR94" s="46">
        <f t="shared" si="201"/>
        <v>872.40884553543822</v>
      </c>
      <c r="CS94" s="47">
        <f>COS(RADIANS(CK94))*COS(RADIANS(CM94-Insolation!$L$6))*SIN(RADIANS(0))+(SIN(RADIANS(CK94))*COS(RADIANS(0)))</f>
        <v>0.46722513755619655</v>
      </c>
      <c r="CT94" s="47">
        <f>COS(RADIANS(CK94))*COS(RADIANS(CM94-Insolation!$L$6))*SIN(RADIANS(Insolation!$L$7))+SIN(RADIANS(CK94))*COS(RADIANS(Insolation!$L$7))</f>
        <v>0.8754979003846779</v>
      </c>
      <c r="CU94" s="46">
        <f t="shared" si="202"/>
        <v>407.61134286053772</v>
      </c>
      <c r="CV94" s="46">
        <f t="shared" si="203"/>
        <v>62.36727819085732</v>
      </c>
      <c r="CW94" s="46">
        <f t="shared" si="204"/>
        <v>763.79211254329698</v>
      </c>
      <c r="CX94" s="46">
        <f>$CI$91*CR94*((1+COS(RADIANS(Insolation!$L$7)))/2)</f>
        <v>31.18363909542866</v>
      </c>
      <c r="CY94" s="46">
        <f t="shared" si="205"/>
        <v>824.14325978736736</v>
      </c>
      <c r="CZ94" s="46">
        <f t="shared" si="206"/>
        <v>53.990703942295127</v>
      </c>
      <c r="DA94" s="46">
        <f t="shared" si="207"/>
        <v>872.40884553543822</v>
      </c>
      <c r="DB94" s="46">
        <f t="shared" si="208"/>
        <v>45.75341916129311</v>
      </c>
      <c r="DE94" s="212">
        <v>12.5</v>
      </c>
      <c r="DF94" s="46">
        <f t="shared" si="209"/>
        <v>23.690832866275606</v>
      </c>
      <c r="DG94" s="207">
        <f t="shared" si="138"/>
        <v>-7.5</v>
      </c>
      <c r="DH94" s="46">
        <f t="shared" si="210"/>
        <v>-7.5203975185005856</v>
      </c>
      <c r="DI94" s="46">
        <f t="shared" si="211"/>
        <v>-7.5203975185005856</v>
      </c>
      <c r="DJ94" s="46">
        <f t="shared" si="212"/>
        <v>187.52039751850057</v>
      </c>
      <c r="DK94" s="46">
        <f t="shared" si="228"/>
        <v>-172.47960248149943</v>
      </c>
      <c r="DL94" s="46">
        <f t="shared" si="214"/>
        <v>2.4887925406766773</v>
      </c>
      <c r="DM94" s="46">
        <f t="shared" si="215"/>
        <v>864.74590737537369</v>
      </c>
      <c r="DN94" s="47">
        <f>COS(RADIANS(DF94))*COS(RADIANS(DH94-Insolation!$L$6))*SIN(RADIANS(0))+(SIN(RADIANS(DF94))*COS(RADIANS(0)))</f>
        <v>0.4018012685493304</v>
      </c>
      <c r="DO94" s="47">
        <f>COS(RADIANS(DF94))*COS(RADIANS(DH94-Insolation!$L$6))*SIN(RADIANS(Insolation!$L$7))+SIN(RADIANS(DF94))*COS(RADIANS(Insolation!$L$7))</f>
        <v>0.90785011204822241</v>
      </c>
      <c r="DP94" s="46">
        <f t="shared" si="216"/>
        <v>347.45600255626692</v>
      </c>
      <c r="DQ94" s="46">
        <f t="shared" si="217"/>
        <v>50.653196116218915</v>
      </c>
      <c r="DR94" s="46">
        <f t="shared" si="218"/>
        <v>785.05966890397474</v>
      </c>
      <c r="DS94" s="46">
        <f>$DD$91*DM94*((1+COS(RADIANS(Insolation!$L$7)))/2)</f>
        <v>25.326598058109457</v>
      </c>
      <c r="DT94" s="46">
        <f t="shared" si="219"/>
        <v>794.01234449677077</v>
      </c>
      <c r="DU94" s="46">
        <f t="shared" si="220"/>
        <v>43.857151284410349</v>
      </c>
      <c r="DV94" s="46">
        <f t="shared" si="221"/>
        <v>864.74590737537369</v>
      </c>
      <c r="DW94" s="46">
        <f t="shared" si="222"/>
        <v>35.502857285896845</v>
      </c>
    </row>
    <row r="95" spans="3:127" x14ac:dyDescent="0.25">
      <c r="D95" s="212">
        <v>13</v>
      </c>
      <c r="E95" s="46">
        <f t="shared" si="139"/>
        <v>65.458318336698667</v>
      </c>
      <c r="F95" s="207">
        <f t="shared" si="133"/>
        <v>-15</v>
      </c>
      <c r="G95" s="46">
        <f t="shared" si="140"/>
        <v>-35.429396761505579</v>
      </c>
      <c r="H95" s="46">
        <f t="shared" si="141"/>
        <v>-35.429396761505579</v>
      </c>
      <c r="I95" s="46">
        <f t="shared" si="142"/>
        <v>215.42939676150559</v>
      </c>
      <c r="J95" s="46">
        <f t="shared" si="223"/>
        <v>-144.57060323849441</v>
      </c>
      <c r="K95" s="46">
        <f t="shared" si="144"/>
        <v>1.0993126185642672</v>
      </c>
      <c r="L95" s="46">
        <f t="shared" si="145"/>
        <v>863.71040230982237</v>
      </c>
      <c r="M95" s="47">
        <f>COS(RADIANS(E95))*COS(RADIANS(G95-Insolation!$L$6))*SIN(RADIANS(0))+(SIN(RADIANS(E95))*COS(RADIANS(0)))</f>
        <v>0.90965934813522631</v>
      </c>
      <c r="N95" s="47">
        <f>COS(RADIANS(E95))*COS(RADIANS(G95-Insolation!$L$6))*SIN(RADIANS(Insolation!$L$7))+SIN(RADIANS(E95))*COS(RADIANS(Insolation!$L$7))</f>
        <v>0.33844400508961503</v>
      </c>
      <c r="O95" s="46">
        <f t="shared" si="146"/>
        <v>785.68224154276709</v>
      </c>
      <c r="P95" s="46">
        <f t="shared" si="147"/>
        <v>116.48547465942353</v>
      </c>
      <c r="Q95" s="46">
        <f t="shared" si="148"/>
        <v>292.31760779529895</v>
      </c>
      <c r="R95" s="46">
        <f>$C$91*L95*((1+COS(RADIANS(Insolation!$L$7)))/2)</f>
        <v>58.242737329711765</v>
      </c>
      <c r="S95" s="46">
        <f t="shared" si="149"/>
        <v>803.51551610179013</v>
      </c>
      <c r="T95" s="46">
        <f t="shared" si="150"/>
        <v>98.658365445646581</v>
      </c>
      <c r="U95" s="46">
        <f t="shared" si="151"/>
        <v>863.71040230982237</v>
      </c>
      <c r="V95" s="46">
        <f t="shared" si="152"/>
        <v>111.22378780266858</v>
      </c>
      <c r="Y95" s="212">
        <v>13</v>
      </c>
      <c r="Z95" s="46">
        <f t="shared" si="153"/>
        <v>58.398674189281046</v>
      </c>
      <c r="AA95" s="207">
        <f t="shared" si="134"/>
        <v>-15</v>
      </c>
      <c r="AB95" s="46">
        <f t="shared" si="154"/>
        <v>-28.665841925723978</v>
      </c>
      <c r="AC95" s="46">
        <f t="shared" si="155"/>
        <v>-28.665841925723978</v>
      </c>
      <c r="AD95" s="46">
        <f t="shared" si="156"/>
        <v>208.66584192572398</v>
      </c>
      <c r="AE95" s="46">
        <f t="shared" si="224"/>
        <v>-151.33415807427602</v>
      </c>
      <c r="AF95" s="46">
        <f t="shared" si="158"/>
        <v>1.1741019287517174</v>
      </c>
      <c r="AG95" s="46">
        <f t="shared" si="159"/>
        <v>870.973002082167</v>
      </c>
      <c r="AH95" s="47">
        <f>COS(RADIANS(Z95))*COS(RADIANS(AB95-Insolation!$L$6))*SIN(RADIANS(0))+(SIN(RADIANS(Z95))*COS(RADIANS(0)))</f>
        <v>0.85171480900570595</v>
      </c>
      <c r="AI95" s="47">
        <f>COS(RADIANS(Z95))*COS(RADIANS(AB95-Insolation!$L$6))*SIN(RADIANS(Insolation!$L$7))+SIN(RADIANS(Z95))*COS(RADIANS(Insolation!$L$7))</f>
        <v>0.45977945322886277</v>
      </c>
      <c r="AJ95" s="46">
        <f t="shared" si="160"/>
        <v>741.82060411753923</v>
      </c>
      <c r="AK95" s="46">
        <f t="shared" si="161"/>
        <v>111.18973911709277</v>
      </c>
      <c r="AL95" s="46">
        <f t="shared" si="162"/>
        <v>400.45549067443989</v>
      </c>
      <c r="AM95" s="46">
        <f>$X$91*AG95*((1+COS(RADIANS(Insolation!$L$7)))/2)</f>
        <v>55.594869558546385</v>
      </c>
      <c r="AN95" s="46">
        <f t="shared" si="163"/>
        <v>845.89130121822348</v>
      </c>
      <c r="AO95" s="46">
        <f t="shared" si="164"/>
        <v>94.641414933520949</v>
      </c>
      <c r="AP95" s="46">
        <f t="shared" si="165"/>
        <v>870.973002082167</v>
      </c>
      <c r="AQ95" s="46">
        <f t="shared" si="166"/>
        <v>102.94584326630086</v>
      </c>
      <c r="AT95" s="212">
        <v>13</v>
      </c>
      <c r="AU95" s="46">
        <f t="shared" si="167"/>
        <v>47.437363924088558</v>
      </c>
      <c r="AV95" s="207">
        <f t="shared" si="135"/>
        <v>-15</v>
      </c>
      <c r="AW95" s="46">
        <f t="shared" si="168"/>
        <v>-22.479818301301112</v>
      </c>
      <c r="AX95" s="46">
        <f t="shared" si="169"/>
        <v>-22.479818301301112</v>
      </c>
      <c r="AY95" s="46">
        <f t="shared" si="170"/>
        <v>202.47981830130112</v>
      </c>
      <c r="AZ95" s="46">
        <f t="shared" si="225"/>
        <v>-157.52018169869888</v>
      </c>
      <c r="BA95" s="46">
        <f t="shared" si="172"/>
        <v>1.3577025788952526</v>
      </c>
      <c r="BB95" s="46">
        <f t="shared" si="173"/>
        <v>881.52607926091321</v>
      </c>
      <c r="BC95" s="47">
        <f>COS(RADIANS(AU95))*COS(RADIANS(AW95-Insolation!$L$6))*SIN(RADIANS(0))+(SIN(RADIANS(AU95))*COS(RADIANS(0)))</f>
        <v>0.73653833729452645</v>
      </c>
      <c r="BD95" s="47">
        <f>COS(RADIANS(AU95))*COS(RADIANS(AW95-Insolation!$L$6))*SIN(RADIANS(Insolation!$L$7))+SIN(RADIANS(AU95))*COS(RADIANS(Insolation!$L$7))</f>
        <v>0.62499937131828531</v>
      </c>
      <c r="BE95" s="46">
        <f t="shared" si="174"/>
        <v>649.2777527005959</v>
      </c>
      <c r="BF95" s="46">
        <f t="shared" si="175"/>
        <v>98.179295665659822</v>
      </c>
      <c r="BG95" s="46">
        <f t="shared" si="176"/>
        <v>550.95324533874373</v>
      </c>
      <c r="BH95" s="46">
        <f>$AS$91*BB95*((1+COS(RADIANS(Insolation!$L$7)))/2)</f>
        <v>49.089647832829911</v>
      </c>
      <c r="BI95" s="46">
        <f t="shared" si="177"/>
        <v>880.86630897612849</v>
      </c>
      <c r="BJ95" s="46">
        <f t="shared" si="178"/>
        <v>83.93458550687194</v>
      </c>
      <c r="BK95" s="46">
        <f t="shared" si="179"/>
        <v>881.52607926091321</v>
      </c>
      <c r="BL95" s="46">
        <f t="shared" si="180"/>
        <v>85.246055425996303</v>
      </c>
      <c r="BO95" s="212">
        <v>13</v>
      </c>
      <c r="BP95" s="46">
        <f t="shared" si="181"/>
        <v>36.017171009689278</v>
      </c>
      <c r="BQ95" s="207">
        <f t="shared" si="136"/>
        <v>-15</v>
      </c>
      <c r="BR95" s="46">
        <f t="shared" si="182"/>
        <v>-18.391428942955681</v>
      </c>
      <c r="BS95" s="46">
        <f t="shared" si="183"/>
        <v>-18.391428942955681</v>
      </c>
      <c r="BT95" s="46">
        <f t="shared" si="184"/>
        <v>198.39142894295568</v>
      </c>
      <c r="BU95" s="46">
        <f t="shared" si="226"/>
        <v>-161.60857105704432</v>
      </c>
      <c r="BV95" s="46">
        <f t="shared" si="186"/>
        <v>1.7006002145433738</v>
      </c>
      <c r="BW95" s="46">
        <f t="shared" si="187"/>
        <v>880.19562096801417</v>
      </c>
      <c r="BX95" s="47">
        <f>COS(RADIANS(BP95))*COS(RADIANS(BR95-Insolation!$L$6))*SIN(RADIANS(0))+(SIN(RADIANS(BP95))*COS(RADIANS(0)))</f>
        <v>0.58802768072595402</v>
      </c>
      <c r="BY95" s="47">
        <f>COS(RADIANS(BP95))*COS(RADIANS(BR95-Insolation!$L$6))*SIN(RADIANS(Insolation!$L$7))+SIN(RADIANS(BP95))*COS(RADIANS(Insolation!$L$7))</f>
        <v>0.76752782045589285</v>
      </c>
      <c r="BZ95" s="46">
        <f t="shared" si="188"/>
        <v>517.57938958296222</v>
      </c>
      <c r="CA95" s="46">
        <f t="shared" si="189"/>
        <v>80.29015066357546</v>
      </c>
      <c r="CB95" s="46">
        <f t="shared" si="190"/>
        <v>675.57462653640107</v>
      </c>
      <c r="CC95" s="46">
        <f>$BN$91*BW95*((1+COS(RADIANS(Insolation!$L$7)))/2)</f>
        <v>40.14507533178773</v>
      </c>
      <c r="CD95" s="46">
        <f t="shared" si="191"/>
        <v>867.87093833110771</v>
      </c>
      <c r="CE95" s="46">
        <f t="shared" si="192"/>
        <v>68.83575590808266</v>
      </c>
      <c r="CF95" s="46">
        <f t="shared" si="193"/>
        <v>880.19562096801417</v>
      </c>
      <c r="CG95" s="46">
        <f t="shared" si="194"/>
        <v>63.751490871707574</v>
      </c>
      <c r="CJ95" s="212">
        <v>13</v>
      </c>
      <c r="CK95" s="46">
        <f t="shared" si="195"/>
        <v>26.710533406868461</v>
      </c>
      <c r="CL95" s="207">
        <f t="shared" si="137"/>
        <v>-15</v>
      </c>
      <c r="CM95" s="46">
        <f t="shared" si="196"/>
        <v>-15.885016028529639</v>
      </c>
      <c r="CN95" s="46">
        <f t="shared" si="197"/>
        <v>-15.885016028529639</v>
      </c>
      <c r="CO95" s="46">
        <f t="shared" si="198"/>
        <v>195.88501602852963</v>
      </c>
      <c r="CP95" s="46">
        <f t="shared" si="227"/>
        <v>-164.11498397147037</v>
      </c>
      <c r="CQ95" s="46">
        <f t="shared" si="200"/>
        <v>2.224777103007566</v>
      </c>
      <c r="CR95" s="46">
        <f t="shared" si="201"/>
        <v>861.17386448950651</v>
      </c>
      <c r="CS95" s="47">
        <f>COS(RADIANS(CK95))*COS(RADIANS(CM95-Insolation!$L$6))*SIN(RADIANS(0))+(SIN(RADIANS(CK95))*COS(RADIANS(0)))</f>
        <v>0.4494832307686687</v>
      </c>
      <c r="CT95" s="47">
        <f>COS(RADIANS(CK95))*COS(RADIANS(CM95-Insolation!$L$6))*SIN(RADIANS(Insolation!$L$7))+SIN(RADIANS(CK95))*COS(RADIANS(Insolation!$L$7))</f>
        <v>0.85917668167231631</v>
      </c>
      <c r="CU95" s="46">
        <f t="shared" si="202"/>
        <v>387.0832108642831</v>
      </c>
      <c r="CV95" s="46">
        <f t="shared" si="203"/>
        <v>61.564105238237175</v>
      </c>
      <c r="CW95" s="46">
        <f t="shared" si="204"/>
        <v>739.90050323501919</v>
      </c>
      <c r="CX95" s="46">
        <f>$CI$91*CR95*((1+COS(RADIANS(Insolation!$L$7)))/2)</f>
        <v>30.782052619118588</v>
      </c>
      <c r="CY95" s="46">
        <f t="shared" si="205"/>
        <v>813.52984848344988</v>
      </c>
      <c r="CZ95" s="46">
        <f t="shared" si="206"/>
        <v>52.871876518228127</v>
      </c>
      <c r="DA95" s="46">
        <f t="shared" si="207"/>
        <v>861.17386448950651</v>
      </c>
      <c r="DB95" s="46">
        <f t="shared" si="208"/>
        <v>44.618069080051178</v>
      </c>
      <c r="DE95" s="212">
        <v>13</v>
      </c>
      <c r="DF95" s="46">
        <f t="shared" si="209"/>
        <v>22.616212439026366</v>
      </c>
      <c r="DG95" s="207">
        <f t="shared" si="138"/>
        <v>-15</v>
      </c>
      <c r="DH95" s="46">
        <f t="shared" si="210"/>
        <v>-14.918549282841902</v>
      </c>
      <c r="DI95" s="46">
        <f t="shared" si="211"/>
        <v>-14.918549282841902</v>
      </c>
      <c r="DJ95" s="46">
        <f t="shared" si="212"/>
        <v>194.91854928284189</v>
      </c>
      <c r="DK95" s="46">
        <f t="shared" si="228"/>
        <v>-165.08145071715811</v>
      </c>
      <c r="DL95" s="46">
        <f t="shared" si="214"/>
        <v>2.6003978555973366</v>
      </c>
      <c r="DM95" s="46">
        <f t="shared" si="215"/>
        <v>851.13723718771223</v>
      </c>
      <c r="DN95" s="47">
        <f>COS(RADIANS(DF95))*COS(RADIANS(DH95-Insolation!$L$6))*SIN(RADIANS(0))+(SIN(RADIANS(DF95))*COS(RADIANS(0)))</f>
        <v>0.38455653924168087</v>
      </c>
      <c r="DO95" s="47">
        <f>COS(RADIANS(DF95))*COS(RADIANS(DH95-Insolation!$L$6))*SIN(RADIANS(Insolation!$L$7))+SIN(RADIANS(DF95))*COS(RADIANS(Insolation!$L$7))</f>
        <v>0.89198625919203012</v>
      </c>
      <c r="DP95" s="46">
        <f t="shared" si="216"/>
        <v>327.31039035263228</v>
      </c>
      <c r="DQ95" s="46">
        <f t="shared" si="217"/>
        <v>49.856057171683467</v>
      </c>
      <c r="DR95" s="46">
        <f t="shared" si="218"/>
        <v>759.20272025810709</v>
      </c>
      <c r="DS95" s="46">
        <f>$DD$91*DM95*((1+COS(RADIANS(Insolation!$L$7)))/2)</f>
        <v>24.928028585841734</v>
      </c>
      <c r="DT95" s="46">
        <f t="shared" si="219"/>
        <v>781.51682179000898</v>
      </c>
      <c r="DU95" s="46">
        <f t="shared" si="220"/>
        <v>42.845066573279631</v>
      </c>
      <c r="DV95" s="46">
        <f t="shared" si="221"/>
        <v>851.13723718771223</v>
      </c>
      <c r="DW95" s="46">
        <f t="shared" si="222"/>
        <v>34.514264988930726</v>
      </c>
    </row>
    <row r="96" spans="3:127" x14ac:dyDescent="0.25">
      <c r="D96" s="212">
        <v>13.5</v>
      </c>
      <c r="E96" s="46">
        <f t="shared" si="139"/>
        <v>61.747687106175135</v>
      </c>
      <c r="F96" s="207">
        <f t="shared" si="133"/>
        <v>-22.5</v>
      </c>
      <c r="G96" s="46">
        <f t="shared" si="140"/>
        <v>-48.773068874990614</v>
      </c>
      <c r="H96" s="46">
        <f t="shared" si="141"/>
        <v>-48.773068874990614</v>
      </c>
      <c r="I96" s="46">
        <f t="shared" si="142"/>
        <v>228.7730688749906</v>
      </c>
      <c r="J96" s="46">
        <f t="shared" si="223"/>
        <v>-131.2269311250094</v>
      </c>
      <c r="K96" s="46">
        <f t="shared" si="144"/>
        <v>1.1352391939359026</v>
      </c>
      <c r="L96" s="46">
        <f t="shared" si="145"/>
        <v>857.25298812838162</v>
      </c>
      <c r="M96" s="47">
        <f>COS(RADIANS(E96))*COS(RADIANS(G96-Insolation!$L$6))*SIN(RADIANS(0))+(SIN(RADIANS(E96))*COS(RADIANS(0)))</f>
        <v>0.88087163070275531</v>
      </c>
      <c r="N96" s="47">
        <f>COS(RADIANS(E96))*COS(RADIANS(G96-Insolation!$L$6))*SIN(RADIANS(Insolation!$L$7))+SIN(RADIANS(E96))*COS(RADIANS(Insolation!$L$7))</f>
        <v>0.31196147206360952</v>
      </c>
      <c r="O96" s="46">
        <f t="shared" si="146"/>
        <v>755.12983757745724</v>
      </c>
      <c r="P96" s="46">
        <f t="shared" si="147"/>
        <v>115.6145867391368</v>
      </c>
      <c r="Q96" s="46">
        <f t="shared" si="148"/>
        <v>267.4299041074579</v>
      </c>
      <c r="R96" s="46">
        <f>$C$91*L96*((1+COS(RADIANS(Insolation!$L$7)))/2)</f>
        <v>57.807293369568399</v>
      </c>
      <c r="S96" s="46">
        <f t="shared" si="149"/>
        <v>797.5081408579498</v>
      </c>
      <c r="T96" s="46">
        <f t="shared" si="150"/>
        <v>95.142839035828047</v>
      </c>
      <c r="U96" s="46">
        <f t="shared" si="151"/>
        <v>857.25298812838162</v>
      </c>
      <c r="V96" s="46">
        <f t="shared" si="152"/>
        <v>108.72809814653269</v>
      </c>
      <c r="Y96" s="212">
        <v>13.5</v>
      </c>
      <c r="Z96" s="46">
        <f t="shared" si="153"/>
        <v>55.251472960591222</v>
      </c>
      <c r="AA96" s="207">
        <f t="shared" si="134"/>
        <v>-22.5</v>
      </c>
      <c r="AB96" s="46">
        <f t="shared" si="154"/>
        <v>-40.697741295432863</v>
      </c>
      <c r="AC96" s="46">
        <f t="shared" si="155"/>
        <v>-40.697741295432863</v>
      </c>
      <c r="AD96" s="46">
        <f t="shared" si="156"/>
        <v>220.69774129543288</v>
      </c>
      <c r="AE96" s="46">
        <f t="shared" si="224"/>
        <v>-139.30225870456712</v>
      </c>
      <c r="AF96" s="46">
        <f t="shared" si="158"/>
        <v>1.2170460573618436</v>
      </c>
      <c r="AG96" s="46">
        <f t="shared" si="159"/>
        <v>863.42877361499086</v>
      </c>
      <c r="AH96" s="47">
        <f>COS(RADIANS(Z96))*COS(RADIANS(AB96-Insolation!$L$6))*SIN(RADIANS(0))+(SIN(RADIANS(Z96))*COS(RADIANS(0)))</f>
        <v>0.82166159115430015</v>
      </c>
      <c r="AI96" s="47">
        <f>COS(RADIANS(Z96))*COS(RADIANS(AB96-Insolation!$L$6))*SIN(RADIANS(Insolation!$L$7))+SIN(RADIANS(Z96))*COS(RADIANS(Insolation!$L$7))</f>
        <v>0.4321327550787033</v>
      </c>
      <c r="AJ96" s="46">
        <f t="shared" si="160"/>
        <v>709.44625997689946</v>
      </c>
      <c r="AK96" s="46">
        <f t="shared" si="161"/>
        <v>110.226631428221</v>
      </c>
      <c r="AL96" s="46">
        <f t="shared" si="162"/>
        <v>373.115854756472</v>
      </c>
      <c r="AM96" s="46">
        <f>$X$91*AG96*((1+COS(RADIANS(Insolation!$L$7)))/2)</f>
        <v>55.113315714110499</v>
      </c>
      <c r="AN96" s="46">
        <f t="shared" si="163"/>
        <v>838.56432642160951</v>
      </c>
      <c r="AO96" s="46">
        <f t="shared" si="164"/>
        <v>91.609378528242814</v>
      </c>
      <c r="AP96" s="46">
        <f t="shared" si="165"/>
        <v>863.42877361499086</v>
      </c>
      <c r="AQ96" s="46">
        <f t="shared" si="166"/>
        <v>100.39781039755583</v>
      </c>
      <c r="AT96" s="212">
        <v>13.5</v>
      </c>
      <c r="AU96" s="46">
        <f t="shared" si="167"/>
        <v>44.879425476267492</v>
      </c>
      <c r="AV96" s="207">
        <f t="shared" si="135"/>
        <v>-22.5</v>
      </c>
      <c r="AW96" s="46">
        <f t="shared" si="168"/>
        <v>-32.660263626921299</v>
      </c>
      <c r="AX96" s="46">
        <f t="shared" si="169"/>
        <v>-32.660263626921299</v>
      </c>
      <c r="AY96" s="46">
        <f t="shared" si="170"/>
        <v>212.66026362692131</v>
      </c>
      <c r="AZ96" s="46">
        <f t="shared" si="225"/>
        <v>-147.33973637307869</v>
      </c>
      <c r="BA96" s="46">
        <f t="shared" si="172"/>
        <v>1.4171990838143911</v>
      </c>
      <c r="BB96" s="46">
        <f t="shared" si="173"/>
        <v>871.70386417869895</v>
      </c>
      <c r="BC96" s="47">
        <f>COS(RADIANS(AU96))*COS(RADIANS(AW96-Insolation!$L$6))*SIN(RADIANS(0))+(SIN(RADIANS(AU96))*COS(RADIANS(0)))</f>
        <v>0.70561716516814288</v>
      </c>
      <c r="BD96" s="47">
        <f>COS(RADIANS(AU96))*COS(RADIANS(AW96-Insolation!$L$6))*SIN(RADIANS(Insolation!$L$7))+SIN(RADIANS(AU96))*COS(RADIANS(Insolation!$L$7))</f>
        <v>0.59655422057090024</v>
      </c>
      <c r="BE96" s="46">
        <f t="shared" si="174"/>
        <v>615.08920950788945</v>
      </c>
      <c r="BF96" s="46">
        <f t="shared" si="175"/>
        <v>97.085353941942543</v>
      </c>
      <c r="BG96" s="46">
        <f t="shared" si="176"/>
        <v>520.01861926376569</v>
      </c>
      <c r="BH96" s="46">
        <f>$AS$91*BB96*((1+COS(RADIANS(Insolation!$L$7)))/2)</f>
        <v>48.542676970971272</v>
      </c>
      <c r="BI96" s="46">
        <f t="shared" si="177"/>
        <v>871.05144524266552</v>
      </c>
      <c r="BJ96" s="46">
        <f t="shared" si="178"/>
        <v>81.439030766530479</v>
      </c>
      <c r="BK96" s="46">
        <f t="shared" si="179"/>
        <v>871.70386417869895</v>
      </c>
      <c r="BL96" s="46">
        <f t="shared" si="180"/>
        <v>82.795223084900911</v>
      </c>
      <c r="BO96" s="212">
        <v>13.5</v>
      </c>
      <c r="BP96" s="46">
        <f t="shared" si="181"/>
        <v>33.884230068986966</v>
      </c>
      <c r="BQ96" s="207">
        <f t="shared" si="136"/>
        <v>-22.5</v>
      </c>
      <c r="BR96" s="46">
        <f t="shared" si="182"/>
        <v>-27.03390530126606</v>
      </c>
      <c r="BS96" s="46">
        <f t="shared" si="183"/>
        <v>-27.03390530126606</v>
      </c>
      <c r="BT96" s="46">
        <f t="shared" si="184"/>
        <v>207.03390530126606</v>
      </c>
      <c r="BU96" s="46">
        <f t="shared" si="226"/>
        <v>-152.96609469873394</v>
      </c>
      <c r="BV96" s="46">
        <f t="shared" si="186"/>
        <v>1.7936684442901114</v>
      </c>
      <c r="BW96" s="46">
        <f t="shared" si="187"/>
        <v>866.32337424053367</v>
      </c>
      <c r="BX96" s="47">
        <f>COS(RADIANS(BP96))*COS(RADIANS(BR96-Insolation!$L$6))*SIN(RADIANS(0))+(SIN(RADIANS(BP96))*COS(RADIANS(0)))</f>
        <v>0.55751663758336045</v>
      </c>
      <c r="BY96" s="47">
        <f>COS(RADIANS(BP96))*COS(RADIANS(BR96-Insolation!$L$6))*SIN(RADIANS(Insolation!$L$7))+SIN(RADIANS(BP96))*COS(RADIANS(Insolation!$L$7))</f>
        <v>0.73945995750090088</v>
      </c>
      <c r="BZ96" s="46">
        <f t="shared" si="188"/>
        <v>482.98969466645354</v>
      </c>
      <c r="CA96" s="46">
        <f t="shared" si="189"/>
        <v>79.024744709195943</v>
      </c>
      <c r="CB96" s="46">
        <f t="shared" si="190"/>
        <v>640.6114454979421</v>
      </c>
      <c r="CC96" s="46">
        <f>$BN$91*BW96*((1+COS(RADIANS(Insolation!$L$7)))/2)</f>
        <v>39.512372354597971</v>
      </c>
      <c r="CD96" s="46">
        <f t="shared" si="191"/>
        <v>854.19293369516254</v>
      </c>
      <c r="CE96" s="46">
        <f t="shared" si="192"/>
        <v>66.702703381351526</v>
      </c>
      <c r="CF96" s="46">
        <f t="shared" si="193"/>
        <v>866.32337424053367</v>
      </c>
      <c r="CG96" s="46">
        <f t="shared" si="194"/>
        <v>61.541177332675161</v>
      </c>
      <c r="CJ96" s="212">
        <v>13.5</v>
      </c>
      <c r="CK96" s="46">
        <f t="shared" si="195"/>
        <v>24.850427504179841</v>
      </c>
      <c r="CL96" s="207">
        <f t="shared" si="137"/>
        <v>-22.5</v>
      </c>
      <c r="CM96" s="46">
        <f t="shared" si="196"/>
        <v>-23.478215637389553</v>
      </c>
      <c r="CN96" s="46">
        <f t="shared" si="197"/>
        <v>-23.478215637389553</v>
      </c>
      <c r="CO96" s="46">
        <f t="shared" si="198"/>
        <v>203.47821563738955</v>
      </c>
      <c r="CP96" s="46">
        <f t="shared" si="227"/>
        <v>-156.52178436261045</v>
      </c>
      <c r="CQ96" s="46">
        <f t="shared" si="200"/>
        <v>2.3795310166592007</v>
      </c>
      <c r="CR96" s="46">
        <f t="shared" si="201"/>
        <v>840.96741077544164</v>
      </c>
      <c r="CS96" s="47">
        <f>COS(RADIANS(CK96))*COS(RADIANS(CM96-Insolation!$L$6))*SIN(RADIANS(0))+(SIN(RADIANS(CK96))*COS(RADIANS(0)))</f>
        <v>0.42025087842896613</v>
      </c>
      <c r="CT96" s="47">
        <f>COS(RADIANS(CK96))*COS(RADIANS(CM96-Insolation!$L$6))*SIN(RADIANS(Insolation!$L$7))+SIN(RADIANS(CK96))*COS(RADIANS(Insolation!$L$7))</f>
        <v>0.83228511800180383</v>
      </c>
      <c r="CU96" s="46">
        <f t="shared" si="202"/>
        <v>353.41729310851252</v>
      </c>
      <c r="CV96" s="46">
        <f t="shared" si="203"/>
        <v>60.119574355171324</v>
      </c>
      <c r="CW96" s="46">
        <f t="shared" si="204"/>
        <v>699.92466071290983</v>
      </c>
      <c r="CX96" s="46">
        <f>$CI$91*CR96*((1+COS(RADIANS(Insolation!$L$7)))/2)</f>
        <v>30.059787177585662</v>
      </c>
      <c r="CY96" s="46">
        <f t="shared" si="205"/>
        <v>794.44130677748944</v>
      </c>
      <c r="CZ96" s="46">
        <f t="shared" si="206"/>
        <v>50.94040754334884</v>
      </c>
      <c r="DA96" s="46">
        <f t="shared" si="207"/>
        <v>840.96741077544164</v>
      </c>
      <c r="DB96" s="46">
        <f t="shared" si="208"/>
        <v>42.692439144353806</v>
      </c>
      <c r="DE96" s="212">
        <v>13.5</v>
      </c>
      <c r="DF96" s="46">
        <f t="shared" si="209"/>
        <v>20.86353446248998</v>
      </c>
      <c r="DG96" s="207">
        <f t="shared" si="138"/>
        <v>-22.5</v>
      </c>
      <c r="DH96" s="46">
        <f t="shared" si="210"/>
        <v>-22.088443288833567</v>
      </c>
      <c r="DI96" s="46">
        <f t="shared" si="211"/>
        <v>-22.088443288833567</v>
      </c>
      <c r="DJ96" s="46">
        <f t="shared" si="212"/>
        <v>202.08844328883356</v>
      </c>
      <c r="DK96" s="46">
        <f t="shared" si="228"/>
        <v>-157.91155671116644</v>
      </c>
      <c r="DL96" s="46">
        <f t="shared" si="214"/>
        <v>2.8078580603963053</v>
      </c>
      <c r="DM96" s="46">
        <f t="shared" si="215"/>
        <v>826.40692999488181</v>
      </c>
      <c r="DN96" s="47">
        <f>COS(RADIANS(DF96))*COS(RADIANS(DH96-Insolation!$L$6))*SIN(RADIANS(0))+(SIN(RADIANS(DF96))*COS(RADIANS(0)))</f>
        <v>0.35614335856380808</v>
      </c>
      <c r="DO96" s="47">
        <f>COS(RADIANS(DF96))*COS(RADIANS(DH96-Insolation!$L$6))*SIN(RADIANS(Insolation!$L$7))+SIN(RADIANS(DF96))*COS(RADIANS(Insolation!$L$7))</f>
        <v>0.86584827178678658</v>
      </c>
      <c r="DP96" s="46">
        <f t="shared" si="216"/>
        <v>294.31933958878301</v>
      </c>
      <c r="DQ96" s="46">
        <f t="shared" si="217"/>
        <v>48.407459277702323</v>
      </c>
      <c r="DR96" s="46">
        <f t="shared" si="218"/>
        <v>715.54301212869234</v>
      </c>
      <c r="DS96" s="46">
        <f>$DD$91*DM96*((1+COS(RADIANS(Insolation!$L$7)))/2)</f>
        <v>24.203729638851161</v>
      </c>
      <c r="DT96" s="46">
        <f t="shared" si="219"/>
        <v>758.80937787286666</v>
      </c>
      <c r="DU96" s="46">
        <f t="shared" si="220"/>
        <v>41.077347951786763</v>
      </c>
      <c r="DV96" s="46">
        <f t="shared" si="221"/>
        <v>826.40692999488181</v>
      </c>
      <c r="DW96" s="46">
        <f t="shared" si="222"/>
        <v>32.823727202202008</v>
      </c>
    </row>
    <row r="97" spans="2:127" x14ac:dyDescent="0.25">
      <c r="D97" s="212">
        <v>14</v>
      </c>
      <c r="E97" s="46">
        <f t="shared" si="139"/>
        <v>57.273498229907844</v>
      </c>
      <c r="F97" s="207">
        <f t="shared" si="133"/>
        <v>-30</v>
      </c>
      <c r="G97" s="46">
        <f t="shared" si="140"/>
        <v>-59.36062965005106</v>
      </c>
      <c r="H97" s="46">
        <f t="shared" si="141"/>
        <v>-59.36062965005106</v>
      </c>
      <c r="I97" s="46">
        <f t="shared" si="142"/>
        <v>239.36062965005107</v>
      </c>
      <c r="J97" s="46">
        <f t="shared" si="223"/>
        <v>-120.63937034994893</v>
      </c>
      <c r="K97" s="46">
        <f t="shared" si="144"/>
        <v>1.1886920097917681</v>
      </c>
      <c r="L97" s="46">
        <f t="shared" si="145"/>
        <v>847.73466283243044</v>
      </c>
      <c r="M97" s="47">
        <f>COS(RADIANS(E97))*COS(RADIANS(G97-Insolation!$L$6))*SIN(RADIANS(0))+(SIN(RADIANS(E97))*COS(RADIANS(0)))</f>
        <v>0.84126080747794152</v>
      </c>
      <c r="N97" s="47">
        <f>COS(RADIANS(E97))*COS(RADIANS(G97-Insolation!$L$6))*SIN(RADIANS(Insolation!$L$7))+SIN(RADIANS(E97))*COS(RADIANS(Insolation!$L$7))</f>
        <v>0.27552249642411641</v>
      </c>
      <c r="O97" s="46">
        <f t="shared" si="146"/>
        <v>713.16594698145093</v>
      </c>
      <c r="P97" s="46">
        <f t="shared" si="147"/>
        <v>114.33088489058137</v>
      </c>
      <c r="Q97" s="46">
        <f t="shared" si="148"/>
        <v>233.56997060884785</v>
      </c>
      <c r="R97" s="46">
        <f>$C$91*L97*((1+COS(RADIANS(Insolation!$L$7)))/2)</f>
        <v>57.165442445290687</v>
      </c>
      <c r="S97" s="46">
        <f t="shared" si="149"/>
        <v>788.65317970181752</v>
      </c>
      <c r="T97" s="46">
        <f t="shared" si="150"/>
        <v>90.569322590511092</v>
      </c>
      <c r="U97" s="46">
        <f t="shared" si="151"/>
        <v>847.73466283243044</v>
      </c>
      <c r="V97" s="46">
        <f t="shared" si="152"/>
        <v>105.25648871664973</v>
      </c>
      <c r="Y97" s="212">
        <v>14</v>
      </c>
      <c r="Z97" s="46">
        <f t="shared" si="153"/>
        <v>51.288920447261894</v>
      </c>
      <c r="AA97" s="207">
        <f t="shared" si="134"/>
        <v>-30</v>
      </c>
      <c r="AB97" s="46">
        <f t="shared" si="154"/>
        <v>-50.938788650858463</v>
      </c>
      <c r="AC97" s="46">
        <f t="shared" si="155"/>
        <v>-50.938788650858463</v>
      </c>
      <c r="AD97" s="46">
        <f t="shared" si="156"/>
        <v>230.93878865085847</v>
      </c>
      <c r="AE97" s="46">
        <f t="shared" si="224"/>
        <v>-129.06121134914153</v>
      </c>
      <c r="AF97" s="46">
        <f t="shared" si="158"/>
        <v>1.2815427943732229</v>
      </c>
      <c r="AG97" s="46">
        <f t="shared" si="159"/>
        <v>852.22087387173792</v>
      </c>
      <c r="AH97" s="47">
        <f>COS(RADIANS(Z97))*COS(RADIANS(AB97-Insolation!$L$6))*SIN(RADIANS(0))+(SIN(RADIANS(Z97))*COS(RADIANS(0)))</f>
        <v>0.78030948665204747</v>
      </c>
      <c r="AI97" s="47">
        <f>COS(RADIANS(Z97))*COS(RADIANS(AB97-Insolation!$L$6))*SIN(RADIANS(Insolation!$L$7))+SIN(RADIANS(Z97))*COS(RADIANS(Insolation!$L$7))</f>
        <v>0.39409193173990892</v>
      </c>
      <c r="AJ97" s="46">
        <f t="shared" si="160"/>
        <v>664.9960326050151</v>
      </c>
      <c r="AK97" s="46">
        <f t="shared" si="161"/>
        <v>108.7958138879257</v>
      </c>
      <c r="AL97" s="46">
        <f t="shared" si="162"/>
        <v>335.85337045318647</v>
      </c>
      <c r="AM97" s="46">
        <f>$X$91*AG97*((1+COS(RADIANS(Insolation!$L$7)))/2)</f>
        <v>54.397906943962852</v>
      </c>
      <c r="AN97" s="46">
        <f t="shared" si="163"/>
        <v>827.67918431608052</v>
      </c>
      <c r="AO97" s="46">
        <f t="shared" si="164"/>
        <v>87.517288864105424</v>
      </c>
      <c r="AP97" s="46">
        <f t="shared" si="165"/>
        <v>852.22087387173792</v>
      </c>
      <c r="AQ97" s="46">
        <f t="shared" si="166"/>
        <v>96.845109786352353</v>
      </c>
      <c r="AT97" s="212">
        <v>14</v>
      </c>
      <c r="AU97" s="46">
        <f t="shared" si="167"/>
        <v>41.534491183600302</v>
      </c>
      <c r="AV97" s="207">
        <f t="shared" si="135"/>
        <v>-30</v>
      </c>
      <c r="AW97" s="46">
        <f t="shared" si="168"/>
        <v>-41.870723981805767</v>
      </c>
      <c r="AX97" s="46">
        <f t="shared" si="169"/>
        <v>-41.870723981805767</v>
      </c>
      <c r="AY97" s="46">
        <f t="shared" si="170"/>
        <v>221.87072398180578</v>
      </c>
      <c r="AZ97" s="46">
        <f t="shared" si="225"/>
        <v>-138.12927601819422</v>
      </c>
      <c r="BA97" s="46">
        <f t="shared" si="172"/>
        <v>1.5081346035166803</v>
      </c>
      <c r="BB97" s="46">
        <f t="shared" si="173"/>
        <v>856.90246782163547</v>
      </c>
      <c r="BC97" s="47">
        <f>COS(RADIANS(AU97))*COS(RADIANS(AW97-Insolation!$L$6))*SIN(RADIANS(0))+(SIN(RADIANS(AU97))*COS(RADIANS(0)))</f>
        <v>0.66307078802395492</v>
      </c>
      <c r="BD97" s="47">
        <f>COS(RADIANS(AU97))*COS(RADIANS(AW97-Insolation!$L$6))*SIN(RADIANS(Insolation!$L$7))+SIN(RADIANS(AU97))*COS(RADIANS(Insolation!$L$7))</f>
        <v>0.55741475630108051</v>
      </c>
      <c r="BE97" s="46">
        <f t="shared" si="174"/>
        <v>568.18699459816355</v>
      </c>
      <c r="BF97" s="46">
        <f t="shared" si="175"/>
        <v>95.436859696119285</v>
      </c>
      <c r="BG97" s="46">
        <f t="shared" si="176"/>
        <v>477.6500802745914</v>
      </c>
      <c r="BH97" s="46">
        <f>$AS$91*BB97*((1+COS(RADIANS(Insolation!$L$7)))/2)</f>
        <v>47.718429848059642</v>
      </c>
      <c r="BI97" s="46">
        <f t="shared" si="177"/>
        <v>856.26112685790429</v>
      </c>
      <c r="BJ97" s="46">
        <f t="shared" si="178"/>
        <v>77.953714982811093</v>
      </c>
      <c r="BK97" s="46">
        <f t="shared" si="179"/>
        <v>856.90246782163547</v>
      </c>
      <c r="BL97" s="46">
        <f t="shared" si="180"/>
        <v>79.359126730678369</v>
      </c>
      <c r="BO97" s="212">
        <v>14</v>
      </c>
      <c r="BP97" s="46">
        <f t="shared" si="181"/>
        <v>31.033193926675867</v>
      </c>
      <c r="BQ97" s="207">
        <f t="shared" si="136"/>
        <v>-30</v>
      </c>
      <c r="BR97" s="46">
        <f t="shared" si="182"/>
        <v>-35.12410139974078</v>
      </c>
      <c r="BS97" s="46">
        <f t="shared" si="183"/>
        <v>-35.12410139974078</v>
      </c>
      <c r="BT97" s="46">
        <f t="shared" si="184"/>
        <v>215.12410139974077</v>
      </c>
      <c r="BU97" s="46">
        <f t="shared" si="226"/>
        <v>-144.87589860025923</v>
      </c>
      <c r="BV97" s="46">
        <f t="shared" si="186"/>
        <v>1.9397340814116164</v>
      </c>
      <c r="BW97" s="46">
        <f t="shared" si="187"/>
        <v>844.99112921917333</v>
      </c>
      <c r="BX97" s="47">
        <f>COS(RADIANS(BP97))*COS(RADIANS(BR97-Insolation!$L$6))*SIN(RADIANS(0))+(SIN(RADIANS(BP97))*COS(RADIANS(0)))</f>
        <v>0.5155345825919927</v>
      </c>
      <c r="BY97" s="47">
        <f>COS(RADIANS(BP97))*COS(RADIANS(BR97-Insolation!$L$6))*SIN(RADIANS(Insolation!$L$7))+SIN(RADIANS(BP97))*COS(RADIANS(Insolation!$L$7))</f>
        <v>0.70083962713200354</v>
      </c>
      <c r="BZ97" s="46">
        <f t="shared" si="188"/>
        <v>435.62214909594309</v>
      </c>
      <c r="CA97" s="46">
        <f t="shared" si="189"/>
        <v>77.078848676591647</v>
      </c>
      <c r="CB97" s="46">
        <f t="shared" si="190"/>
        <v>592.20326793181607</v>
      </c>
      <c r="CC97" s="46">
        <f>$BN$91*BW97*((1+COS(RADIANS(Insolation!$L$7)))/2)</f>
        <v>38.539424338295824</v>
      </c>
      <c r="CD97" s="46">
        <f t="shared" si="191"/>
        <v>833.15938721712359</v>
      </c>
      <c r="CE97" s="46">
        <f t="shared" si="192"/>
        <v>63.636528819267802</v>
      </c>
      <c r="CF97" s="46">
        <f t="shared" si="193"/>
        <v>844.99112921917333</v>
      </c>
      <c r="CG97" s="46">
        <f t="shared" si="194"/>
        <v>58.407830377874838</v>
      </c>
      <c r="CJ97" s="212">
        <v>14</v>
      </c>
      <c r="CK97" s="46">
        <f t="shared" si="195"/>
        <v>22.335432797988489</v>
      </c>
      <c r="CL97" s="207">
        <f t="shared" si="137"/>
        <v>-30</v>
      </c>
      <c r="CM97" s="46">
        <f t="shared" si="196"/>
        <v>-30.707087117272032</v>
      </c>
      <c r="CN97" s="46">
        <f t="shared" si="197"/>
        <v>-30.707087117272032</v>
      </c>
      <c r="CO97" s="46">
        <f t="shared" si="198"/>
        <v>210.70708711727204</v>
      </c>
      <c r="CP97" s="46">
        <f t="shared" si="227"/>
        <v>-149.29291288272796</v>
      </c>
      <c r="CQ97" s="46">
        <f t="shared" si="200"/>
        <v>2.6313832957774985</v>
      </c>
      <c r="CR97" s="46">
        <f t="shared" si="201"/>
        <v>809.0913590339095</v>
      </c>
      <c r="CS97" s="47">
        <f>COS(RADIANS(CK97))*COS(RADIANS(CM97-Insolation!$L$6))*SIN(RADIANS(0))+(SIN(RADIANS(CK97))*COS(RADIANS(0)))</f>
        <v>0.38002825419036057</v>
      </c>
      <c r="CT97" s="47">
        <f>COS(RADIANS(CK97))*COS(RADIANS(CM97-Insolation!$L$6))*SIN(RADIANS(Insolation!$L$7))+SIN(RADIANS(CK97))*COS(RADIANS(Insolation!$L$7))</f>
        <v>0.79528333148329311</v>
      </c>
      <c r="CU97" s="46">
        <f t="shared" si="202"/>
        <v>307.47757665416287</v>
      </c>
      <c r="CV97" s="46">
        <f t="shared" si="203"/>
        <v>57.840800364325148</v>
      </c>
      <c r="CW97" s="46">
        <f t="shared" si="204"/>
        <v>643.45687148683271</v>
      </c>
      <c r="CX97" s="46">
        <f>$CI$91*CR97*((1+COS(RADIANS(Insolation!$L$7)))/2)</f>
        <v>28.920400182162574</v>
      </c>
      <c r="CY97" s="46">
        <f t="shared" si="205"/>
        <v>764.32878175455289</v>
      </c>
      <c r="CZ97" s="46">
        <f t="shared" si="206"/>
        <v>48.077304195183395</v>
      </c>
      <c r="DA97" s="46">
        <f t="shared" si="207"/>
        <v>809.0913590339095</v>
      </c>
      <c r="DB97" s="46">
        <f t="shared" si="208"/>
        <v>39.910969373876405</v>
      </c>
      <c r="DE97" s="212">
        <v>14</v>
      </c>
      <c r="DF97" s="46">
        <f t="shared" si="209"/>
        <v>18.484487032750355</v>
      </c>
      <c r="DG97" s="207">
        <f t="shared" si="138"/>
        <v>-30</v>
      </c>
      <c r="DH97" s="46">
        <f t="shared" si="210"/>
        <v>-28.95189978304462</v>
      </c>
      <c r="DI97" s="46">
        <f t="shared" si="211"/>
        <v>-28.95189978304462</v>
      </c>
      <c r="DJ97" s="46">
        <f t="shared" si="212"/>
        <v>208.95189978304461</v>
      </c>
      <c r="DK97" s="46">
        <f t="shared" si="228"/>
        <v>-151.04810021695539</v>
      </c>
      <c r="DL97" s="46">
        <f t="shared" si="214"/>
        <v>3.1540976954413042</v>
      </c>
      <c r="DM97" s="46">
        <f t="shared" si="215"/>
        <v>786.72335370797919</v>
      </c>
      <c r="DN97" s="47">
        <f>COS(RADIANS(DF97))*COS(RADIANS(DH97-Insolation!$L$6))*SIN(RADIANS(0))+(SIN(RADIANS(DF97))*COS(RADIANS(0)))</f>
        <v>0.31704788391473254</v>
      </c>
      <c r="DO97" s="47">
        <f>COS(RADIANS(DF97))*COS(RADIANS(DH97-Insolation!$L$6))*SIN(RADIANS(Insolation!$L$7))+SIN(RADIANS(DF97))*COS(RADIANS(Insolation!$L$7))</f>
        <v>0.82988337804381429</v>
      </c>
      <c r="DP97" s="46">
        <f t="shared" si="216"/>
        <v>249.42897451941644</v>
      </c>
      <c r="DQ97" s="46">
        <f t="shared" si="217"/>
        <v>46.082961462668599</v>
      </c>
      <c r="DR97" s="46">
        <f t="shared" si="218"/>
        <v>652.88863436113627</v>
      </c>
      <c r="DS97" s="46">
        <f>$DD$91*DM97*((1+COS(RADIANS(Insolation!$L$7)))/2)</f>
        <v>23.0414807313343</v>
      </c>
      <c r="DT97" s="46">
        <f t="shared" si="219"/>
        <v>722.37179640894851</v>
      </c>
      <c r="DU97" s="46">
        <f t="shared" si="220"/>
        <v>38.405282786088243</v>
      </c>
      <c r="DV97" s="46">
        <f t="shared" si="221"/>
        <v>786.72335370797919</v>
      </c>
      <c r="DW97" s="46">
        <f t="shared" si="222"/>
        <v>30.346733439465925</v>
      </c>
    </row>
    <row r="98" spans="2:127" x14ac:dyDescent="0.25">
      <c r="D98" s="212">
        <v>14.5</v>
      </c>
      <c r="E98" s="46">
        <f t="shared" si="139"/>
        <v>52.326344709703122</v>
      </c>
      <c r="F98" s="207">
        <f t="shared" si="133"/>
        <v>-37.5</v>
      </c>
      <c r="G98" s="46">
        <f t="shared" si="140"/>
        <v>-67.918601626992981</v>
      </c>
      <c r="H98" s="46">
        <f t="shared" si="141"/>
        <v>-67.918601626992981</v>
      </c>
      <c r="I98" s="46">
        <f t="shared" si="142"/>
        <v>247.918601626993</v>
      </c>
      <c r="J98" s="46">
        <f t="shared" si="223"/>
        <v>-112.081398373007</v>
      </c>
      <c r="K98" s="46">
        <f t="shared" si="144"/>
        <v>1.26341648716082</v>
      </c>
      <c r="L98" s="46">
        <f t="shared" si="145"/>
        <v>834.60537773078852</v>
      </c>
      <c r="M98" s="47">
        <f>COS(RADIANS(E98))*COS(RADIANS(G98-Insolation!$L$6))*SIN(RADIANS(0))+(SIN(RADIANS(E98))*COS(RADIANS(0)))</f>
        <v>0.79150463062835608</v>
      </c>
      <c r="N98" s="47">
        <f>COS(RADIANS(E98))*COS(RADIANS(G98-Insolation!$L$6))*SIN(RADIANS(Insolation!$L$7))+SIN(RADIANS(E98))*COS(RADIANS(Insolation!$L$7))</f>
        <v>0.22975055914712098</v>
      </c>
      <c r="O98" s="46">
        <f t="shared" si="146"/>
        <v>660.59402122124732</v>
      </c>
      <c r="P98" s="46">
        <f t="shared" si="147"/>
        <v>112.56018605111659</v>
      </c>
      <c r="Q98" s="46">
        <f t="shared" si="148"/>
        <v>191.75105220084276</v>
      </c>
      <c r="R98" s="46">
        <f>$C$91*L98*((1+COS(RADIANS(Insolation!$L$7)))/2)</f>
        <v>56.280093025558294</v>
      </c>
      <c r="S98" s="46">
        <f t="shared" si="149"/>
        <v>776.4389186876158</v>
      </c>
      <c r="T98" s="46">
        <f t="shared" si="150"/>
        <v>85.105513657201215</v>
      </c>
      <c r="U98" s="46">
        <f t="shared" si="151"/>
        <v>834.60537773078852</v>
      </c>
      <c r="V98" s="46">
        <f t="shared" si="152"/>
        <v>100.82604726748232</v>
      </c>
      <c r="Y98" s="212">
        <v>14.5</v>
      </c>
      <c r="Z98" s="46">
        <f t="shared" si="153"/>
        <v>46.749587882298727</v>
      </c>
      <c r="AA98" s="207">
        <f t="shared" si="134"/>
        <v>-37.5</v>
      </c>
      <c r="AB98" s="46">
        <f t="shared" si="154"/>
        <v>-59.640759510809531</v>
      </c>
      <c r="AC98" s="46">
        <f t="shared" si="155"/>
        <v>-59.640759510809531</v>
      </c>
      <c r="AD98" s="46">
        <f t="shared" si="156"/>
        <v>239.64075951080952</v>
      </c>
      <c r="AE98" s="46">
        <f t="shared" si="224"/>
        <v>-120.35924048919048</v>
      </c>
      <c r="AF98" s="46">
        <f t="shared" si="158"/>
        <v>1.3729360555842307</v>
      </c>
      <c r="AG98" s="46">
        <f t="shared" si="159"/>
        <v>836.58773199248344</v>
      </c>
      <c r="AH98" s="47">
        <f>COS(RADIANS(Z98))*COS(RADIANS(AB98-Insolation!$L$6))*SIN(RADIANS(0))+(SIN(RADIANS(Z98))*COS(RADIANS(0)))</f>
        <v>0.72836604147195061</v>
      </c>
      <c r="AI98" s="47">
        <f>COS(RADIANS(Z98))*COS(RADIANS(AB98-Insolation!$L$6))*SIN(RADIANS(Insolation!$L$7))+SIN(RADIANS(Z98))*COS(RADIANS(Insolation!$L$7))</f>
        <v>0.34630787224671511</v>
      </c>
      <c r="AJ98" s="46">
        <f t="shared" si="160"/>
        <v>609.34209469536233</v>
      </c>
      <c r="AK98" s="46">
        <f t="shared" si="161"/>
        <v>106.80006320107397</v>
      </c>
      <c r="AL98" s="46">
        <f t="shared" si="162"/>
        <v>289.71691741402208</v>
      </c>
      <c r="AM98" s="46">
        <f>$X$91*AG98*((1+COS(RADIANS(Insolation!$L$7)))/2)</f>
        <v>53.400031600536984</v>
      </c>
      <c r="AN98" s="46">
        <f t="shared" si="163"/>
        <v>812.49623525249501</v>
      </c>
      <c r="AO98" s="46">
        <f t="shared" si="164"/>
        <v>82.457210732081037</v>
      </c>
      <c r="AP98" s="46">
        <f t="shared" si="165"/>
        <v>836.58773199248344</v>
      </c>
      <c r="AQ98" s="46">
        <f t="shared" si="166"/>
        <v>92.294801231897182</v>
      </c>
      <c r="AT98" s="212">
        <v>14.5</v>
      </c>
      <c r="AU98" s="46">
        <f t="shared" si="167"/>
        <v>37.562550977506156</v>
      </c>
      <c r="AV98" s="207">
        <f t="shared" si="135"/>
        <v>-37.5</v>
      </c>
      <c r="AW98" s="46">
        <f t="shared" si="168"/>
        <v>-50.120624237501303</v>
      </c>
      <c r="AX98" s="46">
        <f t="shared" si="169"/>
        <v>-50.120624237501303</v>
      </c>
      <c r="AY98" s="46">
        <f t="shared" si="170"/>
        <v>230.12062423750132</v>
      </c>
      <c r="AZ98" s="46">
        <f t="shared" si="225"/>
        <v>-129.87937576249868</v>
      </c>
      <c r="BA98" s="46">
        <f t="shared" si="172"/>
        <v>1.6403467933917355</v>
      </c>
      <c r="BB98" s="46">
        <f t="shared" si="173"/>
        <v>835.82972984172136</v>
      </c>
      <c r="BC98" s="47">
        <f>COS(RADIANS(AU98))*COS(RADIANS(AW98-Insolation!$L$6))*SIN(RADIANS(0))+(SIN(RADIANS(AU98))*COS(RADIANS(0)))</f>
        <v>0.60962718617098388</v>
      </c>
      <c r="BD98" s="47">
        <f>COS(RADIANS(AU98))*COS(RADIANS(AW98-Insolation!$L$6))*SIN(RADIANS(Insolation!$L$7))+SIN(RADIANS(AU98))*COS(RADIANS(Insolation!$L$7))</f>
        <v>0.50825066559399223</v>
      </c>
      <c r="BE98" s="46">
        <f t="shared" si="174"/>
        <v>509.54452632146223</v>
      </c>
      <c r="BF98" s="46">
        <f t="shared" si="175"/>
        <v>93.089899553601924</v>
      </c>
      <c r="BG98" s="46">
        <f t="shared" si="176"/>
        <v>424.81101651530162</v>
      </c>
      <c r="BH98" s="46">
        <f>$AS$91*BB98*((1+COS(RADIANS(Insolation!$L$7)))/2)</f>
        <v>46.544949776800962</v>
      </c>
      <c r="BI98" s="46">
        <f t="shared" si="177"/>
        <v>835.20416057966213</v>
      </c>
      <c r="BJ98" s="46">
        <f t="shared" si="178"/>
        <v>73.471570682399332</v>
      </c>
      <c r="BK98" s="46">
        <f t="shared" si="179"/>
        <v>835.82972984172136</v>
      </c>
      <c r="BL98" s="46">
        <f t="shared" si="180"/>
        <v>74.920016539701891</v>
      </c>
      <c r="BO98" s="212">
        <v>14.5</v>
      </c>
      <c r="BP98" s="46">
        <f t="shared" si="181"/>
        <v>27.56792417854205</v>
      </c>
      <c r="BQ98" s="207">
        <f t="shared" si="136"/>
        <v>-37.5</v>
      </c>
      <c r="BR98" s="46">
        <f t="shared" si="182"/>
        <v>-42.618622396296885</v>
      </c>
      <c r="BS98" s="46">
        <f t="shared" si="183"/>
        <v>-42.618622396296885</v>
      </c>
      <c r="BT98" s="46">
        <f t="shared" si="184"/>
        <v>222.61862239629687</v>
      </c>
      <c r="BU98" s="46">
        <f t="shared" si="226"/>
        <v>-137.38137760370313</v>
      </c>
      <c r="BV98" s="46">
        <f t="shared" si="186"/>
        <v>2.1607613331037356</v>
      </c>
      <c r="BW98" s="46">
        <f t="shared" si="187"/>
        <v>813.70567294854743</v>
      </c>
      <c r="BX98" s="47">
        <f>COS(RADIANS(BP98))*COS(RADIANS(BR98-Insolation!$L$6))*SIN(RADIANS(0))+(SIN(RADIANS(BP98))*COS(RADIANS(0)))</f>
        <v>0.46279984035237781</v>
      </c>
      <c r="BY98" s="47">
        <f>COS(RADIANS(BP98))*COS(RADIANS(BR98-Insolation!$L$6))*SIN(RADIANS(Insolation!$L$7))+SIN(RADIANS(BP98))*COS(RADIANS(Insolation!$L$7))</f>
        <v>0.6523276339093913</v>
      </c>
      <c r="BZ98" s="46">
        <f t="shared" si="188"/>
        <v>376.58285553441192</v>
      </c>
      <c r="CA98" s="46">
        <f t="shared" si="189"/>
        <v>74.225035344977115</v>
      </c>
      <c r="CB98" s="46">
        <f t="shared" si="190"/>
        <v>530.80269633317494</v>
      </c>
      <c r="CC98" s="46">
        <f>$BN$91*BW98*((1+COS(RADIANS(Insolation!$L$7)))/2)</f>
        <v>37.112517672488558</v>
      </c>
      <c r="CD98" s="46">
        <f t="shared" si="191"/>
        <v>802.31199642933007</v>
      </c>
      <c r="CE98" s="46">
        <f t="shared" si="192"/>
        <v>59.533849142321003</v>
      </c>
      <c r="CF98" s="46">
        <f t="shared" si="193"/>
        <v>813.70567294854743</v>
      </c>
      <c r="CG98" s="46">
        <f t="shared" si="194"/>
        <v>54.288184926391061</v>
      </c>
      <c r="CJ98" s="212">
        <v>14.5</v>
      </c>
      <c r="CK98" s="46">
        <f t="shared" si="195"/>
        <v>19.238647493842635</v>
      </c>
      <c r="CL98" s="207">
        <f t="shared" si="137"/>
        <v>-37.5</v>
      </c>
      <c r="CM98" s="46">
        <f t="shared" si="196"/>
        <v>-37.524272289966774</v>
      </c>
      <c r="CN98" s="46">
        <f t="shared" si="197"/>
        <v>-37.524272289966774</v>
      </c>
      <c r="CO98" s="46">
        <f t="shared" si="198"/>
        <v>217.52427228996677</v>
      </c>
      <c r="CP98" s="46">
        <f t="shared" si="227"/>
        <v>-142.47572771003323</v>
      </c>
      <c r="CQ98" s="46">
        <f t="shared" si="200"/>
        <v>3.0348684076297761</v>
      </c>
      <c r="CR98" s="46">
        <f t="shared" si="201"/>
        <v>760.52282204145399</v>
      </c>
      <c r="CS98" s="47">
        <f>COS(RADIANS(CK98))*COS(RADIANS(CM98-Insolation!$L$6))*SIN(RADIANS(0))+(SIN(RADIANS(CK98))*COS(RADIANS(0)))</f>
        <v>0.32950357830539256</v>
      </c>
      <c r="CT98" s="47">
        <f>COS(RADIANS(CK98))*COS(RADIANS(CM98-Insolation!$L$6))*SIN(RADIANS(Insolation!$L$7))+SIN(RADIANS(CK98))*COS(RADIANS(Insolation!$L$7))</f>
        <v>0.74880443294294907</v>
      </c>
      <c r="CU98" s="46">
        <f t="shared" si="202"/>
        <v>250.59499124557436</v>
      </c>
      <c r="CV98" s="46">
        <f t="shared" si="203"/>
        <v>54.368704140825344</v>
      </c>
      <c r="CW98" s="46">
        <f t="shared" si="204"/>
        <v>569.48286049892238</v>
      </c>
      <c r="CX98" s="46">
        <f>$CI$91*CR98*((1+COS(RADIANS(Insolation!$L$7)))/2)</f>
        <v>27.184352070412672</v>
      </c>
      <c r="CY98" s="46">
        <f t="shared" si="205"/>
        <v>718.44727493019354</v>
      </c>
      <c r="CZ98" s="46">
        <f t="shared" si="206"/>
        <v>44.064818774276375</v>
      </c>
      <c r="DA98" s="46">
        <f t="shared" si="207"/>
        <v>760.52282204145399</v>
      </c>
      <c r="DB98" s="46">
        <f t="shared" si="208"/>
        <v>36.141693351527252</v>
      </c>
      <c r="DE98" s="212">
        <v>14.5</v>
      </c>
      <c r="DF98" s="46">
        <f t="shared" si="209"/>
        <v>15.541665031954876</v>
      </c>
      <c r="DG98" s="207">
        <f t="shared" si="138"/>
        <v>-37.5</v>
      </c>
      <c r="DH98" s="46">
        <f t="shared" si="210"/>
        <v>-35.463232442797697</v>
      </c>
      <c r="DI98" s="46">
        <f t="shared" si="211"/>
        <v>-35.463232442797697</v>
      </c>
      <c r="DJ98" s="46">
        <f t="shared" si="212"/>
        <v>215.4632324427977</v>
      </c>
      <c r="DK98" s="46">
        <f t="shared" si="228"/>
        <v>-144.5367675572023</v>
      </c>
      <c r="DL98" s="46">
        <f t="shared" si="214"/>
        <v>3.7321920828671571</v>
      </c>
      <c r="DM98" s="46">
        <f t="shared" si="215"/>
        <v>724.66739425573553</v>
      </c>
      <c r="DN98" s="47">
        <f>COS(RADIANS(DF98))*COS(RADIANS(DH98-Insolation!$L$6))*SIN(RADIANS(0))+(SIN(RADIANS(DF98))*COS(RADIANS(0)))</f>
        <v>0.2679390497050132</v>
      </c>
      <c r="DO98" s="47">
        <f>COS(RADIANS(DF98))*COS(RADIANS(DH98-Insolation!$L$6))*SIN(RADIANS(Insolation!$L$7))+SIN(RADIANS(DF98))*COS(RADIANS(Insolation!$L$7))</f>
        <v>0.78470694726640833</v>
      </c>
      <c r="DP98" s="46">
        <f t="shared" si="216"/>
        <v>194.16669296908992</v>
      </c>
      <c r="DQ98" s="46">
        <f t="shared" si="217"/>
        <v>42.44798307479153</v>
      </c>
      <c r="DR98" s="46">
        <f t="shared" si="218"/>
        <v>568.65153872992096</v>
      </c>
      <c r="DS98" s="46">
        <f>$DD$91*DM98*((1+COS(RADIANS(Insolation!$L$7)))/2)</f>
        <v>21.223991537395765</v>
      </c>
      <c r="DT98" s="46">
        <f t="shared" si="219"/>
        <v>665.39182410214255</v>
      </c>
      <c r="DU98" s="46">
        <f t="shared" si="220"/>
        <v>34.545209280052042</v>
      </c>
      <c r="DV98" s="46">
        <f t="shared" si="221"/>
        <v>724.66739425573553</v>
      </c>
      <c r="DW98" s="46">
        <f t="shared" si="222"/>
        <v>26.910727660872826</v>
      </c>
    </row>
    <row r="99" spans="2:127" x14ac:dyDescent="0.25">
      <c r="D99" s="212">
        <v>15</v>
      </c>
      <c r="E99" s="46">
        <f t="shared" si="139"/>
        <v>47.09255518849529</v>
      </c>
      <c r="F99" s="207">
        <f t="shared" si="133"/>
        <v>-45</v>
      </c>
      <c r="G99" s="46">
        <f t="shared" si="140"/>
        <v>-75.067889213553499</v>
      </c>
      <c r="H99" s="46">
        <f t="shared" si="141"/>
        <v>-75.067889213553499</v>
      </c>
      <c r="I99" s="46">
        <f t="shared" si="142"/>
        <v>255.06788921355349</v>
      </c>
      <c r="J99" s="46">
        <f t="shared" si="223"/>
        <v>-104.93211078644651</v>
      </c>
      <c r="K99" s="46">
        <f t="shared" si="144"/>
        <v>1.3652726264930011</v>
      </c>
      <c r="L99" s="46">
        <f t="shared" si="145"/>
        <v>817.03586262381998</v>
      </c>
      <c r="M99" s="47">
        <f>COS(RADIANS(E99))*COS(RADIANS(G99-Insolation!$L$6))*SIN(RADIANS(0))+(SIN(RADIANS(E99))*COS(RADIANS(0)))</f>
        <v>0.73245444213491406</v>
      </c>
      <c r="N99" s="47">
        <f>COS(RADIANS(E99))*COS(RADIANS(G99-Insolation!$L$6))*SIN(RADIANS(Insolation!$L$7))+SIN(RADIANS(E99))*COS(RADIANS(Insolation!$L$7))</f>
        <v>0.17542883076980986</v>
      </c>
      <c r="O99" s="46">
        <f t="shared" si="146"/>
        <v>598.4415469623483</v>
      </c>
      <c r="P99" s="46">
        <f t="shared" si="147"/>
        <v>110.19064957072</v>
      </c>
      <c r="Q99" s="46">
        <f t="shared" si="148"/>
        <v>143.33164607709975</v>
      </c>
      <c r="R99" s="46">
        <f>$C$91*L99*((1+COS(RADIANS(Insolation!$L$7)))/2)</f>
        <v>55.095324785359999</v>
      </c>
      <c r="S99" s="46">
        <f t="shared" si="149"/>
        <v>760.09388224822601</v>
      </c>
      <c r="T99" s="46">
        <f t="shared" si="150"/>
        <v>78.879737340405867</v>
      </c>
      <c r="U99" s="46">
        <f t="shared" si="151"/>
        <v>817.03586262381998</v>
      </c>
      <c r="V99" s="46">
        <f t="shared" si="152"/>
        <v>95.450140165262766</v>
      </c>
      <c r="Y99" s="212">
        <v>15</v>
      </c>
      <c r="Z99" s="46">
        <f t="shared" si="153"/>
        <v>41.814416498354866</v>
      </c>
      <c r="AA99" s="207">
        <f t="shared" si="134"/>
        <v>-45</v>
      </c>
      <c r="AB99" s="46">
        <f t="shared" si="154"/>
        <v>-67.134972257690663</v>
      </c>
      <c r="AC99" s="46">
        <f t="shared" si="155"/>
        <v>-67.134972257690663</v>
      </c>
      <c r="AD99" s="46">
        <f t="shared" si="156"/>
        <v>247.13497225769066</v>
      </c>
      <c r="AE99" s="46">
        <f t="shared" si="224"/>
        <v>-112.86502774230934</v>
      </c>
      <c r="AF99" s="46">
        <f t="shared" si="158"/>
        <v>1.4998799592916918</v>
      </c>
      <c r="AG99" s="46">
        <f t="shared" si="159"/>
        <v>815.34818841692413</v>
      </c>
      <c r="AH99" s="47">
        <f>COS(RADIANS(Z99))*COS(RADIANS(AB99-Insolation!$L$6))*SIN(RADIANS(0))+(SIN(RADIANS(Z99))*COS(RADIANS(0)))</f>
        <v>0.66672002236248507</v>
      </c>
      <c r="AI99" s="47">
        <f>COS(RADIANS(Z99))*COS(RADIANS(AB99-Insolation!$L$6))*SIN(RADIANS(Insolation!$L$7))+SIN(RADIANS(Z99))*COS(RADIANS(Insolation!$L$7))</f>
        <v>0.28959817510529484</v>
      </c>
      <c r="AJ99" s="46">
        <f t="shared" si="160"/>
        <v>543.60896241454338</v>
      </c>
      <c r="AK99" s="46">
        <f t="shared" si="161"/>
        <v>104.08859074040431</v>
      </c>
      <c r="AL99" s="46">
        <f t="shared" si="162"/>
        <v>236.12334744094932</v>
      </c>
      <c r="AM99" s="46">
        <f>$X$91*AG99*((1+COS(RADIANS(Insolation!$L$7)))/2)</f>
        <v>52.044295370202157</v>
      </c>
      <c r="AN99" s="46">
        <f t="shared" si="163"/>
        <v>791.868333917482</v>
      </c>
      <c r="AO99" s="46">
        <f t="shared" si="164"/>
        <v>76.502352708700926</v>
      </c>
      <c r="AP99" s="46">
        <f t="shared" si="165"/>
        <v>815.34818841692413</v>
      </c>
      <c r="AQ99" s="46">
        <f t="shared" si="166"/>
        <v>86.74326914326312</v>
      </c>
      <c r="AT99" s="212">
        <v>15</v>
      </c>
      <c r="AU99" s="46">
        <f t="shared" si="167"/>
        <v>33.106759974030304</v>
      </c>
      <c r="AV99" s="207">
        <f t="shared" si="135"/>
        <v>-45</v>
      </c>
      <c r="AW99" s="46">
        <f t="shared" si="168"/>
        <v>-57.513636717849323</v>
      </c>
      <c r="AX99" s="46">
        <f t="shared" si="169"/>
        <v>-57.513636717849323</v>
      </c>
      <c r="AY99" s="46">
        <f t="shared" si="170"/>
        <v>237.51363671784932</v>
      </c>
      <c r="AZ99" s="46">
        <f t="shared" si="225"/>
        <v>-122.48636328215068</v>
      </c>
      <c r="BA99" s="46">
        <f t="shared" si="172"/>
        <v>1.8308285344020492</v>
      </c>
      <c r="BB99" s="46">
        <f t="shared" si="173"/>
        <v>806.37748594815787</v>
      </c>
      <c r="BC99" s="47">
        <f>COS(RADIANS(AU99))*COS(RADIANS(AW99-Insolation!$L$6))*SIN(RADIANS(0))+(SIN(RADIANS(AU99))*COS(RADIANS(0)))</f>
        <v>0.54620079445429948</v>
      </c>
      <c r="BD99" s="47">
        <f>COS(RADIANS(AU99))*COS(RADIANS(AW99-Insolation!$L$6))*SIN(RADIANS(Insolation!$L$7))+SIN(RADIANS(AU99))*COS(RADIANS(Insolation!$L$7))</f>
        <v>0.44990315967249533</v>
      </c>
      <c r="BE99" s="46">
        <f t="shared" si="174"/>
        <v>440.44402345494456</v>
      </c>
      <c r="BF99" s="46">
        <f t="shared" si="175"/>
        <v>89.809678322180545</v>
      </c>
      <c r="BG99" s="46">
        <f t="shared" si="176"/>
        <v>362.79177881683944</v>
      </c>
      <c r="BH99" s="46">
        <f>$AS$91*BB99*((1+COS(RADIANS(Insolation!$L$7)))/2)</f>
        <v>44.904839161090273</v>
      </c>
      <c r="BI99" s="46">
        <f t="shared" si="177"/>
        <v>805.77395995378902</v>
      </c>
      <c r="BJ99" s="46">
        <f t="shared" si="178"/>
        <v>67.95851587366468</v>
      </c>
      <c r="BK99" s="46">
        <f t="shared" si="179"/>
        <v>806.37748594815787</v>
      </c>
      <c r="BL99" s="46">
        <f t="shared" si="180"/>
        <v>69.431897985720312</v>
      </c>
      <c r="BO99" s="212">
        <v>15</v>
      </c>
      <c r="BP99" s="46">
        <f t="shared" si="181"/>
        <v>23.591602154674931</v>
      </c>
      <c r="BQ99" s="207">
        <f t="shared" si="136"/>
        <v>-45</v>
      </c>
      <c r="BR99" s="46">
        <f t="shared" si="182"/>
        <v>-49.534035520295305</v>
      </c>
      <c r="BS99" s="46">
        <f t="shared" si="183"/>
        <v>-49.534035520295305</v>
      </c>
      <c r="BT99" s="46">
        <f t="shared" si="184"/>
        <v>229.5340355202953</v>
      </c>
      <c r="BU99" s="46">
        <f t="shared" si="226"/>
        <v>-130.4659644797047</v>
      </c>
      <c r="BV99" s="46">
        <f t="shared" si="186"/>
        <v>2.4986587391968116</v>
      </c>
      <c r="BW99" s="46">
        <f t="shared" si="187"/>
        <v>768.10204936744356</v>
      </c>
      <c r="BX99" s="47">
        <f>COS(RADIANS(BP99))*COS(RADIANS(BR99-Insolation!$L$6))*SIN(RADIANS(0))+(SIN(RADIANS(BP99))*COS(RADIANS(0)))</f>
        <v>0.40021471692506827</v>
      </c>
      <c r="BY99" s="47">
        <f>COS(RADIANS(BP99))*COS(RADIANS(BR99-Insolation!$L$6))*SIN(RADIANS(Insolation!$L$7))+SIN(RADIANS(BP99))*COS(RADIANS(Insolation!$L$7))</f>
        <v>0.59475403148716821</v>
      </c>
      <c r="BZ99" s="46">
        <f t="shared" si="188"/>
        <v>307.40574425715624</v>
      </c>
      <c r="CA99" s="46">
        <f t="shared" si="189"/>
        <v>70.065139838902027</v>
      </c>
      <c r="CB99" s="46">
        <f t="shared" si="190"/>
        <v>456.83179045484297</v>
      </c>
      <c r="CC99" s="46">
        <f>$BN$91*BW99*((1+COS(RADIANS(Insolation!$L$7)))/2)</f>
        <v>35.032569919451014</v>
      </c>
      <c r="CD99" s="46">
        <f t="shared" si="191"/>
        <v>757.34692429558731</v>
      </c>
      <c r="CE99" s="46">
        <f t="shared" si="192"/>
        <v>54.210511649420901</v>
      </c>
      <c r="CF99" s="46">
        <f t="shared" si="193"/>
        <v>768.10204936744356</v>
      </c>
      <c r="CG99" s="46">
        <f t="shared" si="194"/>
        <v>49.053119972921763</v>
      </c>
      <c r="CJ99" s="212">
        <v>15</v>
      </c>
      <c r="CK99" s="46">
        <f t="shared" si="195"/>
        <v>15.636975858162822</v>
      </c>
      <c r="CL99" s="207">
        <f t="shared" si="137"/>
        <v>-45</v>
      </c>
      <c r="CM99" s="46">
        <f t="shared" si="196"/>
        <v>-43.920501587395911</v>
      </c>
      <c r="CN99" s="46">
        <f t="shared" si="197"/>
        <v>-43.920501587395911</v>
      </c>
      <c r="CO99" s="46">
        <f t="shared" si="198"/>
        <v>223.9205015873959</v>
      </c>
      <c r="CP99" s="46">
        <f t="shared" si="227"/>
        <v>-136.0794984126041</v>
      </c>
      <c r="CQ99" s="46">
        <f t="shared" si="200"/>
        <v>3.7100060147728069</v>
      </c>
      <c r="CR99" s="46">
        <f t="shared" si="201"/>
        <v>685.68712273045003</v>
      </c>
      <c r="CS99" s="47">
        <f>COS(RADIANS(CK99))*COS(RADIANS(CM99-Insolation!$L$6))*SIN(RADIANS(0))+(SIN(RADIANS(CK99))*COS(RADIANS(0)))</f>
        <v>0.26954134198654067</v>
      </c>
      <c r="CT99" s="47">
        <f>COS(RADIANS(CK99))*COS(RADIANS(CM99-Insolation!$L$6))*SIN(RADIANS(Insolation!$L$7))+SIN(RADIANS(CK99))*COS(RADIANS(Insolation!$L$7))</f>
        <v>0.69364368922118236</v>
      </c>
      <c r="CU99" s="46">
        <f t="shared" si="202"/>
        <v>184.82102724365532</v>
      </c>
      <c r="CV99" s="46">
        <f t="shared" si="203"/>
        <v>49.018805522280054</v>
      </c>
      <c r="CW99" s="46">
        <f t="shared" si="204"/>
        <v>475.62254546220703</v>
      </c>
      <c r="CX99" s="46">
        <f>$CI$91*CR99*((1+COS(RADIANS(Insolation!$L$7)))/2)</f>
        <v>24.509402761140027</v>
      </c>
      <c r="CY99" s="46">
        <f t="shared" si="205"/>
        <v>647.75182348645569</v>
      </c>
      <c r="CZ99" s="46">
        <f t="shared" si="206"/>
        <v>38.491909364368276</v>
      </c>
      <c r="DA99" s="46">
        <f t="shared" si="207"/>
        <v>685.68712273045003</v>
      </c>
      <c r="DB99" s="46">
        <f t="shared" si="208"/>
        <v>31.115700072666343</v>
      </c>
      <c r="DE99" s="212">
        <v>15</v>
      </c>
      <c r="DF99" s="46">
        <f t="shared" si="209"/>
        <v>12.102259463797306</v>
      </c>
      <c r="DG99" s="207">
        <f t="shared" si="138"/>
        <v>-45</v>
      </c>
      <c r="DH99" s="46">
        <f t="shared" si="210"/>
        <v>-41.607615786386027</v>
      </c>
      <c r="DI99" s="46">
        <f t="shared" si="211"/>
        <v>-41.607615786386027</v>
      </c>
      <c r="DJ99" s="46">
        <f t="shared" si="212"/>
        <v>221.60761578638602</v>
      </c>
      <c r="DK99" s="46">
        <f t="shared" si="228"/>
        <v>-138.39238421361398</v>
      </c>
      <c r="DL99" s="46">
        <f t="shared" si="214"/>
        <v>4.769692495416975</v>
      </c>
      <c r="DM99" s="46">
        <f t="shared" si="215"/>
        <v>625.31408220665389</v>
      </c>
      <c r="DN99" s="47">
        <f>COS(RADIANS(DF99))*COS(RADIANS(DH99-Insolation!$L$6))*SIN(RADIANS(0))+(SIN(RADIANS(DF99))*COS(RADIANS(0)))</f>
        <v>0.20965712170351944</v>
      </c>
      <c r="DO99" s="47">
        <f>COS(RADIANS(DF99))*COS(RADIANS(DH99-Insolation!$L$6))*SIN(RADIANS(Insolation!$L$7))+SIN(RADIANS(DF99))*COS(RADIANS(Insolation!$L$7))</f>
        <v>0.73109196071044313</v>
      </c>
      <c r="DP99" s="46">
        <f t="shared" si="216"/>
        <v>131.10155063612498</v>
      </c>
      <c r="DQ99" s="46">
        <f t="shared" si="217"/>
        <v>36.628281868812344</v>
      </c>
      <c r="DR99" s="46">
        <f t="shared" si="218"/>
        <v>457.16209842031384</v>
      </c>
      <c r="DS99" s="46">
        <f>$DD$91*DM99*((1+COS(RADIANS(Insolation!$L$7)))/2)</f>
        <v>18.314140934406172</v>
      </c>
      <c r="DT99" s="46">
        <f t="shared" si="219"/>
        <v>574.16530824265033</v>
      </c>
      <c r="DU99" s="46">
        <f t="shared" si="220"/>
        <v>28.93294081800008</v>
      </c>
      <c r="DV99" s="46">
        <f t="shared" si="221"/>
        <v>625.31408220665389</v>
      </c>
      <c r="DW99" s="46">
        <f t="shared" si="222"/>
        <v>22.15383100918638</v>
      </c>
    </row>
    <row r="100" spans="2:127" x14ac:dyDescent="0.25">
      <c r="D100" s="212">
        <v>15.5</v>
      </c>
      <c r="E100" s="46">
        <f t="shared" si="139"/>
        <v>41.691578705101456</v>
      </c>
      <c r="F100" s="207">
        <f t="shared" si="133"/>
        <v>-52.5</v>
      </c>
      <c r="G100" s="46">
        <f t="shared" si="140"/>
        <v>-81.258479632662514</v>
      </c>
      <c r="H100" s="46">
        <f t="shared" si="141"/>
        <v>-81.258479632662514</v>
      </c>
      <c r="I100" s="46">
        <f t="shared" si="142"/>
        <v>261.2584796326625</v>
      </c>
      <c r="J100" s="46">
        <f t="shared" si="223"/>
        <v>-98.7415203673375</v>
      </c>
      <c r="K100" s="46">
        <f t="shared" si="144"/>
        <v>1.5034867200526467</v>
      </c>
      <c r="L100" s="46">
        <f t="shared" si="145"/>
        <v>793.7848116033972</v>
      </c>
      <c r="M100" s="47">
        <f>COS(RADIANS(E100))*COS(RADIANS(G100-Insolation!$L$6))*SIN(RADIANS(0))+(SIN(RADIANS(E100))*COS(RADIANS(0)))</f>
        <v>0.66512060709454324</v>
      </c>
      <c r="N100" s="47">
        <f>COS(RADIANS(E100))*COS(RADIANS(G100-Insolation!$L$6))*SIN(RADIANS(Insolation!$L$7))+SIN(RADIANS(E100))*COS(RADIANS(Insolation!$L$7))</f>
        <v>0.11348677112554886</v>
      </c>
      <c r="O100" s="46">
        <f t="shared" si="146"/>
        <v>527.96263579607921</v>
      </c>
      <c r="P100" s="46">
        <f t="shared" si="147"/>
        <v>107.05486504479404</v>
      </c>
      <c r="Q100" s="46">
        <f t="shared" si="148"/>
        <v>90.084075237371664</v>
      </c>
      <c r="R100" s="46">
        <f>$C$91*L100*((1+COS(RADIANS(Insolation!$L$7)))/2)</f>
        <v>53.527432522397021</v>
      </c>
      <c r="S100" s="46">
        <f t="shared" si="149"/>
        <v>738.46327526396226</v>
      </c>
      <c r="T100" s="46">
        <f t="shared" si="150"/>
        <v>71.987773496141486</v>
      </c>
      <c r="U100" s="46">
        <f t="shared" si="151"/>
        <v>793.7848116033972</v>
      </c>
      <c r="V100" s="46">
        <f t="shared" si="152"/>
        <v>89.129630937905944</v>
      </c>
      <c r="Y100" s="212">
        <v>15.5</v>
      </c>
      <c r="Z100" s="46">
        <f t="shared" si="153"/>
        <v>36.61437027883936</v>
      </c>
      <c r="AA100" s="207">
        <f t="shared" si="134"/>
        <v>-52.5</v>
      </c>
      <c r="AB100" s="46">
        <f t="shared" si="154"/>
        <v>-73.725953918255584</v>
      </c>
      <c r="AC100" s="46">
        <f t="shared" si="155"/>
        <v>-73.725953918255584</v>
      </c>
      <c r="AD100" s="46">
        <f t="shared" si="156"/>
        <v>253.72595391825558</v>
      </c>
      <c r="AE100" s="46">
        <f t="shared" si="224"/>
        <v>-106.27404608174442</v>
      </c>
      <c r="AF100" s="46">
        <f t="shared" si="158"/>
        <v>1.6766533454855679</v>
      </c>
      <c r="AG100" s="46">
        <f t="shared" si="159"/>
        <v>786.66673875485731</v>
      </c>
      <c r="AH100" s="47">
        <f>COS(RADIANS(Z100))*COS(RADIANS(AB100-Insolation!$L$6))*SIN(RADIANS(0))+(SIN(RADIANS(Z100))*COS(RADIANS(0)))</f>
        <v>0.59642620980211902</v>
      </c>
      <c r="AI100" s="47">
        <f>COS(RADIANS(Z100))*COS(RADIANS(AB100-Insolation!$L$6))*SIN(RADIANS(Insolation!$L$7))+SIN(RADIANS(Z100))*COS(RADIANS(Insolation!$L$7))</f>
        <v>0.22493315895663596</v>
      </c>
      <c r="AJ100" s="46">
        <f t="shared" si="160"/>
        <v>469.18866137295328</v>
      </c>
      <c r="AK100" s="46">
        <f t="shared" si="161"/>
        <v>100.42707322171964</v>
      </c>
      <c r="AL100" s="46">
        <f t="shared" si="162"/>
        <v>176.94743459424473</v>
      </c>
      <c r="AM100" s="46">
        <f>$X$91*AG100*((1+COS(RADIANS(Insolation!$L$7)))/2)</f>
        <v>50.213536610859819</v>
      </c>
      <c r="AN100" s="46">
        <f t="shared" si="163"/>
        <v>764.01283355470287</v>
      </c>
      <c r="AO100" s="46">
        <f t="shared" si="164"/>
        <v>69.696950545632191</v>
      </c>
      <c r="AP100" s="46">
        <f t="shared" si="165"/>
        <v>786.66673875485731</v>
      </c>
      <c r="AQ100" s="46">
        <f t="shared" si="166"/>
        <v>80.162205932434887</v>
      </c>
      <c r="AT100" s="212">
        <v>15.5</v>
      </c>
      <c r="AU100" s="46">
        <f t="shared" si="167"/>
        <v>28.286247398698389</v>
      </c>
      <c r="AV100" s="207">
        <f t="shared" si="135"/>
        <v>-52.5</v>
      </c>
      <c r="AW100" s="46">
        <f t="shared" si="168"/>
        <v>-64.192054615890058</v>
      </c>
      <c r="AX100" s="46">
        <f t="shared" si="169"/>
        <v>-64.192054615890058</v>
      </c>
      <c r="AY100" s="46">
        <f t="shared" si="170"/>
        <v>244.19205461589007</v>
      </c>
      <c r="AZ100" s="46">
        <f t="shared" si="225"/>
        <v>-115.80794538410993</v>
      </c>
      <c r="BA100" s="46">
        <f t="shared" si="172"/>
        <v>2.1102528796111262</v>
      </c>
      <c r="BB100" s="46">
        <f t="shared" si="173"/>
        <v>765.04044439835695</v>
      </c>
      <c r="BC100" s="47">
        <f>COS(RADIANS(AU100))*COS(RADIANS(AW100-Insolation!$L$6))*SIN(RADIANS(0))+(SIN(RADIANS(AU100))*COS(RADIANS(0)))</f>
        <v>0.4738768560212927</v>
      </c>
      <c r="BD100" s="47">
        <f>COS(RADIANS(AU100))*COS(RADIANS(AW100-Insolation!$L$6))*SIN(RADIANS(Insolation!$L$7))+SIN(RADIANS(AU100))*COS(RADIANS(Insolation!$L$7))</f>
        <v>0.38337058053989148</v>
      </c>
      <c r="BE100" s="46">
        <f t="shared" si="174"/>
        <v>362.53496052062599</v>
      </c>
      <c r="BF100" s="46">
        <f t="shared" si="175"/>
        <v>85.205796803820661</v>
      </c>
      <c r="BG100" s="46">
        <f t="shared" si="176"/>
        <v>293.29399930549465</v>
      </c>
      <c r="BH100" s="46">
        <f>$AS$91*BB100*((1+COS(RADIANS(Insolation!$L$7)))/2)</f>
        <v>42.602898401910331</v>
      </c>
      <c r="BI100" s="46">
        <f t="shared" si="177"/>
        <v>764.46785674185139</v>
      </c>
      <c r="BJ100" s="46">
        <f t="shared" si="178"/>
        <v>61.325120393586751</v>
      </c>
      <c r="BK100" s="46">
        <f t="shared" si="179"/>
        <v>765.04044439835695</v>
      </c>
      <c r="BL100" s="46">
        <f t="shared" si="180"/>
        <v>62.79142595400215</v>
      </c>
      <c r="BO100" s="212">
        <v>15.5</v>
      </c>
      <c r="BP100" s="46">
        <f t="shared" si="181"/>
        <v>19.198993745658036</v>
      </c>
      <c r="BQ100" s="207">
        <f t="shared" si="136"/>
        <v>-52.5</v>
      </c>
      <c r="BR100" s="46">
        <f t="shared" si="182"/>
        <v>-55.925898866140273</v>
      </c>
      <c r="BS100" s="46">
        <f t="shared" si="183"/>
        <v>-55.925898866140273</v>
      </c>
      <c r="BT100" s="46">
        <f t="shared" si="184"/>
        <v>235.92589886614027</v>
      </c>
      <c r="BU100" s="46">
        <f t="shared" si="226"/>
        <v>-124.07410113385973</v>
      </c>
      <c r="BV100" s="46">
        <f t="shared" si="186"/>
        <v>3.0408995412155266</v>
      </c>
      <c r="BW100" s="46">
        <f t="shared" si="187"/>
        <v>700.20059652547548</v>
      </c>
      <c r="BX100" s="47">
        <f>COS(RADIANS(BP100))*COS(RADIANS(BR100-Insolation!$L$6))*SIN(RADIANS(0))+(SIN(RADIANS(BP100))*COS(RADIANS(0)))</f>
        <v>0.32885006112377985</v>
      </c>
      <c r="BY100" s="47">
        <f>COS(RADIANS(BP100))*COS(RADIANS(BR100-Insolation!$L$6))*SIN(RADIANS(Insolation!$L$7))+SIN(RADIANS(BP100))*COS(RADIANS(Insolation!$L$7))</f>
        <v>0.52910392016519703</v>
      </c>
      <c r="BZ100" s="46">
        <f t="shared" si="188"/>
        <v>230.26100896630973</v>
      </c>
      <c r="CA100" s="46">
        <f t="shared" si="189"/>
        <v>63.871269125296877</v>
      </c>
      <c r="CB100" s="46">
        <f t="shared" si="190"/>
        <v>370.47888052363851</v>
      </c>
      <c r="CC100" s="46">
        <f>$BN$91*BW100*((1+COS(RADIANS(Insolation!$L$7)))/2)</f>
        <v>31.935634562648438</v>
      </c>
      <c r="CD100" s="46">
        <f t="shared" si="191"/>
        <v>690.39624175618189</v>
      </c>
      <c r="CE100" s="46">
        <f t="shared" si="192"/>
        <v>47.319957936071972</v>
      </c>
      <c r="CF100" s="46">
        <f t="shared" si="193"/>
        <v>700.20059652547548</v>
      </c>
      <c r="CG100" s="46">
        <f t="shared" si="194"/>
        <v>42.437669940602085</v>
      </c>
      <c r="CJ100" s="212">
        <v>15.5</v>
      </c>
      <c r="CK100" s="46">
        <f t="shared" si="195"/>
        <v>11.605240474651421</v>
      </c>
      <c r="CL100" s="207">
        <f t="shared" si="137"/>
        <v>-52.5</v>
      </c>
      <c r="CM100" s="46">
        <f t="shared" si="196"/>
        <v>-49.916117455726393</v>
      </c>
      <c r="CN100" s="46">
        <f t="shared" si="197"/>
        <v>-49.916117455726393</v>
      </c>
      <c r="CO100" s="46">
        <f t="shared" si="198"/>
        <v>229.91611745572641</v>
      </c>
      <c r="CP100" s="46">
        <f t="shared" si="227"/>
        <v>-130.08388254427359</v>
      </c>
      <c r="CQ100" s="46">
        <f t="shared" si="200"/>
        <v>4.9709815047001147</v>
      </c>
      <c r="CR100" s="46">
        <f t="shared" si="201"/>
        <v>565.07196629064424</v>
      </c>
      <c r="CS100" s="47">
        <f>COS(RADIANS(CK100))*COS(RADIANS(CM100-Insolation!$L$6))*SIN(RADIANS(0))+(SIN(RADIANS(CK100))*COS(RADIANS(0)))</f>
        <v>0.20116751572189306</v>
      </c>
      <c r="CT100" s="47">
        <f>COS(RADIANS(CK100))*COS(RADIANS(CM100-Insolation!$L$6))*SIN(RADIANS(Insolation!$L$7))+SIN(RADIANS(CK100))*COS(RADIANS(Insolation!$L$7))</f>
        <v>0.63074491593651971</v>
      </c>
      <c r="CU100" s="46">
        <f t="shared" si="202"/>
        <v>113.67412366277421</v>
      </c>
      <c r="CV100" s="46">
        <f t="shared" si="203"/>
        <v>40.3961980668292</v>
      </c>
      <c r="CW100" s="46">
        <f t="shared" si="204"/>
        <v>356.41626987607629</v>
      </c>
      <c r="CX100" s="46">
        <f>$CI$91*CR100*((1+COS(RADIANS(Insolation!$L$7)))/2)</f>
        <v>20.1980990334146</v>
      </c>
      <c r="CY100" s="46">
        <f t="shared" si="205"/>
        <v>533.80964062486873</v>
      </c>
      <c r="CZ100" s="46">
        <f t="shared" si="206"/>
        <v>30.526173794220082</v>
      </c>
      <c r="DA100" s="46">
        <f t="shared" si="207"/>
        <v>565.07196629064424</v>
      </c>
      <c r="DB100" s="46">
        <f t="shared" si="208"/>
        <v>24.261300438271387</v>
      </c>
      <c r="DE100" s="212">
        <v>15.5</v>
      </c>
      <c r="DF100" s="46">
        <f t="shared" si="209"/>
        <v>8.2330196634699089</v>
      </c>
      <c r="DG100" s="207">
        <f t="shared" si="138"/>
        <v>-52.5</v>
      </c>
      <c r="DH100" s="46">
        <f t="shared" si="210"/>
        <v>-47.395612222690552</v>
      </c>
      <c r="DI100" s="46">
        <f t="shared" si="211"/>
        <v>-47.395612222690552</v>
      </c>
      <c r="DJ100" s="46">
        <f t="shared" si="212"/>
        <v>227.39561222269054</v>
      </c>
      <c r="DK100" s="46">
        <f t="shared" si="228"/>
        <v>-132.60438777730946</v>
      </c>
      <c r="DL100" s="46">
        <f t="shared" si="214"/>
        <v>6.983273391224837</v>
      </c>
      <c r="DM100" s="46">
        <f t="shared" si="215"/>
        <v>456.52359005670581</v>
      </c>
      <c r="DN100" s="47">
        <f>COS(RADIANS(DF100))*COS(RADIANS(DH100-Insolation!$L$6))*SIN(RADIANS(0))+(SIN(RADIANS(DF100))*COS(RADIANS(0)))</f>
        <v>0.14319931985716003</v>
      </c>
      <c r="DO100" s="47">
        <f>COS(RADIANS(DF100))*COS(RADIANS(DH100-Insolation!$L$6))*SIN(RADIANS(Insolation!$L$7))+SIN(RADIANS(DF100))*COS(RADIANS(Insolation!$L$7))</f>
        <v>0.6699557856607733</v>
      </c>
      <c r="DP100" s="46">
        <f t="shared" si="216"/>
        <v>65.373867594869211</v>
      </c>
      <c r="DQ100" s="46">
        <f t="shared" si="217"/>
        <v>26.741241261272243</v>
      </c>
      <c r="DR100" s="46">
        <f t="shared" si="218"/>
        <v>305.85062044911712</v>
      </c>
      <c r="DS100" s="46">
        <f>$DD$91*DM100*((1+COS(RADIANS(Insolation!$L$7)))/2)</f>
        <v>13.370620630636122</v>
      </c>
      <c r="DT100" s="46">
        <f t="shared" si="219"/>
        <v>419.18136063714036</v>
      </c>
      <c r="DU100" s="46">
        <f t="shared" si="220"/>
        <v>20.37032353945402</v>
      </c>
      <c r="DV100" s="46">
        <f t="shared" si="221"/>
        <v>456.52359005670581</v>
      </c>
      <c r="DW100" s="46">
        <f t="shared" si="222"/>
        <v>15.285284411011325</v>
      </c>
    </row>
    <row r="101" spans="2:127" x14ac:dyDescent="0.25">
      <c r="D101" s="212">
        <v>16</v>
      </c>
      <c r="E101" s="46">
        <f t="shared" si="139"/>
        <v>36.203518828791729</v>
      </c>
      <c r="F101" s="207">
        <f t="shared" si="133"/>
        <v>-60</v>
      </c>
      <c r="G101" s="46">
        <f t="shared" si="140"/>
        <v>-86.804230558621853</v>
      </c>
      <c r="H101" s="46">
        <f t="shared" si="141"/>
        <v>-86.804230558621853</v>
      </c>
      <c r="I101" s="46">
        <f t="shared" si="142"/>
        <v>266.80423055862184</v>
      </c>
      <c r="J101" s="46">
        <f t="shared" si="223"/>
        <v>-93.195769441378161</v>
      </c>
      <c r="K101" s="46">
        <f t="shared" si="144"/>
        <v>1.6930350495910507</v>
      </c>
      <c r="L101" s="46">
        <f t="shared" si="145"/>
        <v>762.97019758158513</v>
      </c>
      <c r="M101" s="47">
        <f>COS(RADIANS(E101))*COS(RADIANS(G101-Insolation!$L$6))*SIN(RADIANS(0))+(SIN(RADIANS(E101))*COS(RADIANS(0)))</f>
        <v>0.59065522609325072</v>
      </c>
      <c r="N101" s="47">
        <f>COS(RADIANS(E101))*COS(RADIANS(G101-Insolation!$L$6))*SIN(RADIANS(Insolation!$L$7))+SIN(RADIANS(E101))*COS(RADIANS(Insolation!$L$7))</f>
        <v>4.4984226028434257E-2</v>
      </c>
      <c r="O101" s="46">
        <f t="shared" si="146"/>
        <v>450.65233455496332</v>
      </c>
      <c r="P101" s="46">
        <f t="shared" si="147"/>
        <v>102.89901033796359</v>
      </c>
      <c r="Q101" s="46">
        <f t="shared" si="148"/>
        <v>34.321623820969172</v>
      </c>
      <c r="R101" s="46">
        <f>$C$91*L101*((1+COS(RADIANS(Insolation!$L$7)))/2)</f>
        <v>51.449505168981794</v>
      </c>
      <c r="S101" s="46">
        <f t="shared" si="149"/>
        <v>709.79623545177753</v>
      </c>
      <c r="T101" s="46">
        <f t="shared" si="150"/>
        <v>64.493224251098596</v>
      </c>
      <c r="U101" s="46">
        <f t="shared" si="151"/>
        <v>762.97019758158513</v>
      </c>
      <c r="V101" s="46">
        <f t="shared" si="152"/>
        <v>81.838424276952608</v>
      </c>
      <c r="Y101" s="212">
        <v>16</v>
      </c>
      <c r="Z101" s="46">
        <f t="shared" si="153"/>
        <v>31.244242679878742</v>
      </c>
      <c r="AA101" s="207">
        <f t="shared" si="134"/>
        <v>-60</v>
      </c>
      <c r="AB101" s="46">
        <f t="shared" si="154"/>
        <v>-79.66254893312103</v>
      </c>
      <c r="AC101" s="46">
        <f t="shared" si="155"/>
        <v>-79.66254893312103</v>
      </c>
      <c r="AD101" s="46">
        <f t="shared" si="156"/>
        <v>259.662548933121</v>
      </c>
      <c r="AE101" s="46">
        <f t="shared" si="224"/>
        <v>-100.337451066879</v>
      </c>
      <c r="AF101" s="46">
        <f t="shared" si="158"/>
        <v>1.9279436816879698</v>
      </c>
      <c r="AG101" s="46">
        <f t="shared" si="159"/>
        <v>747.62281908662123</v>
      </c>
      <c r="AH101" s="47">
        <f>COS(RADIANS(Z101))*COS(RADIANS(AB101-Insolation!$L$6))*SIN(RADIANS(0))+(SIN(RADIANS(Z101))*COS(RADIANS(0)))</f>
        <v>0.51868735041288727</v>
      </c>
      <c r="AI101" s="47">
        <f>COS(RADIANS(Z101))*COS(RADIANS(AB101-Insolation!$L$6))*SIN(RADIANS(Insolation!$L$7))+SIN(RADIANS(Z101))*COS(RADIANS(Insolation!$L$7))</f>
        <v>0.15341926015557189</v>
      </c>
      <c r="AJ101" s="46">
        <f t="shared" si="160"/>
        <v>387.78249914025292</v>
      </c>
      <c r="AK101" s="46">
        <f t="shared" si="161"/>
        <v>95.442667009768712</v>
      </c>
      <c r="AL101" s="46">
        <f t="shared" si="162"/>
        <v>114.69973977969241</v>
      </c>
      <c r="AM101" s="46">
        <f>$X$91*AG101*((1+COS(RADIANS(Insolation!$L$7)))/2)</f>
        <v>47.721333504884356</v>
      </c>
      <c r="AN101" s="46">
        <f t="shared" si="163"/>
        <v>726.09327470056019</v>
      </c>
      <c r="AO101" s="46">
        <f t="shared" si="164"/>
        <v>62.040177027143741</v>
      </c>
      <c r="AP101" s="46">
        <f t="shared" si="165"/>
        <v>747.62281908662123</v>
      </c>
      <c r="AQ101" s="46">
        <f t="shared" si="166"/>
        <v>72.473785538702572</v>
      </c>
      <c r="AT101" s="212">
        <v>16</v>
      </c>
      <c r="AU101" s="46">
        <f t="shared" si="167"/>
        <v>23.196942045309935</v>
      </c>
      <c r="AV101" s="207">
        <f t="shared" si="135"/>
        <v>-60</v>
      </c>
      <c r="AW101" s="46">
        <f t="shared" si="168"/>
        <v>-70.303438450299794</v>
      </c>
      <c r="AX101" s="46">
        <f t="shared" si="169"/>
        <v>-70.303438450299794</v>
      </c>
      <c r="AY101" s="46">
        <f t="shared" si="170"/>
        <v>250.30343845029978</v>
      </c>
      <c r="AZ101" s="46">
        <f t="shared" si="225"/>
        <v>-109.69656154970022</v>
      </c>
      <c r="BA101" s="46">
        <f t="shared" si="172"/>
        <v>2.5387614705054591</v>
      </c>
      <c r="BB101" s="46">
        <f t="shared" si="173"/>
        <v>705.7272045700322</v>
      </c>
      <c r="BC101" s="47">
        <f>COS(RADIANS(AU101))*COS(RADIANS(AW101-Insolation!$L$6))*SIN(RADIANS(0))+(SIN(RADIANS(AU101))*COS(RADIANS(0)))</f>
        <v>0.3938928535105361</v>
      </c>
      <c r="BD101" s="47">
        <f>COS(RADIANS(AU101))*COS(RADIANS(AW101-Insolation!$L$6))*SIN(RADIANS(Insolation!$L$7))+SIN(RADIANS(AU101))*COS(RADIANS(Insolation!$L$7))</f>
        <v>0.30979131907145441</v>
      </c>
      <c r="BE101" s="46">
        <f t="shared" si="174"/>
        <v>277.98090240810382</v>
      </c>
      <c r="BF101" s="46">
        <f t="shared" si="175"/>
        <v>78.599829893714414</v>
      </c>
      <c r="BG101" s="46">
        <f t="shared" si="176"/>
        <v>218.62816160836041</v>
      </c>
      <c r="BH101" s="46">
        <f>$AS$91*BB101*((1+COS(RADIANS(Insolation!$L$7)))/2)</f>
        <v>39.299914946857207</v>
      </c>
      <c r="BI101" s="46">
        <f t="shared" si="177"/>
        <v>705.19900937570526</v>
      </c>
      <c r="BJ101" s="46">
        <f t="shared" si="178"/>
        <v>53.370972320606242</v>
      </c>
      <c r="BK101" s="46">
        <f t="shared" si="179"/>
        <v>705.7272045700322</v>
      </c>
      <c r="BL101" s="46">
        <f t="shared" si="180"/>
        <v>54.779870587996164</v>
      </c>
      <c r="BO101" s="212">
        <v>16</v>
      </c>
      <c r="BP101" s="46">
        <f t="shared" si="181"/>
        <v>14.473189033275069</v>
      </c>
      <c r="BQ101" s="207">
        <f t="shared" si="136"/>
        <v>-60</v>
      </c>
      <c r="BR101" s="46">
        <f t="shared" si="182"/>
        <v>-61.870720984172856</v>
      </c>
      <c r="BS101" s="46">
        <f t="shared" si="183"/>
        <v>-61.870720984172856</v>
      </c>
      <c r="BT101" s="46">
        <f t="shared" si="184"/>
        <v>241.87072098417286</v>
      </c>
      <c r="BU101" s="46">
        <f t="shared" si="226"/>
        <v>-118.12927901582714</v>
      </c>
      <c r="BV101" s="46">
        <f t="shared" si="186"/>
        <v>4.0011692697733787</v>
      </c>
      <c r="BW101" s="46">
        <f t="shared" si="187"/>
        <v>594.34339296179417</v>
      </c>
      <c r="BX101" s="47">
        <f>COS(RADIANS(BP101))*COS(RADIANS(BR101-Insolation!$L$6))*SIN(RADIANS(0))+(SIN(RADIANS(BP101))*COS(RADIANS(0)))</f>
        <v>0.249926941995293</v>
      </c>
      <c r="BY101" s="47">
        <f>COS(RADIANS(BP101))*COS(RADIANS(BR101-Insolation!$L$6))*SIN(RADIANS(Insolation!$L$7))+SIN(RADIANS(BP101))*COS(RADIANS(Insolation!$L$7))</f>
        <v>0.45650059154984618</v>
      </c>
      <c r="BZ101" s="46">
        <f t="shared" si="188"/>
        <v>148.54242669804796</v>
      </c>
      <c r="CA101" s="46">
        <f t="shared" si="189"/>
        <v>54.215130625533078</v>
      </c>
      <c r="CB101" s="46">
        <f t="shared" si="190"/>
        <v>271.31811047080174</v>
      </c>
      <c r="CC101" s="46">
        <f>$BN$91*BW101*((1+COS(RADIANS(Insolation!$L$7)))/2)</f>
        <v>27.107565312766539</v>
      </c>
      <c r="CD101" s="46">
        <f t="shared" si="191"/>
        <v>586.02127283179357</v>
      </c>
      <c r="CE101" s="46">
        <f t="shared" si="192"/>
        <v>38.164569317959469</v>
      </c>
      <c r="CF101" s="46">
        <f t="shared" si="193"/>
        <v>594.34339296179417</v>
      </c>
      <c r="CG101" s="46">
        <f t="shared" si="194"/>
        <v>33.882476216323958</v>
      </c>
      <c r="CJ101" s="212">
        <v>16</v>
      </c>
      <c r="CK101" s="46">
        <f t="shared" si="195"/>
        <v>7.2126338827270713</v>
      </c>
      <c r="CL101" s="207">
        <f t="shared" si="137"/>
        <v>-60</v>
      </c>
      <c r="CM101" s="46">
        <f t="shared" si="196"/>
        <v>-55.551838429770918</v>
      </c>
      <c r="CN101" s="46">
        <f t="shared" si="197"/>
        <v>-55.551838429770918</v>
      </c>
      <c r="CO101" s="46">
        <f t="shared" si="198"/>
        <v>235.55183842977092</v>
      </c>
      <c r="CP101" s="46">
        <f t="shared" si="227"/>
        <v>-124.44816157022908</v>
      </c>
      <c r="CQ101" s="46">
        <f t="shared" si="200"/>
        <v>7.9648276628502215</v>
      </c>
      <c r="CR101" s="46">
        <f t="shared" si="201"/>
        <v>356.95678254741091</v>
      </c>
      <c r="CS101" s="47">
        <f>COS(RADIANS(CK101))*COS(RADIANS(CM101-Insolation!$L$6))*SIN(RADIANS(0))+(SIN(RADIANS(CK101))*COS(RADIANS(0)))</f>
        <v>0.12555199463564401</v>
      </c>
      <c r="CT101" s="47">
        <f>COS(RADIANS(CK101))*COS(RADIANS(CM101-Insolation!$L$6))*SIN(RADIANS(Insolation!$L$7))+SIN(RADIANS(CK101))*COS(RADIANS(Insolation!$L$7))</f>
        <v>0.56118432853869615</v>
      </c>
      <c r="CU101" s="46">
        <f t="shared" si="202"/>
        <v>44.816636047549281</v>
      </c>
      <c r="CV101" s="46">
        <f t="shared" si="203"/>
        <v>25.518337042518461</v>
      </c>
      <c r="CW101" s="46">
        <f t="shared" si="204"/>
        <v>200.31855233120217</v>
      </c>
      <c r="CX101" s="46">
        <f>$CI$91*CR101*((1+COS(RADIANS(Insolation!$L$7)))/2)</f>
        <v>12.75916852125923</v>
      </c>
      <c r="CY101" s="46">
        <f t="shared" si="205"/>
        <v>337.2083259784917</v>
      </c>
      <c r="CZ101" s="46">
        <f t="shared" si="206"/>
        <v>18.42445372461474</v>
      </c>
      <c r="DA101" s="46">
        <f t="shared" si="207"/>
        <v>356.95678254741091</v>
      </c>
      <c r="DB101" s="46">
        <f t="shared" si="208"/>
        <v>14.36110757899565</v>
      </c>
      <c r="DE101" s="212">
        <v>16</v>
      </c>
      <c r="DF101" s="46">
        <f t="shared" si="209"/>
        <v>3.9969146660508725</v>
      </c>
      <c r="DG101" s="207">
        <f t="shared" si="138"/>
        <v>-60</v>
      </c>
      <c r="DH101" s="46">
        <f t="shared" si="210"/>
        <v>-52.856520415427319</v>
      </c>
      <c r="DI101" s="46">
        <f t="shared" si="211"/>
        <v>-52.856520415427319</v>
      </c>
      <c r="DJ101" s="46">
        <f t="shared" si="212"/>
        <v>232.85652041542733</v>
      </c>
      <c r="DK101" s="46">
        <f t="shared" si="228"/>
        <v>-127.14347958457267</v>
      </c>
      <c r="DL101" s="46">
        <f t="shared" si="214"/>
        <v>14.346635103060539</v>
      </c>
      <c r="DM101" s="46">
        <f t="shared" si="215"/>
        <v>160.30757780347571</v>
      </c>
      <c r="DN101" s="47">
        <f>COS(RADIANS(DF101))*COS(RADIANS(DH101-Insolation!$L$6))*SIN(RADIANS(0))+(SIN(RADIANS(DF101))*COS(RADIANS(0)))</f>
        <v>6.9702755581109888E-2</v>
      </c>
      <c r="DO101" s="47">
        <f>COS(RADIANS(DF101))*COS(RADIANS(DH101-Insolation!$L$6))*SIN(RADIANS(Insolation!$L$7))+SIN(RADIANS(DF101))*COS(RADIANS(Insolation!$L$7))</f>
        <v>0.60234447902264932</v>
      </c>
      <c r="DP101" s="46">
        <f t="shared" si="216"/>
        <v>11.173879913435425</v>
      </c>
      <c r="DQ101" s="46">
        <f t="shared" si="217"/>
        <v>9.3901469878488406</v>
      </c>
      <c r="DR101" s="46">
        <f t="shared" si="218"/>
        <v>96.560384435417404</v>
      </c>
      <c r="DS101" s="46">
        <f>$DD$91*DM101*((1+COS(RADIANS(Insolation!$L$7)))/2)</f>
        <v>4.6950734939244203</v>
      </c>
      <c r="DT101" s="46">
        <f t="shared" si="219"/>
        <v>147.19490963382282</v>
      </c>
      <c r="DU101" s="46">
        <f t="shared" si="220"/>
        <v>6.8508064474743522</v>
      </c>
      <c r="DV101" s="46">
        <f t="shared" si="221"/>
        <v>160.30757780347571</v>
      </c>
      <c r="DW101" s="46">
        <f t="shared" si="222"/>
        <v>5.0223330541067819</v>
      </c>
    </row>
    <row r="102" spans="2:127" x14ac:dyDescent="0.25">
      <c r="D102" s="212">
        <v>16.5</v>
      </c>
      <c r="E102" s="46">
        <f t="shared" si="139"/>
        <v>30.685974770400637</v>
      </c>
      <c r="F102" s="207">
        <f t="shared" si="133"/>
        <v>-67.5</v>
      </c>
      <c r="G102" s="46">
        <f t="shared" si="140"/>
        <v>-91.926265387508693</v>
      </c>
      <c r="H102" s="46">
        <f t="shared" si="141"/>
        <v>-88.073734612491322</v>
      </c>
      <c r="I102" s="46">
        <f t="shared" si="142"/>
        <v>268.07373461249131</v>
      </c>
      <c r="J102" s="46">
        <f t="shared" si="223"/>
        <v>-91.926265387508693</v>
      </c>
      <c r="K102" s="46">
        <f t="shared" si="144"/>
        <v>1.9595070899232463</v>
      </c>
      <c r="L102" s="46">
        <f t="shared" si="145"/>
        <v>721.66242589295439</v>
      </c>
      <c r="M102" s="47">
        <f>COS(RADIANS(E102))*COS(RADIANS(G102-Insolation!$L$6))*SIN(RADIANS(0))+(SIN(RADIANS(E102))*COS(RADIANS(0)))</f>
        <v>0.51033242244567223</v>
      </c>
      <c r="N102" s="47">
        <f>COS(RADIANS(E102))*COS(RADIANS(G102-Insolation!$L$6))*SIN(RADIANS(Insolation!$L$7))+SIN(RADIANS(E102))*COS(RADIANS(Insolation!$L$7))</f>
        <v>-2.8906706982428511E-2</v>
      </c>
      <c r="O102" s="46">
        <f t="shared" si="146"/>
        <v>368.28773399397181</v>
      </c>
      <c r="P102" s="46">
        <f t="shared" si="147"/>
        <v>97.327981692939559</v>
      </c>
      <c r="Q102" s="46">
        <f t="shared" si="148"/>
        <v>0</v>
      </c>
      <c r="R102" s="46">
        <f>$C$91*L102*((1+COS(RADIANS(Insolation!$L$7)))/2)</f>
        <v>48.66399084646978</v>
      </c>
      <c r="S102" s="46">
        <f t="shared" si="149"/>
        <v>671.36734146295771</v>
      </c>
      <c r="T102" s="46">
        <f t="shared" si="150"/>
        <v>56.418152394115253</v>
      </c>
      <c r="U102" s="46">
        <f t="shared" si="151"/>
        <v>721.66242589295439</v>
      </c>
      <c r="V102" s="46">
        <f t="shared" si="152"/>
        <v>73.498803181022723</v>
      </c>
      <c r="Y102" s="212">
        <v>16.5</v>
      </c>
      <c r="Z102" s="46">
        <f t="shared" si="153"/>
        <v>25.774704638849602</v>
      </c>
      <c r="AA102" s="207">
        <f t="shared" si="134"/>
        <v>-67.5</v>
      </c>
      <c r="AB102" s="46">
        <f t="shared" si="154"/>
        <v>-85.140789700416789</v>
      </c>
      <c r="AC102" s="46">
        <f t="shared" si="155"/>
        <v>-85.140789700416789</v>
      </c>
      <c r="AD102" s="46">
        <f t="shared" si="156"/>
        <v>265.1407897004168</v>
      </c>
      <c r="AE102" s="46">
        <f t="shared" si="224"/>
        <v>-94.859210299583197</v>
      </c>
      <c r="AF102" s="46">
        <f t="shared" si="158"/>
        <v>2.2997304059296617</v>
      </c>
      <c r="AG102" s="46">
        <f t="shared" si="159"/>
        <v>693.38297357208853</v>
      </c>
      <c r="AH102" s="47">
        <f>COS(RADIANS(Z102))*COS(RADIANS(AB102-Insolation!$L$6))*SIN(RADIANS(0))+(SIN(RADIANS(Z102))*COS(RADIANS(0)))</f>
        <v>0.4348335776322233</v>
      </c>
      <c r="AI102" s="47">
        <f>COS(RADIANS(Z102))*COS(RADIANS(AB102-Insolation!$L$6))*SIN(RADIANS(Insolation!$L$7))+SIN(RADIANS(Z102))*COS(RADIANS(Insolation!$L$7))</f>
        <v>7.6280101337986211E-2</v>
      </c>
      <c r="AJ102" s="46">
        <f t="shared" si="160"/>
        <v>301.50619906762057</v>
      </c>
      <c r="AK102" s="46">
        <f t="shared" si="161"/>
        <v>88.518325775201546</v>
      </c>
      <c r="AL102" s="46">
        <f t="shared" si="162"/>
        <v>52.89132349011313</v>
      </c>
      <c r="AM102" s="46">
        <f>$X$91*AG102*((1+COS(RADIANS(Insolation!$L$7)))/2)</f>
        <v>44.259162887600773</v>
      </c>
      <c r="AN102" s="46">
        <f t="shared" si="163"/>
        <v>673.41539215944886</v>
      </c>
      <c r="AO102" s="46">
        <f t="shared" si="164"/>
        <v>53.454466016625425</v>
      </c>
      <c r="AP102" s="46">
        <f t="shared" si="165"/>
        <v>693.38297357208853</v>
      </c>
      <c r="AQ102" s="46">
        <f t="shared" si="166"/>
        <v>63.504533029023534</v>
      </c>
      <c r="AT102" s="212">
        <v>16.5</v>
      </c>
      <c r="AU102" s="46">
        <f t="shared" si="167"/>
        <v>17.91569857722191</v>
      </c>
      <c r="AV102" s="207">
        <f t="shared" si="135"/>
        <v>-67.5</v>
      </c>
      <c r="AW102" s="46">
        <f t="shared" si="168"/>
        <v>-75.985527594391343</v>
      </c>
      <c r="AX102" s="46">
        <f t="shared" si="169"/>
        <v>-75.985527594391343</v>
      </c>
      <c r="AY102" s="46">
        <f t="shared" si="170"/>
        <v>255.98552759439133</v>
      </c>
      <c r="AZ102" s="46">
        <f t="shared" si="225"/>
        <v>-104.01447240560867</v>
      </c>
      <c r="BA102" s="46">
        <f t="shared" si="172"/>
        <v>3.2507920880410768</v>
      </c>
      <c r="BB102" s="46">
        <f t="shared" si="173"/>
        <v>617.16341959355736</v>
      </c>
      <c r="BC102" s="47">
        <f>COS(RADIANS(AU102))*COS(RADIANS(AW102-Insolation!$L$6))*SIN(RADIANS(0))+(SIN(RADIANS(AU102))*COS(RADIANS(0)))</f>
        <v>0.30761733538074371</v>
      </c>
      <c r="BD102" s="47">
        <f>COS(RADIANS(AU102))*COS(RADIANS(AW102-Insolation!$L$6))*SIN(RADIANS(Insolation!$L$7))+SIN(RADIANS(AU102))*COS(RADIANS(Insolation!$L$7))</f>
        <v>0.23042433683093536</v>
      </c>
      <c r="BE102" s="46">
        <f t="shared" si="174"/>
        <v>189.85016662983799</v>
      </c>
      <c r="BF102" s="46">
        <f t="shared" si="175"/>
        <v>68.736105796333888</v>
      </c>
      <c r="BG102" s="46">
        <f t="shared" si="176"/>
        <v>142.20947167615776</v>
      </c>
      <c r="BH102" s="46">
        <f>$AS$91*BB102*((1+COS(RADIANS(Insolation!$L$7)))/2)</f>
        <v>34.368052898166944</v>
      </c>
      <c r="BI102" s="46">
        <f t="shared" si="177"/>
        <v>616.70150916948307</v>
      </c>
      <c r="BJ102" s="46">
        <f t="shared" si="178"/>
        <v>43.667377200033691</v>
      </c>
      <c r="BK102" s="46">
        <f t="shared" si="179"/>
        <v>617.16341959355736</v>
      </c>
      <c r="BL102" s="46">
        <f t="shared" si="180"/>
        <v>44.940261752925508</v>
      </c>
      <c r="BO102" s="212">
        <v>16.5</v>
      </c>
      <c r="BP102" s="46">
        <f t="shared" si="181"/>
        <v>9.4853697280673668</v>
      </c>
      <c r="BQ102" s="207">
        <f t="shared" si="136"/>
        <v>-67.5</v>
      </c>
      <c r="BR102" s="46">
        <f t="shared" si="182"/>
        <v>-67.453776164059803</v>
      </c>
      <c r="BS102" s="46">
        <f t="shared" si="183"/>
        <v>-67.453776164059803</v>
      </c>
      <c r="BT102" s="46">
        <f t="shared" si="184"/>
        <v>247.4537761640598</v>
      </c>
      <c r="BU102" s="46">
        <f t="shared" si="226"/>
        <v>-112.5462238359402</v>
      </c>
      <c r="BV102" s="46">
        <f t="shared" si="186"/>
        <v>6.0681174341868429</v>
      </c>
      <c r="BW102" s="46">
        <f t="shared" si="187"/>
        <v>417.65150471119824</v>
      </c>
      <c r="BX102" s="47">
        <f>COS(RADIANS(BP102))*COS(RADIANS(BR102-Insolation!$L$6))*SIN(RADIANS(0))+(SIN(RADIANS(BP102))*COS(RADIANS(0)))</f>
        <v>0.16479575598951882</v>
      </c>
      <c r="BY102" s="47">
        <f>COS(RADIANS(BP102))*COS(RADIANS(BR102-Insolation!$L$6))*SIN(RADIANS(Insolation!$L$7))+SIN(RADIANS(BP102))*COS(RADIANS(Insolation!$L$7))</f>
        <v>0.37818630872317016</v>
      </c>
      <c r="BZ102" s="46">
        <f t="shared" si="188"/>
        <v>68.827195459041988</v>
      </c>
      <c r="CA102" s="46">
        <f t="shared" si="189"/>
        <v>38.097556315097464</v>
      </c>
      <c r="CB102" s="46">
        <f t="shared" si="190"/>
        <v>157.95008089940578</v>
      </c>
      <c r="CC102" s="46">
        <f>$BN$91*BW102*((1+COS(RADIANS(Insolation!$L$7)))/2)</f>
        <v>19.048778157548732</v>
      </c>
      <c r="CD102" s="46">
        <f t="shared" si="191"/>
        <v>411.80346124702947</v>
      </c>
      <c r="CE102" s="46">
        <f t="shared" si="192"/>
        <v>25.277093471720274</v>
      </c>
      <c r="CF102" s="46">
        <f t="shared" si="193"/>
        <v>417.65150471119824</v>
      </c>
      <c r="CG102" s="46">
        <f t="shared" si="194"/>
        <v>22.187935954698609</v>
      </c>
      <c r="CJ102" s="212">
        <v>16.5</v>
      </c>
      <c r="CK102" s="46">
        <f t="shared" si="195"/>
        <v>2.5211735755682319</v>
      </c>
      <c r="CL102" s="207">
        <f t="shared" si="137"/>
        <v>-67.5</v>
      </c>
      <c r="CM102" s="46">
        <f t="shared" si="196"/>
        <v>-60.881127551036059</v>
      </c>
      <c r="CN102" s="46">
        <f t="shared" si="197"/>
        <v>-60.881127551036059</v>
      </c>
      <c r="CO102" s="46">
        <f t="shared" si="198"/>
        <v>240.88112755103606</v>
      </c>
      <c r="CP102" s="46">
        <f t="shared" si="227"/>
        <v>-119.11887244896394</v>
      </c>
      <c r="CQ102" s="46">
        <f t="shared" si="200"/>
        <v>22.733172368782597</v>
      </c>
      <c r="CR102" s="46">
        <f t="shared" si="201"/>
        <v>37.03058789538504</v>
      </c>
      <c r="CS102" s="47">
        <f>COS(RADIANS(CK102))*COS(RADIANS(CM102-Insolation!$L$6))*SIN(RADIANS(0))+(SIN(RADIANS(CK102))*COS(RADIANS(0)))</f>
        <v>4.3988581258162157E-2</v>
      </c>
      <c r="CT102" s="47">
        <f>COS(RADIANS(CK102))*COS(RADIANS(CM102-Insolation!$L$6))*SIN(RADIANS(Insolation!$L$7))+SIN(RADIANS(CK102))*COS(RADIANS(Insolation!$L$7))</f>
        <v>0.48615212796392665</v>
      </c>
      <c r="CU102" s="46">
        <f t="shared" si="202"/>
        <v>1.6289230246736608</v>
      </c>
      <c r="CV102" s="46">
        <f t="shared" si="203"/>
        <v>2.6472645121164788</v>
      </c>
      <c r="CW102" s="46">
        <f t="shared" si="204"/>
        <v>18.002499105096661</v>
      </c>
      <c r="CX102" s="46">
        <f>$CI$91*CR102*((1+COS(RADIANS(Insolation!$L$7)))/2)</f>
        <v>1.3236322560582394</v>
      </c>
      <c r="CY102" s="46">
        <f t="shared" si="205"/>
        <v>34.981889026141879</v>
      </c>
      <c r="CZ102" s="46">
        <f t="shared" si="206"/>
        <v>1.8123753212211231</v>
      </c>
      <c r="DA102" s="46">
        <f t="shared" si="207"/>
        <v>37.03058789538504</v>
      </c>
      <c r="DB102" s="46">
        <f t="shared" si="208"/>
        <v>1.3818569611097817</v>
      </c>
      <c r="DE102" s="212">
        <v>16.5</v>
      </c>
      <c r="DF102" s="46">
        <f t="shared" si="209"/>
        <v>-0.54861687764573541</v>
      </c>
      <c r="DG102" s="207">
        <f t="shared" si="138"/>
        <v>-67.5</v>
      </c>
      <c r="DH102" s="46">
        <f t="shared" si="210"/>
        <v>-58.032431087484653</v>
      </c>
      <c r="DI102" s="46">
        <f t="shared" si="211"/>
        <v>-58.032431087484653</v>
      </c>
      <c r="DJ102" s="46">
        <f t="shared" si="212"/>
        <v>238.03243108748467</v>
      </c>
      <c r="DK102" s="46">
        <f t="shared" si="228"/>
        <v>-121.96756891251533</v>
      </c>
      <c r="DL102" s="46">
        <f t="shared" si="214"/>
        <v>104.43837470885887</v>
      </c>
      <c r="DM102" s="46">
        <f t="shared" si="215"/>
        <v>0</v>
      </c>
      <c r="DN102" s="47">
        <f>COS(RADIANS(DF102))*COS(RADIANS(DH102-Insolation!$L$6))*SIN(RADIANS(0))+(SIN(RADIANS(DF102))*COS(RADIANS(0)))</f>
        <v>-9.5750245327704819E-3</v>
      </c>
      <c r="DO102" s="47">
        <f>COS(RADIANS(DF102))*COS(RADIANS(DH102-Insolation!$L$6))*SIN(RADIANS(Insolation!$L$7))+SIN(RADIANS(DF102))*COS(RADIANS(Insolation!$L$7))</f>
        <v>0.52941488899804445</v>
      </c>
      <c r="DP102" s="46">
        <f t="shared" si="216"/>
        <v>0</v>
      </c>
      <c r="DQ102" s="46">
        <f t="shared" si="217"/>
        <v>0</v>
      </c>
      <c r="DR102" s="46">
        <f t="shared" si="218"/>
        <v>0</v>
      </c>
      <c r="DS102" s="46">
        <f>$DD$91*DM102*((1+COS(RADIANS(Insolation!$L$7)))/2)</f>
        <v>0</v>
      </c>
      <c r="DT102" s="46">
        <f t="shared" si="219"/>
        <v>0</v>
      </c>
      <c r="DU102" s="46">
        <f t="shared" si="220"/>
        <v>0</v>
      </c>
      <c r="DV102" s="46">
        <f t="shared" si="221"/>
        <v>0</v>
      </c>
      <c r="DW102" s="46">
        <f t="shared" si="222"/>
        <v>0</v>
      </c>
    </row>
    <row r="103" spans="2:127" x14ac:dyDescent="0.25">
      <c r="D103" s="212">
        <v>17</v>
      </c>
      <c r="E103" s="46">
        <f t="shared" si="139"/>
        <v>25.183996328086572</v>
      </c>
      <c r="F103" s="207">
        <f t="shared" si="133"/>
        <v>-75</v>
      </c>
      <c r="G103" s="46">
        <f t="shared" si="140"/>
        <v>-96.785496951607172</v>
      </c>
      <c r="H103" s="46">
        <f t="shared" si="141"/>
        <v>-83.214503048392814</v>
      </c>
      <c r="I103" s="46">
        <f t="shared" si="142"/>
        <v>263.21450304839283</v>
      </c>
      <c r="J103" s="46">
        <f t="shared" si="223"/>
        <v>-96.785496951607172</v>
      </c>
      <c r="K103" s="46">
        <f t="shared" si="144"/>
        <v>2.3500296744334035</v>
      </c>
      <c r="L103" s="46">
        <f t="shared" si="145"/>
        <v>665.13093920202471</v>
      </c>
      <c r="M103" s="47">
        <f>COS(RADIANS(E103))*COS(RADIANS(G103-Insolation!$L$6))*SIN(RADIANS(0))+(SIN(RADIANS(E103))*COS(RADIANS(0)))</f>
        <v>0.42552654159190639</v>
      </c>
      <c r="N103" s="47">
        <f>COS(RADIANS(E103))*COS(RADIANS(G103-Insolation!$L$6))*SIN(RADIANS(Insolation!$L$7))+SIN(RADIANS(E103))*COS(RADIANS(Insolation!$L$7))</f>
        <v>-0.10692173355678837</v>
      </c>
      <c r="O103" s="46">
        <f t="shared" si="146"/>
        <v>283.03086826441415</v>
      </c>
      <c r="P103" s="46">
        <f t="shared" si="147"/>
        <v>89.703786079704741</v>
      </c>
      <c r="Q103" s="46">
        <f t="shared" si="148"/>
        <v>0</v>
      </c>
      <c r="R103" s="46">
        <f>$C$91*L103*((1+COS(RADIANS(Insolation!$L$7)))/2)</f>
        <v>44.851893039852371</v>
      </c>
      <c r="S103" s="46">
        <f t="shared" si="149"/>
        <v>618.77572443138502</v>
      </c>
      <c r="T103" s="46">
        <f t="shared" si="150"/>
        <v>47.720244378558142</v>
      </c>
      <c r="U103" s="46">
        <f t="shared" si="151"/>
        <v>665.13093920202471</v>
      </c>
      <c r="V103" s="46">
        <f t="shared" si="152"/>
        <v>63.937563968950855</v>
      </c>
      <c r="Y103" s="212">
        <v>17</v>
      </c>
      <c r="Z103" s="46">
        <f t="shared" si="153"/>
        <v>20.261151603418277</v>
      </c>
      <c r="AA103" s="207">
        <f t="shared" si="134"/>
        <v>-75</v>
      </c>
      <c r="AB103" s="46">
        <f t="shared" si="154"/>
        <v>-90.315419302148541</v>
      </c>
      <c r="AC103" s="46">
        <f t="shared" si="155"/>
        <v>-89.684580697851445</v>
      </c>
      <c r="AD103" s="46">
        <f t="shared" si="156"/>
        <v>269.68458069785146</v>
      </c>
      <c r="AE103" s="46">
        <f t="shared" si="224"/>
        <v>-90.315419302148541</v>
      </c>
      <c r="AF103" s="46">
        <f t="shared" si="158"/>
        <v>2.8876725460939876</v>
      </c>
      <c r="AG103" s="46">
        <f t="shared" si="159"/>
        <v>615.52640577319517</v>
      </c>
      <c r="AH103" s="47">
        <f>COS(RADIANS(Z103))*COS(RADIANS(AB103-Insolation!$L$6))*SIN(RADIANS(0))+(SIN(RADIANS(Z103))*COS(RADIANS(0)))</f>
        <v>0.34629965276106212</v>
      </c>
      <c r="AI103" s="47">
        <f>COS(RADIANS(Z103))*COS(RADIANS(AB103-Insolation!$L$6))*SIN(RADIANS(Insolation!$L$7))+SIN(RADIANS(Z103))*COS(RADIANS(Insolation!$L$7))</f>
        <v>-5.1644451017519915E-3</v>
      </c>
      <c r="AJ103" s="46">
        <f t="shared" si="160"/>
        <v>213.15658058452212</v>
      </c>
      <c r="AK103" s="46">
        <f t="shared" si="161"/>
        <v>78.579037827795673</v>
      </c>
      <c r="AL103" s="46">
        <f t="shared" si="162"/>
        <v>0</v>
      </c>
      <c r="AM103" s="46">
        <f>$X$91*AG103*((1+COS(RADIANS(Insolation!$L$7)))/2)</f>
        <v>39.289518913897837</v>
      </c>
      <c r="AN103" s="46">
        <f t="shared" si="163"/>
        <v>597.80088598491909</v>
      </c>
      <c r="AO103" s="46">
        <f t="shared" si="164"/>
        <v>43.721948177011505</v>
      </c>
      <c r="AP103" s="46">
        <f t="shared" si="165"/>
        <v>615.52640577319517</v>
      </c>
      <c r="AQ103" s="46">
        <f t="shared" si="166"/>
        <v>52.895465670929845</v>
      </c>
      <c r="AT103" s="212">
        <v>17</v>
      </c>
      <c r="AU103" s="46">
        <f t="shared" si="167"/>
        <v>12.505099103814992</v>
      </c>
      <c r="AV103" s="207">
        <f t="shared" si="135"/>
        <v>-75</v>
      </c>
      <c r="AW103" s="46">
        <f t="shared" si="168"/>
        <v>-81.362025633527836</v>
      </c>
      <c r="AX103" s="46">
        <f t="shared" si="169"/>
        <v>-81.362025633527836</v>
      </c>
      <c r="AY103" s="46">
        <f t="shared" si="170"/>
        <v>261.36202563352782</v>
      </c>
      <c r="AZ103" s="46">
        <f t="shared" si="225"/>
        <v>-98.637974366472179</v>
      </c>
      <c r="BA103" s="46">
        <f t="shared" si="172"/>
        <v>4.6183723541319619</v>
      </c>
      <c r="BB103" s="46">
        <f t="shared" si="173"/>
        <v>477.03074060563443</v>
      </c>
      <c r="BC103" s="47">
        <f>COS(RADIANS(AU103))*COS(RADIANS(AW103-Insolation!$L$6))*SIN(RADIANS(0))+(SIN(RADIANS(AU103))*COS(RADIANS(0)))</f>
        <v>0.21652649966720869</v>
      </c>
      <c r="BD103" s="47">
        <f>COS(RADIANS(AU103))*COS(RADIANS(AW103-Insolation!$L$6))*SIN(RADIANS(Insolation!$L$7))+SIN(RADIANS(AU103))*COS(RADIANS(Insolation!$L$7))</f>
        <v>0.14662762488915362</v>
      </c>
      <c r="BE103" s="46">
        <f t="shared" si="174"/>
        <v>103.28979649699421</v>
      </c>
      <c r="BF103" s="46">
        <f t="shared" si="175"/>
        <v>53.128935405741089</v>
      </c>
      <c r="BG103" s="46">
        <f t="shared" si="176"/>
        <v>69.945884494118104</v>
      </c>
      <c r="BH103" s="46">
        <f>$AS$91*BB103*((1+COS(RADIANS(Insolation!$L$7)))/2)</f>
        <v>26.564467702870544</v>
      </c>
      <c r="BI103" s="46">
        <f t="shared" si="177"/>
        <v>476.67371122784868</v>
      </c>
      <c r="BJ103" s="46">
        <f t="shared" si="178"/>
        <v>31.308876133360467</v>
      </c>
      <c r="BK103" s="46">
        <f t="shared" si="179"/>
        <v>477.03074060563443</v>
      </c>
      <c r="BL103" s="46">
        <f t="shared" si="180"/>
        <v>32.316378910095715</v>
      </c>
      <c r="BO103" s="212">
        <v>17</v>
      </c>
      <c r="BP103" s="46">
        <f t="shared" si="181"/>
        <v>4.2962304789302284</v>
      </c>
      <c r="BQ103" s="207">
        <f t="shared" si="136"/>
        <v>-75</v>
      </c>
      <c r="BR103" s="46">
        <f t="shared" si="182"/>
        <v>-72.762469127471491</v>
      </c>
      <c r="BS103" s="46">
        <f t="shared" si="183"/>
        <v>-72.762469127471491</v>
      </c>
      <c r="BT103" s="46">
        <f t="shared" si="184"/>
        <v>252.76246912747149</v>
      </c>
      <c r="BU103" s="46">
        <f t="shared" si="226"/>
        <v>-107.23753087252851</v>
      </c>
      <c r="BV103" s="46">
        <f t="shared" si="186"/>
        <v>13.348796347315457</v>
      </c>
      <c r="BW103" s="46">
        <f t="shared" si="187"/>
        <v>120.53009145179796</v>
      </c>
      <c r="BX103" s="47">
        <f>COS(RADIANS(BP103))*COS(RADIANS(BR103-Insolation!$L$6))*SIN(RADIANS(0))+(SIN(RADIANS(BP103))*COS(RADIANS(0)))</f>
        <v>7.4913121301839886E-2</v>
      </c>
      <c r="BY103" s="47">
        <f>COS(RADIANS(BP103))*COS(RADIANS(BR103-Insolation!$L$6))*SIN(RADIANS(Insolation!$L$7))+SIN(RADIANS(BP103))*COS(RADIANS(Insolation!$L$7))</f>
        <v>0.295501050777154</v>
      </c>
      <c r="BZ103" s="46">
        <f t="shared" si="188"/>
        <v>9.0292853614503947</v>
      </c>
      <c r="CA103" s="46">
        <f t="shared" si="189"/>
        <v>10.994577763879898</v>
      </c>
      <c r="CB103" s="46">
        <f t="shared" si="190"/>
        <v>35.616768674272762</v>
      </c>
      <c r="CC103" s="46">
        <f>$BN$91*BW103*((1+COS(RADIANS(Insolation!$L$7)))/2)</f>
        <v>5.4972888819399488</v>
      </c>
      <c r="CD103" s="46">
        <f t="shared" si="191"/>
        <v>118.84240397647626</v>
      </c>
      <c r="CE103" s="46">
        <f t="shared" si="192"/>
        <v>6.8174846071260609</v>
      </c>
      <c r="CF103" s="46">
        <f t="shared" si="193"/>
        <v>120.53009145179796</v>
      </c>
      <c r="CG103" s="46">
        <f t="shared" si="194"/>
        <v>5.9091079507839721</v>
      </c>
      <c r="CJ103" s="212">
        <v>17</v>
      </c>
      <c r="CK103" s="46">
        <f t="shared" si="195"/>
        <v>-2.4144225048222729</v>
      </c>
      <c r="CL103" s="207">
        <f t="shared" si="137"/>
        <v>-75</v>
      </c>
      <c r="CM103" s="46">
        <f t="shared" si="196"/>
        <v>-65.96505724038829</v>
      </c>
      <c r="CN103" s="46">
        <f t="shared" si="197"/>
        <v>-65.96505724038829</v>
      </c>
      <c r="CO103" s="46">
        <f t="shared" si="198"/>
        <v>245.96505724038829</v>
      </c>
      <c r="CP103" s="46">
        <f t="shared" si="227"/>
        <v>-114.03494275961171</v>
      </c>
      <c r="CQ103" s="46">
        <f t="shared" si="200"/>
        <v>23.737659856276093</v>
      </c>
      <c r="CR103" s="46">
        <f t="shared" si="201"/>
        <v>0</v>
      </c>
      <c r="CS103" s="47">
        <f>COS(RADIANS(CK103))*COS(RADIANS(CM103-Insolation!$L$6))*SIN(RADIANS(0))+(SIN(RADIANS(CK103))*COS(RADIANS(0)))</f>
        <v>-4.212715179401335E-2</v>
      </c>
      <c r="CT103" s="47">
        <f>COS(RADIANS(CK103))*COS(RADIANS(CM103-Insolation!$L$6))*SIN(RADIANS(Insolation!$L$7))+SIN(RADIANS(CK103))*COS(RADIANS(Insolation!$L$7))</f>
        <v>0.40693213596690253</v>
      </c>
      <c r="CU103" s="46">
        <f t="shared" si="202"/>
        <v>0</v>
      </c>
      <c r="CV103" s="46">
        <f t="shared" si="203"/>
        <v>0</v>
      </c>
      <c r="CW103" s="46">
        <f t="shared" si="204"/>
        <v>0</v>
      </c>
      <c r="CX103" s="46">
        <f>$CI$91*CR103*((1+COS(RADIANS(Insolation!$L$7)))/2)</f>
        <v>0</v>
      </c>
      <c r="CY103" s="46">
        <f t="shared" si="205"/>
        <v>0</v>
      </c>
      <c r="CZ103" s="46">
        <f t="shared" si="206"/>
        <v>0</v>
      </c>
      <c r="DA103" s="46">
        <f t="shared" si="207"/>
        <v>0</v>
      </c>
      <c r="DB103" s="46">
        <f t="shared" si="208"/>
        <v>0</v>
      </c>
      <c r="DE103" s="212">
        <v>17</v>
      </c>
      <c r="DF103" s="46">
        <f t="shared" si="209"/>
        <v>-5.3521907865463865</v>
      </c>
      <c r="DG103" s="207">
        <f t="shared" si="138"/>
        <v>-75</v>
      </c>
      <c r="DH103" s="46">
        <f t="shared" si="210"/>
        <v>-62.97392391991297</v>
      </c>
      <c r="DI103" s="46">
        <f t="shared" si="211"/>
        <v>-62.97392391991297</v>
      </c>
      <c r="DJ103" s="46">
        <f t="shared" si="212"/>
        <v>242.97392391991298</v>
      </c>
      <c r="DK103" s="46">
        <f t="shared" si="228"/>
        <v>-117.02607608008702</v>
      </c>
      <c r="DL103" s="46">
        <f t="shared" si="214"/>
        <v>10.720692589307772</v>
      </c>
      <c r="DM103" s="46">
        <f t="shared" si="215"/>
        <v>0</v>
      </c>
      <c r="DN103" s="47">
        <f>COS(RADIANS(DF103))*COS(RADIANS(DH103-Insolation!$L$6))*SIN(RADIANS(0))+(SIN(RADIANS(DF103))*COS(RADIANS(0)))</f>
        <v>-9.3277555686779492E-2</v>
      </c>
      <c r="DO103" s="47">
        <f>COS(RADIANS(DF103))*COS(RADIANS(DH103-Insolation!$L$6))*SIN(RADIANS(Insolation!$L$7))+SIN(RADIANS(DF103))*COS(RADIANS(Insolation!$L$7))</f>
        <v>0.45241486109218243</v>
      </c>
      <c r="DP103" s="46">
        <f t="shared" si="216"/>
        <v>0</v>
      </c>
      <c r="DQ103" s="46">
        <f t="shared" si="217"/>
        <v>0</v>
      </c>
      <c r="DR103" s="46">
        <f t="shared" si="218"/>
        <v>0</v>
      </c>
      <c r="DS103" s="46">
        <f>$DD$91*DM103*((1+COS(RADIANS(Insolation!$L$7)))/2)</f>
        <v>0</v>
      </c>
      <c r="DT103" s="46">
        <f t="shared" si="219"/>
        <v>0</v>
      </c>
      <c r="DU103" s="46">
        <f t="shared" si="220"/>
        <v>0</v>
      </c>
      <c r="DV103" s="46">
        <f t="shared" si="221"/>
        <v>0</v>
      </c>
      <c r="DW103" s="46">
        <f t="shared" si="222"/>
        <v>0</v>
      </c>
    </row>
    <row r="104" spans="2:127" x14ac:dyDescent="0.25">
      <c r="D104" s="212">
        <v>17.5</v>
      </c>
      <c r="E104" s="46">
        <f t="shared" si="139"/>
        <v>19.736115682126844</v>
      </c>
      <c r="F104" s="207">
        <f t="shared" si="133"/>
        <v>-82.5</v>
      </c>
      <c r="G104" s="46">
        <f t="shared" si="140"/>
        <v>-101.50430838106121</v>
      </c>
      <c r="H104" s="46">
        <f t="shared" si="141"/>
        <v>-78.495691618938793</v>
      </c>
      <c r="I104" s="46">
        <f t="shared" si="142"/>
        <v>258.49569161893879</v>
      </c>
      <c r="J104" s="46">
        <f t="shared" si="223"/>
        <v>-101.50430838106121</v>
      </c>
      <c r="K104" s="46">
        <f t="shared" si="144"/>
        <v>2.9613078273356392</v>
      </c>
      <c r="L104" s="46">
        <f t="shared" si="145"/>
        <v>585.40169533693131</v>
      </c>
      <c r="M104" s="47">
        <f>COS(RADIANS(E104))*COS(RADIANS(G104-Insolation!$L$6))*SIN(RADIANS(0))+(SIN(RADIANS(E104))*COS(RADIANS(0)))</f>
        <v>0.33768863566599366</v>
      </c>
      <c r="N104" s="47">
        <f>COS(RADIANS(E104))*COS(RADIANS(G104-Insolation!$L$6))*SIN(RADIANS(Insolation!$L$7))+SIN(RADIANS(E104))*COS(RADIANS(Insolation!$L$7))</f>
        <v>-0.18772599496010517</v>
      </c>
      <c r="O104" s="46">
        <f t="shared" si="146"/>
        <v>197.68349981488802</v>
      </c>
      <c r="P104" s="46">
        <f t="shared" si="147"/>
        <v>78.950993487389894</v>
      </c>
      <c r="Q104" s="46">
        <f t="shared" si="148"/>
        <v>0</v>
      </c>
      <c r="R104" s="46">
        <f>$C$91*L104*((1+COS(RADIANS(Insolation!$L$7)))/2)</f>
        <v>39.475496743694947</v>
      </c>
      <c r="S104" s="46">
        <f t="shared" si="149"/>
        <v>544.60308003421164</v>
      </c>
      <c r="T104" s="46">
        <f t="shared" si="150"/>
        <v>38.248473862860884</v>
      </c>
      <c r="U104" s="46">
        <f t="shared" si="151"/>
        <v>585.40169533693131</v>
      </c>
      <c r="V104" s="46">
        <f t="shared" si="152"/>
        <v>52.80592338131067</v>
      </c>
      <c r="Y104" s="212">
        <v>17.5</v>
      </c>
      <c r="Z104" s="46">
        <f t="shared" si="153"/>
        <v>14.7499092076845</v>
      </c>
      <c r="AA104" s="207">
        <f t="shared" si="134"/>
        <v>-82.5</v>
      </c>
      <c r="AB104" s="46">
        <f t="shared" si="154"/>
        <v>-95.311555615233715</v>
      </c>
      <c r="AC104" s="46">
        <f t="shared" si="155"/>
        <v>-84.688444384766285</v>
      </c>
      <c r="AD104" s="46">
        <f t="shared" si="156"/>
        <v>264.68844438476629</v>
      </c>
      <c r="AE104" s="46">
        <f t="shared" si="224"/>
        <v>-95.311555615233715</v>
      </c>
      <c r="AF104" s="46">
        <f t="shared" si="158"/>
        <v>3.9277233576271744</v>
      </c>
      <c r="AG104" s="46">
        <f t="shared" si="159"/>
        <v>498.5907244004203</v>
      </c>
      <c r="AH104" s="47">
        <f>COS(RADIANS(Z104))*COS(RADIANS(AB104-Insolation!$L$6))*SIN(RADIANS(0))+(SIN(RADIANS(Z104))*COS(RADIANS(0)))</f>
        <v>0.25460041580019077</v>
      </c>
      <c r="AI104" s="47">
        <f>COS(RADIANS(Z104))*COS(RADIANS(AB104-Insolation!$L$6))*SIN(RADIANS(Insolation!$L$7))+SIN(RADIANS(Z104))*COS(RADIANS(Insolation!$L$7))</f>
        <v>-8.9520840393315509E-2</v>
      </c>
      <c r="AJ104" s="46">
        <f t="shared" si="160"/>
        <v>126.94140574646534</v>
      </c>
      <c r="AK104" s="46">
        <f t="shared" si="161"/>
        <v>63.650850760877013</v>
      </c>
      <c r="AL104" s="46">
        <f t="shared" si="162"/>
        <v>0</v>
      </c>
      <c r="AM104" s="46">
        <f>$X$91*AG104*((1+COS(RADIANS(Insolation!$L$7)))/2)</f>
        <v>31.825425380438507</v>
      </c>
      <c r="AN104" s="46">
        <f t="shared" si="163"/>
        <v>484.23264054127389</v>
      </c>
      <c r="AO104" s="46">
        <f t="shared" si="164"/>
        <v>32.362164460230957</v>
      </c>
      <c r="AP104" s="46">
        <f t="shared" si="165"/>
        <v>498.5907244004203</v>
      </c>
      <c r="AQ104" s="46">
        <f t="shared" si="166"/>
        <v>39.928191915316091</v>
      </c>
      <c r="AT104" s="212">
        <v>17.5</v>
      </c>
      <c r="AU104" s="46">
        <f t="shared" si="167"/>
        <v>7.0178718933382145</v>
      </c>
      <c r="AV104" s="207">
        <f t="shared" si="135"/>
        <v>-82.5</v>
      </c>
      <c r="AW104" s="46">
        <f t="shared" si="168"/>
        <v>-86.543734745113241</v>
      </c>
      <c r="AX104" s="46">
        <f t="shared" si="169"/>
        <v>-86.543734745113241</v>
      </c>
      <c r="AY104" s="46">
        <f t="shared" si="170"/>
        <v>266.54373474511323</v>
      </c>
      <c r="AZ104" s="46">
        <f t="shared" si="225"/>
        <v>-93.456265254886773</v>
      </c>
      <c r="BA104" s="46">
        <f t="shared" si="172"/>
        <v>8.1847168929295293</v>
      </c>
      <c r="BB104" s="46">
        <f t="shared" si="173"/>
        <v>243.70057770588008</v>
      </c>
      <c r="BC104" s="47">
        <f>COS(RADIANS(AU104))*COS(RADIANS(AW104-Insolation!$L$6))*SIN(RADIANS(0))+(SIN(RADIANS(AU104))*COS(RADIANS(0)))</f>
        <v>0.12217893582414105</v>
      </c>
      <c r="BD104" s="47">
        <f>COS(RADIANS(AU104))*COS(RADIANS(AW104-Insolation!$L$6))*SIN(RADIANS(Insolation!$L$7))+SIN(RADIANS(AU104))*COS(RADIANS(Insolation!$L$7))</f>
        <v>5.9834968220271199E-2</v>
      </c>
      <c r="BE104" s="46">
        <f t="shared" si="174"/>
        <v>29.775077243832822</v>
      </c>
      <c r="BF104" s="46">
        <f t="shared" si="175"/>
        <v>27.141966228087064</v>
      </c>
      <c r="BG104" s="46">
        <f t="shared" si="176"/>
        <v>14.581816322293067</v>
      </c>
      <c r="BH104" s="46">
        <f>$AS$91*BB104*((1+COS(RADIANS(Insolation!$L$7)))/2)</f>
        <v>13.570983114043532</v>
      </c>
      <c r="BI104" s="46">
        <f t="shared" si="177"/>
        <v>243.51818219502917</v>
      </c>
      <c r="BJ104" s="46">
        <f t="shared" si="178"/>
        <v>14.70680622597853</v>
      </c>
      <c r="BK104" s="46">
        <f t="shared" si="179"/>
        <v>243.70057770588008</v>
      </c>
      <c r="BL104" s="46">
        <f t="shared" si="180"/>
        <v>15.229071389004757</v>
      </c>
      <c r="BO104" s="212">
        <v>17.5</v>
      </c>
      <c r="BP104" s="46">
        <f t="shared" si="181"/>
        <v>-1.0418691689428385</v>
      </c>
      <c r="BQ104" s="207">
        <f t="shared" si="136"/>
        <v>-82.5</v>
      </c>
      <c r="BR104" s="46">
        <f t="shared" si="182"/>
        <v>-77.883842778649992</v>
      </c>
      <c r="BS104" s="46">
        <f t="shared" si="183"/>
        <v>-77.883842778649992</v>
      </c>
      <c r="BT104" s="46">
        <f t="shared" si="184"/>
        <v>257.88384277864998</v>
      </c>
      <c r="BU104" s="46">
        <f t="shared" si="226"/>
        <v>-102.11615722135002</v>
      </c>
      <c r="BV104" s="46">
        <f t="shared" si="186"/>
        <v>54.996288314609835</v>
      </c>
      <c r="BW104" s="46">
        <f t="shared" si="187"/>
        <v>0</v>
      </c>
      <c r="BX104" s="47">
        <f>COS(RADIANS(BP104))*COS(RADIANS(BR104-Insolation!$L$6))*SIN(RADIANS(0))+(SIN(RADIANS(BP104))*COS(RADIANS(0)))</f>
        <v>-1.8183045268063094E-2</v>
      </c>
      <c r="BY104" s="47">
        <f>COS(RADIANS(BP104))*COS(RADIANS(BR104-Insolation!$L$6))*SIN(RADIANS(Insolation!$L$7))+SIN(RADIANS(BP104))*COS(RADIANS(Insolation!$L$7))</f>
        <v>0.20985958539993851</v>
      </c>
      <c r="BZ104" s="46">
        <f t="shared" si="188"/>
        <v>0</v>
      </c>
      <c r="CA104" s="46">
        <f t="shared" si="189"/>
        <v>0</v>
      </c>
      <c r="CB104" s="46">
        <f t="shared" si="190"/>
        <v>0</v>
      </c>
      <c r="CC104" s="46">
        <f>$BN$91*BW104*((1+COS(RADIANS(Insolation!$L$7)))/2)</f>
        <v>0</v>
      </c>
      <c r="CD104" s="46">
        <f t="shared" si="191"/>
        <v>0</v>
      </c>
      <c r="CE104" s="46">
        <f t="shared" si="192"/>
        <v>0</v>
      </c>
      <c r="CF104" s="46">
        <f t="shared" si="193"/>
        <v>0</v>
      </c>
      <c r="CG104" s="46">
        <f t="shared" si="194"/>
        <v>0</v>
      </c>
      <c r="CJ104" s="212">
        <v>17.5</v>
      </c>
      <c r="CK104" s="46">
        <f t="shared" si="195"/>
        <v>-7.5459773111501169</v>
      </c>
      <c r="CL104" s="207">
        <f t="shared" si="137"/>
        <v>-82.5</v>
      </c>
      <c r="CM104" s="46">
        <f t="shared" si="196"/>
        <v>-70.869678402363348</v>
      </c>
      <c r="CN104" s="46">
        <f t="shared" si="197"/>
        <v>-70.869678402363348</v>
      </c>
      <c r="CO104" s="46">
        <f t="shared" si="198"/>
        <v>250.86967840236335</v>
      </c>
      <c r="CP104" s="46">
        <f t="shared" si="227"/>
        <v>-109.13032159763665</v>
      </c>
      <c r="CQ104" s="46">
        <f t="shared" si="200"/>
        <v>7.6148853689705076</v>
      </c>
      <c r="CR104" s="46">
        <f t="shared" si="201"/>
        <v>0</v>
      </c>
      <c r="CS104" s="47">
        <f>COS(RADIANS(CK104))*COS(RADIANS(CM104-Insolation!$L$6))*SIN(RADIANS(0))+(SIN(RADIANS(CK104))*COS(RADIANS(0)))</f>
        <v>-0.13132174045256767</v>
      </c>
      <c r="CT104" s="47">
        <f>COS(RADIANS(CK104))*COS(RADIANS(CM104-Insolation!$L$6))*SIN(RADIANS(Insolation!$L$7))+SIN(RADIANS(CK104))*COS(RADIANS(Insolation!$L$7))</f>
        <v>0.324879828574623</v>
      </c>
      <c r="CU104" s="46">
        <f t="shared" si="202"/>
        <v>0</v>
      </c>
      <c r="CV104" s="46">
        <f t="shared" si="203"/>
        <v>0</v>
      </c>
      <c r="CW104" s="46">
        <f t="shared" si="204"/>
        <v>0</v>
      </c>
      <c r="CX104" s="46">
        <f>$CI$91*CR104*((1+COS(RADIANS(Insolation!$L$7)))/2)</f>
        <v>0</v>
      </c>
      <c r="CY104" s="46">
        <f t="shared" si="205"/>
        <v>0</v>
      </c>
      <c r="CZ104" s="46">
        <f t="shared" si="206"/>
        <v>0</v>
      </c>
      <c r="DA104" s="46">
        <f t="shared" si="207"/>
        <v>0</v>
      </c>
      <c r="DB104" s="46">
        <f t="shared" si="208"/>
        <v>0</v>
      </c>
      <c r="DE104" s="212">
        <v>17.5</v>
      </c>
      <c r="DF104" s="46">
        <f t="shared" si="209"/>
        <v>-10.368167586678984</v>
      </c>
      <c r="DG104" s="207">
        <f t="shared" si="138"/>
        <v>-82.5</v>
      </c>
      <c r="DH104" s="46">
        <f t="shared" si="210"/>
        <v>-67.737665171879556</v>
      </c>
      <c r="DI104" s="46">
        <f t="shared" si="211"/>
        <v>-67.737665171879556</v>
      </c>
      <c r="DJ104" s="46">
        <f t="shared" si="212"/>
        <v>247.73766517187954</v>
      </c>
      <c r="DK104" s="46">
        <f t="shared" si="228"/>
        <v>-112.26233482812046</v>
      </c>
      <c r="DL104" s="46">
        <f t="shared" si="214"/>
        <v>5.5563993761049586</v>
      </c>
      <c r="DM104" s="46">
        <f t="shared" si="215"/>
        <v>0</v>
      </c>
      <c r="DN104" s="47">
        <f>COS(RADIANS(DF104))*COS(RADIANS(DH104-Insolation!$L$6))*SIN(RADIANS(0))+(SIN(RADIANS(DF104))*COS(RADIANS(0)))</f>
        <v>-0.17997266436614587</v>
      </c>
      <c r="DO104" s="47">
        <f>COS(RADIANS(DF104))*COS(RADIANS(DH104-Insolation!$L$6))*SIN(RADIANS(Insolation!$L$7))+SIN(RADIANS(DF104))*COS(RADIANS(Insolation!$L$7))</f>
        <v>0.37266188713097365</v>
      </c>
      <c r="DP104" s="46">
        <f t="shared" si="216"/>
        <v>0</v>
      </c>
      <c r="DQ104" s="46">
        <f t="shared" si="217"/>
        <v>0</v>
      </c>
      <c r="DR104" s="46">
        <f t="shared" si="218"/>
        <v>0</v>
      </c>
      <c r="DS104" s="46">
        <f>$DD$91*DM104*((1+COS(RADIANS(Insolation!$L$7)))/2)</f>
        <v>0</v>
      </c>
      <c r="DT104" s="46">
        <f t="shared" si="219"/>
        <v>0</v>
      </c>
      <c r="DU104" s="46">
        <f t="shared" si="220"/>
        <v>0</v>
      </c>
      <c r="DV104" s="46">
        <f t="shared" si="221"/>
        <v>0</v>
      </c>
      <c r="DW104" s="46">
        <f t="shared" si="222"/>
        <v>0</v>
      </c>
    </row>
    <row r="105" spans="2:127" x14ac:dyDescent="0.25">
      <c r="D105" s="212">
        <v>18</v>
      </c>
      <c r="E105" s="46">
        <f t="shared" si="139"/>
        <v>14.378217428744531</v>
      </c>
      <c r="F105" s="207">
        <f t="shared" si="133"/>
        <v>-90</v>
      </c>
      <c r="G105" s="46">
        <f t="shared" si="140"/>
        <v>-106.18056569557439</v>
      </c>
      <c r="H105" s="46">
        <f t="shared" si="141"/>
        <v>-73.819434304425613</v>
      </c>
      <c r="I105" s="46">
        <f t="shared" si="142"/>
        <v>253.81943430442561</v>
      </c>
      <c r="J105" s="46">
        <f t="shared" si="223"/>
        <v>-106.18056569557439</v>
      </c>
      <c r="K105" s="46">
        <f t="shared" si="144"/>
        <v>4.0270353310843356</v>
      </c>
      <c r="L105" s="46">
        <f t="shared" si="145"/>
        <v>468.57016070749302</v>
      </c>
      <c r="M105" s="47">
        <f>COS(RADIANS(E105))*COS(RADIANS(G105-Insolation!$L$6))*SIN(RADIANS(0))+(SIN(RADIANS(E105))*COS(RADIANS(0)))</f>
        <v>0.2483216355915944</v>
      </c>
      <c r="N105" s="47">
        <f>COS(RADIANS(E105))*COS(RADIANS(G105-Insolation!$L$6))*SIN(RADIANS(Insolation!$L$7))+SIN(RADIANS(E105))*COS(RADIANS(Insolation!$L$7))</f>
        <v>-0.26993690787659486</v>
      </c>
      <c r="O105" s="46">
        <f t="shared" si="146"/>
        <v>116.35610869630091</v>
      </c>
      <c r="P105" s="46">
        <f t="shared" si="147"/>
        <v>63.194350137832039</v>
      </c>
      <c r="Q105" s="46">
        <f t="shared" si="148"/>
        <v>0</v>
      </c>
      <c r="R105" s="46">
        <f>$C$91*L105*((1+COS(RADIANS(Insolation!$L$7)))/2)</f>
        <v>31.59717506891602</v>
      </c>
      <c r="S105" s="46">
        <f t="shared" si="149"/>
        <v>435.91392844626654</v>
      </c>
      <c r="T105" s="46">
        <f t="shared" si="150"/>
        <v>27.670310982956153</v>
      </c>
      <c r="U105" s="46">
        <f t="shared" si="151"/>
        <v>468.57016070749302</v>
      </c>
      <c r="V105" s="46">
        <f t="shared" si="152"/>
        <v>39.443437262103195</v>
      </c>
      <c r="Y105" s="212">
        <v>18</v>
      </c>
      <c r="Z105" s="46">
        <f t="shared" si="153"/>
        <v>9.2826434259129122</v>
      </c>
      <c r="AA105" s="207">
        <f t="shared" si="134"/>
        <v>-90</v>
      </c>
      <c r="AB105" s="46">
        <f t="shared" si="154"/>
        <v>-100.23421352398765</v>
      </c>
      <c r="AC105" s="46">
        <f t="shared" si="155"/>
        <v>-79.765786476012352</v>
      </c>
      <c r="AD105" s="46">
        <f t="shared" si="156"/>
        <v>259.76578647601235</v>
      </c>
      <c r="AE105" s="46">
        <f t="shared" si="224"/>
        <v>-100.23421352398765</v>
      </c>
      <c r="AF105" s="46">
        <f t="shared" si="158"/>
        <v>6.1994409968354587</v>
      </c>
      <c r="AG105" s="46">
        <f t="shared" si="159"/>
        <v>314.68862632632926</v>
      </c>
      <c r="AH105" s="47">
        <f>COS(RADIANS(Z105))*COS(RADIANS(AB105-Insolation!$L$6))*SIN(RADIANS(0))+(SIN(RADIANS(Z105))*COS(RADIANS(0)))</f>
        <v>0.16130486611784126</v>
      </c>
      <c r="AI105" s="47">
        <f>COS(RADIANS(Z105))*COS(RADIANS(AB105-Insolation!$L$6))*SIN(RADIANS(Insolation!$L$7))+SIN(RADIANS(Z105))*COS(RADIANS(Insolation!$L$7))</f>
        <v>-0.17534572322530265</v>
      </c>
      <c r="AJ105" s="46">
        <f t="shared" si="160"/>
        <v>50.760806738375919</v>
      </c>
      <c r="AK105" s="46">
        <f t="shared" si="161"/>
        <v>40.173629011109</v>
      </c>
      <c r="AL105" s="46">
        <f t="shared" si="162"/>
        <v>0</v>
      </c>
      <c r="AM105" s="46">
        <f>$X$91*AG105*((1+COS(RADIANS(Insolation!$L$7)))/2)</f>
        <v>20.0868145055545</v>
      </c>
      <c r="AN105" s="46">
        <f t="shared" si="163"/>
        <v>305.62643269698219</v>
      </c>
      <c r="AO105" s="46">
        <f t="shared" si="164"/>
        <v>18.510499404549233</v>
      </c>
      <c r="AP105" s="46">
        <f t="shared" si="165"/>
        <v>314.68862632632926</v>
      </c>
      <c r="AQ105" s="46">
        <f t="shared" si="166"/>
        <v>23.326915430106883</v>
      </c>
      <c r="AT105" s="212">
        <v>18</v>
      </c>
      <c r="AU105" s="46">
        <f t="shared" si="167"/>
        <v>1.5006882734254736</v>
      </c>
      <c r="AV105" s="207">
        <f t="shared" si="135"/>
        <v>-90</v>
      </c>
      <c r="AW105" s="46">
        <f t="shared" si="168"/>
        <v>-91.631910157414211</v>
      </c>
      <c r="AX105" s="46">
        <f t="shared" si="169"/>
        <v>-88.368089842585789</v>
      </c>
      <c r="AY105" s="46">
        <f t="shared" si="170"/>
        <v>268.36808984258579</v>
      </c>
      <c r="AZ105" s="46">
        <f t="shared" si="225"/>
        <v>-91.631910157414211</v>
      </c>
      <c r="BA105" s="46">
        <f t="shared" si="172"/>
        <v>38.184033316276469</v>
      </c>
      <c r="BB105" s="46">
        <f t="shared" si="173"/>
        <v>0.8574823447965223</v>
      </c>
      <c r="BC105" s="47">
        <f>COS(RADIANS(AU105))*COS(RADIANS(AW105-Insolation!$L$6))*SIN(RADIANS(0))+(SIN(RADIANS(AU105))*COS(RADIANS(0)))</f>
        <v>2.6188956826981823E-2</v>
      </c>
      <c r="BD105" s="47">
        <f>COS(RADIANS(AU105))*COS(RADIANS(AW105-Insolation!$L$6))*SIN(RADIANS(Insolation!$L$7))+SIN(RADIANS(AU105))*COS(RADIANS(Insolation!$L$7))</f>
        <v>-2.8468586756631213E-2</v>
      </c>
      <c r="BE105" s="46">
        <f t="shared" si="174"/>
        <v>2.2456568107775264E-2</v>
      </c>
      <c r="BF105" s="46">
        <f t="shared" si="175"/>
        <v>9.5501443052535523E-2</v>
      </c>
      <c r="BG105" s="46">
        <f t="shared" si="176"/>
        <v>0</v>
      </c>
      <c r="BH105" s="46">
        <f>$AS$91*BB105*((1+COS(RADIANS(Insolation!$L$7)))/2)</f>
        <v>4.7750721526267761E-2</v>
      </c>
      <c r="BI105" s="46">
        <f t="shared" si="177"/>
        <v>0.85684056982907197</v>
      </c>
      <c r="BJ105" s="46">
        <f t="shared" si="178"/>
        <v>4.7153851996016134E-2</v>
      </c>
      <c r="BK105" s="46">
        <f t="shared" si="179"/>
        <v>0.8574823447965223</v>
      </c>
      <c r="BL105" s="46">
        <f t="shared" si="180"/>
        <v>4.9001263110776419E-2</v>
      </c>
      <c r="BO105" s="212">
        <v>18</v>
      </c>
      <c r="BP105" s="46">
        <f t="shared" si="181"/>
        <v>-6.4825059544830328</v>
      </c>
      <c r="BQ105" s="207">
        <f t="shared" si="136"/>
        <v>-90</v>
      </c>
      <c r="BR105" s="46">
        <f t="shared" si="182"/>
        <v>-82.904878502864221</v>
      </c>
      <c r="BS105" s="46">
        <f t="shared" si="183"/>
        <v>-82.904878502864221</v>
      </c>
      <c r="BT105" s="46">
        <f t="shared" si="184"/>
        <v>262.90487850286422</v>
      </c>
      <c r="BU105" s="46">
        <f t="shared" si="226"/>
        <v>-97.095121497135779</v>
      </c>
      <c r="BV105" s="46">
        <f t="shared" si="186"/>
        <v>8.8574082821103346</v>
      </c>
      <c r="BW105" s="46">
        <f t="shared" si="187"/>
        <v>0</v>
      </c>
      <c r="BX105" s="47">
        <f>COS(RADIANS(BP105))*COS(RADIANS(BR105-Insolation!$L$6))*SIN(RADIANS(0))+(SIN(RADIANS(BP105))*COS(RADIANS(0)))</f>
        <v>-0.11289984249904572</v>
      </c>
      <c r="BY105" s="47">
        <f>COS(RADIANS(BP105))*COS(RADIANS(BR105-Insolation!$L$6))*SIN(RADIANS(Insolation!$L$7))+SIN(RADIANS(BP105))*COS(RADIANS(Insolation!$L$7))</f>
        <v>0.12272726180842825</v>
      </c>
      <c r="BZ105" s="46">
        <f t="shared" si="188"/>
        <v>0</v>
      </c>
      <c r="CA105" s="46">
        <f t="shared" si="189"/>
        <v>0</v>
      </c>
      <c r="CB105" s="46">
        <f t="shared" si="190"/>
        <v>0</v>
      </c>
      <c r="CC105" s="46">
        <f>$BN$91*BW105*((1+COS(RADIANS(Insolation!$L$7)))/2)</f>
        <v>0</v>
      </c>
      <c r="CD105" s="46">
        <f t="shared" si="191"/>
        <v>0</v>
      </c>
      <c r="CE105" s="46">
        <f t="shared" si="192"/>
        <v>0</v>
      </c>
      <c r="CF105" s="46">
        <f t="shared" si="193"/>
        <v>0</v>
      </c>
      <c r="CG105" s="46">
        <f t="shared" si="194"/>
        <v>0</v>
      </c>
      <c r="CJ105" s="212">
        <v>18</v>
      </c>
      <c r="CK105" s="46">
        <f t="shared" si="195"/>
        <v>-12.830586827068785</v>
      </c>
      <c r="CL105" s="207">
        <f t="shared" si="137"/>
        <v>-90</v>
      </c>
      <c r="CM105" s="46">
        <f t="shared" si="196"/>
        <v>-75.665585278343187</v>
      </c>
      <c r="CN105" s="46">
        <f t="shared" si="197"/>
        <v>-75.665585278343187</v>
      </c>
      <c r="CO105" s="46">
        <f t="shared" si="198"/>
        <v>255.6655852783432</v>
      </c>
      <c r="CP105" s="46">
        <f t="shared" si="227"/>
        <v>-104.3344147216568</v>
      </c>
      <c r="CQ105" s="46">
        <f t="shared" si="200"/>
        <v>4.5031040680212584</v>
      </c>
      <c r="CR105" s="46">
        <f t="shared" si="201"/>
        <v>0</v>
      </c>
      <c r="CS105" s="47">
        <f>COS(RADIANS(CK105))*COS(RADIANS(CM105-Insolation!$L$6))*SIN(RADIANS(0))+(SIN(RADIANS(CK105))*COS(RADIANS(0)))</f>
        <v>-0.22206904057614135</v>
      </c>
      <c r="CT105" s="47">
        <f>COS(RADIANS(CK105))*COS(RADIANS(CM105-Insolation!$L$6))*SIN(RADIANS(Insolation!$L$7))+SIN(RADIANS(CK105))*COS(RADIANS(Insolation!$L$7))</f>
        <v>0.24139914351576811</v>
      </c>
      <c r="CU105" s="46">
        <f t="shared" si="202"/>
        <v>0</v>
      </c>
      <c r="CV105" s="46">
        <f t="shared" si="203"/>
        <v>0</v>
      </c>
      <c r="CW105" s="46">
        <f t="shared" si="204"/>
        <v>0</v>
      </c>
      <c r="CX105" s="46">
        <f>$CI$91*CR105*((1+COS(RADIANS(Insolation!$L$7)))/2)</f>
        <v>0</v>
      </c>
      <c r="CY105" s="46">
        <f t="shared" si="205"/>
        <v>0</v>
      </c>
      <c r="CZ105" s="46">
        <f t="shared" si="206"/>
        <v>0</v>
      </c>
      <c r="DA105" s="46">
        <f t="shared" si="207"/>
        <v>0</v>
      </c>
      <c r="DB105" s="46">
        <f t="shared" si="208"/>
        <v>0</v>
      </c>
      <c r="DE105" s="212">
        <v>18</v>
      </c>
      <c r="DF105" s="46">
        <f t="shared" si="209"/>
        <v>-15.555814891149199</v>
      </c>
      <c r="DG105" s="207">
        <f t="shared" si="138"/>
        <v>-90</v>
      </c>
      <c r="DH105" s="46">
        <f t="shared" si="210"/>
        <v>-72.385861839784539</v>
      </c>
      <c r="DI105" s="46">
        <f t="shared" si="211"/>
        <v>-72.385861839784539</v>
      </c>
      <c r="DJ105" s="46">
        <f t="shared" si="212"/>
        <v>252.38586183978452</v>
      </c>
      <c r="DK105" s="46">
        <f t="shared" si="228"/>
        <v>-107.61413816021548</v>
      </c>
      <c r="DL105" s="46">
        <f t="shared" si="214"/>
        <v>3.7288809250644435</v>
      </c>
      <c r="DM105" s="46">
        <f t="shared" si="215"/>
        <v>0</v>
      </c>
      <c r="DN105" s="47">
        <f>COS(RADIANS(DF105))*COS(RADIANS(DH105-Insolation!$L$6))*SIN(RADIANS(0))+(SIN(RADIANS(DF105))*COS(RADIANS(0)))</f>
        <v>-0.26817697322494088</v>
      </c>
      <c r="DO105" s="47">
        <f>COS(RADIANS(DF105))*COS(RADIANS(DH105-Insolation!$L$6))*SIN(RADIANS(Insolation!$L$7))+SIN(RADIANS(DF105))*COS(RADIANS(Insolation!$L$7))</f>
        <v>0.29152056261059511</v>
      </c>
      <c r="DP105" s="46">
        <f t="shared" si="216"/>
        <v>0</v>
      </c>
      <c r="DQ105" s="46">
        <f t="shared" si="217"/>
        <v>0</v>
      </c>
      <c r="DR105" s="46">
        <f t="shared" si="218"/>
        <v>0</v>
      </c>
      <c r="DS105" s="46">
        <f>$DD$91*DM105*((1+COS(RADIANS(Insolation!$L$7)))/2)</f>
        <v>0</v>
      </c>
      <c r="DT105" s="46">
        <f t="shared" si="219"/>
        <v>0</v>
      </c>
      <c r="DU105" s="46">
        <f t="shared" si="220"/>
        <v>0</v>
      </c>
      <c r="DV105" s="46">
        <f t="shared" si="221"/>
        <v>0</v>
      </c>
      <c r="DW105" s="46">
        <f t="shared" si="222"/>
        <v>0</v>
      </c>
    </row>
    <row r="106" spans="2:127" x14ac:dyDescent="0.25">
      <c r="D106" s="212">
        <v>18.5</v>
      </c>
      <c r="E106" s="46">
        <f t="shared" si="139"/>
        <v>9.1462247471881923</v>
      </c>
      <c r="F106" s="207">
        <f t="shared" si="133"/>
        <v>-97.5</v>
      </c>
      <c r="G106" s="46">
        <f t="shared" si="140"/>
        <v>-110.89661000714506</v>
      </c>
      <c r="H106" s="46">
        <f t="shared" si="141"/>
        <v>-69.103389992854943</v>
      </c>
      <c r="I106" s="46">
        <f t="shared" si="142"/>
        <v>249.10338999285494</v>
      </c>
      <c r="J106" s="46">
        <f t="shared" si="223"/>
        <v>-110.89661000714506</v>
      </c>
      <c r="K106" s="46">
        <f t="shared" si="144"/>
        <v>6.2911030983542711</v>
      </c>
      <c r="L106" s="46">
        <f t="shared" si="145"/>
        <v>292.00193813714145</v>
      </c>
      <c r="M106" s="47">
        <f>COS(RADIANS(E106))*COS(RADIANS(G106-Insolation!$L$6))*SIN(RADIANS(0))+(SIN(RADIANS(E106))*COS(RADIANS(0)))</f>
        <v>0.1589546355171951</v>
      </c>
      <c r="N106" s="47">
        <f>COS(RADIANS(E106))*COS(RADIANS(G106-Insolation!$L$6))*SIN(RADIANS(Insolation!$L$7))+SIN(RADIANS(E106))*COS(RADIANS(Insolation!$L$7))</f>
        <v>-0.3521478207930831</v>
      </c>
      <c r="O106" s="46">
        <f t="shared" si="146"/>
        <v>46.415061646903872</v>
      </c>
      <c r="P106" s="46">
        <f t="shared" si="147"/>
        <v>39.381237361982542</v>
      </c>
      <c r="Q106" s="46">
        <f t="shared" si="148"/>
        <v>0</v>
      </c>
      <c r="R106" s="46">
        <f>$C$91*L106*((1+COS(RADIANS(Insolation!$L$7)))/2)</f>
        <v>19.690618680991271</v>
      </c>
      <c r="S106" s="46">
        <f t="shared" si="149"/>
        <v>271.65133984437591</v>
      </c>
      <c r="T106" s="46">
        <f t="shared" si="150"/>
        <v>15.472044247320957</v>
      </c>
      <c r="U106" s="46">
        <f t="shared" si="151"/>
        <v>292.00193813714145</v>
      </c>
      <c r="V106" s="46">
        <f t="shared" si="152"/>
        <v>22.820533796536314</v>
      </c>
      <c r="Y106" s="212">
        <v>18.5</v>
      </c>
      <c r="Z106" s="46">
        <f t="shared" si="153"/>
        <v>3.8996569074122109</v>
      </c>
      <c r="AA106" s="207">
        <f t="shared" si="134"/>
        <v>-97.5</v>
      </c>
      <c r="AB106" s="46">
        <f t="shared" si="154"/>
        <v>-105.17551146539802</v>
      </c>
      <c r="AC106" s="46">
        <f t="shared" si="155"/>
        <v>-74.824488534601969</v>
      </c>
      <c r="AD106" s="46">
        <f t="shared" si="156"/>
        <v>254.82448853460198</v>
      </c>
      <c r="AE106" s="46">
        <f t="shared" si="224"/>
        <v>-105.17551146539802</v>
      </c>
      <c r="AF106" s="46">
        <f t="shared" si="158"/>
        <v>14.703867828880794</v>
      </c>
      <c r="AG106" s="46">
        <f t="shared" si="159"/>
        <v>56.191573578189313</v>
      </c>
      <c r="AH106" s="47">
        <f>COS(RADIANS(Z106))*COS(RADIANS(AB106-Insolation!$L$6))*SIN(RADIANS(0))+(SIN(RADIANS(Z106))*COS(RADIANS(0)))</f>
        <v>6.8009316435491685E-2</v>
      </c>
      <c r="AI106" s="47">
        <f>COS(RADIANS(Z106))*COS(RADIANS(AB106-Insolation!$L$6))*SIN(RADIANS(Insolation!$L$7))+SIN(RADIANS(Z106))*COS(RADIANS(Insolation!$L$7))</f>
        <v>-0.26117060605729037</v>
      </c>
      <c r="AJ106" s="46">
        <f t="shared" si="160"/>
        <v>3.8215505084872907</v>
      </c>
      <c r="AK106" s="46">
        <f t="shared" si="161"/>
        <v>7.1735018098165666</v>
      </c>
      <c r="AL106" s="46">
        <f t="shared" si="162"/>
        <v>0</v>
      </c>
      <c r="AM106" s="46">
        <f>$X$91*AG106*((1+COS(RADIANS(Insolation!$L$7)))/2)</f>
        <v>3.5867509049082833</v>
      </c>
      <c r="AN106" s="46">
        <f t="shared" si="163"/>
        <v>54.573406038904942</v>
      </c>
      <c r="AO106" s="46">
        <f t="shared" si="164"/>
        <v>2.971076487573904</v>
      </c>
      <c r="AP106" s="46">
        <f t="shared" si="165"/>
        <v>56.191573578189313</v>
      </c>
      <c r="AQ106" s="46">
        <f t="shared" si="166"/>
        <v>3.8306833821754767</v>
      </c>
      <c r="AT106" s="212">
        <v>18.5</v>
      </c>
      <c r="AU106" s="46">
        <f t="shared" si="167"/>
        <v>-4.0025586735831418</v>
      </c>
      <c r="AV106" s="207">
        <f t="shared" si="135"/>
        <v>-97.5</v>
      </c>
      <c r="AW106" s="46">
        <f t="shared" si="168"/>
        <v>-96.72232160145802</v>
      </c>
      <c r="AX106" s="46">
        <f t="shared" si="169"/>
        <v>-83.277678398542008</v>
      </c>
      <c r="AY106" s="46">
        <f t="shared" si="170"/>
        <v>263.27767839854198</v>
      </c>
      <c r="AZ106" s="46">
        <f t="shared" si="225"/>
        <v>-96.72232160145802</v>
      </c>
      <c r="BA106" s="46">
        <f t="shared" si="172"/>
        <v>14.326437764220183</v>
      </c>
      <c r="BB106" s="46">
        <f t="shared" si="173"/>
        <v>0</v>
      </c>
      <c r="BC106" s="47">
        <f>COS(RADIANS(AU106))*COS(RADIANS(AW106-Insolation!$L$6))*SIN(RADIANS(0))+(SIN(RADIANS(AU106))*COS(RADIANS(0)))</f>
        <v>-6.9801022170177418E-2</v>
      </c>
      <c r="BD106" s="47">
        <f>COS(RADIANS(AU106))*COS(RADIANS(AW106-Insolation!$L$6))*SIN(RADIANS(Insolation!$L$7))+SIN(RADIANS(AU106))*COS(RADIANS(Insolation!$L$7))</f>
        <v>-0.11677214173354472</v>
      </c>
      <c r="BE106" s="46">
        <f t="shared" si="174"/>
        <v>0</v>
      </c>
      <c r="BF106" s="46">
        <f t="shared" si="175"/>
        <v>0</v>
      </c>
      <c r="BG106" s="46">
        <f t="shared" si="176"/>
        <v>0</v>
      </c>
      <c r="BH106" s="46">
        <f>$AS$91*BB106*((1+COS(RADIANS(Insolation!$L$7)))/2)</f>
        <v>0</v>
      </c>
      <c r="BI106" s="46">
        <f t="shared" si="177"/>
        <v>0</v>
      </c>
      <c r="BJ106" s="46">
        <f t="shared" si="178"/>
        <v>0</v>
      </c>
      <c r="BK106" s="46">
        <f t="shared" si="179"/>
        <v>0</v>
      </c>
      <c r="BL106" s="46">
        <f t="shared" si="180"/>
        <v>0</v>
      </c>
      <c r="BO106" s="212">
        <v>18.5</v>
      </c>
      <c r="BP106" s="46">
        <f t="shared" si="181"/>
        <v>-11.982717699865908</v>
      </c>
      <c r="BQ106" s="207">
        <f t="shared" si="136"/>
        <v>-97.5</v>
      </c>
      <c r="BR106" s="46">
        <f t="shared" si="182"/>
        <v>-87.914671185104012</v>
      </c>
      <c r="BS106" s="46">
        <f t="shared" si="183"/>
        <v>-87.914671185104012</v>
      </c>
      <c r="BT106" s="46">
        <f t="shared" si="184"/>
        <v>267.914671185104</v>
      </c>
      <c r="BU106" s="46">
        <f t="shared" si="226"/>
        <v>-92.085328814896002</v>
      </c>
      <c r="BV106" s="46">
        <f t="shared" si="186"/>
        <v>4.816569622263116</v>
      </c>
      <c r="BW106" s="46">
        <f t="shared" si="187"/>
        <v>0</v>
      </c>
      <c r="BX106" s="47">
        <f>COS(RADIANS(BP106))*COS(RADIANS(BR106-Insolation!$L$6))*SIN(RADIANS(0))+(SIN(RADIANS(BP106))*COS(RADIANS(0)))</f>
        <v>-0.20761663973002834</v>
      </c>
      <c r="BY106" s="47">
        <f>COS(RADIANS(BP106))*COS(RADIANS(BR106-Insolation!$L$6))*SIN(RADIANS(Insolation!$L$7))+SIN(RADIANS(BP106))*COS(RADIANS(Insolation!$L$7))</f>
        <v>3.5594938216915326E-2</v>
      </c>
      <c r="BZ106" s="46">
        <f t="shared" si="188"/>
        <v>0</v>
      </c>
      <c r="CA106" s="46">
        <f t="shared" si="189"/>
        <v>0</v>
      </c>
      <c r="CB106" s="46">
        <f t="shared" si="190"/>
        <v>0</v>
      </c>
      <c r="CC106" s="46">
        <f>$BN$91*BW106*((1+COS(RADIANS(Insolation!$L$7)))/2)</f>
        <v>0</v>
      </c>
      <c r="CD106" s="46">
        <f t="shared" si="191"/>
        <v>0</v>
      </c>
      <c r="CE106" s="46">
        <f t="shared" si="192"/>
        <v>0</v>
      </c>
      <c r="CF106" s="46">
        <f t="shared" si="193"/>
        <v>0</v>
      </c>
      <c r="CG106" s="46">
        <f t="shared" si="194"/>
        <v>0</v>
      </c>
      <c r="CJ106" s="212">
        <v>18.5</v>
      </c>
      <c r="CK106" s="46">
        <f t="shared" si="195"/>
        <v>-18.229038495388547</v>
      </c>
      <c r="CL106" s="207">
        <f t="shared" si="137"/>
        <v>-97.5</v>
      </c>
      <c r="CM106" s="46">
        <f t="shared" si="196"/>
        <v>-80.429412247805587</v>
      </c>
      <c r="CN106" s="46">
        <f t="shared" si="197"/>
        <v>-80.429412247805587</v>
      </c>
      <c r="CO106" s="46">
        <f t="shared" si="198"/>
        <v>260.4294122478056</v>
      </c>
      <c r="CP106" s="46">
        <f t="shared" si="227"/>
        <v>-99.570587752194399</v>
      </c>
      <c r="CQ106" s="46">
        <f t="shared" si="200"/>
        <v>3.196763947059722</v>
      </c>
      <c r="CR106" s="46">
        <f t="shared" si="201"/>
        <v>0</v>
      </c>
      <c r="CS106" s="47">
        <f>COS(RADIANS(CK106))*COS(RADIANS(CM106-Insolation!$L$6))*SIN(RADIANS(0))+(SIN(RADIANS(CK106))*COS(RADIANS(0)))</f>
        <v>-0.31281634069971509</v>
      </c>
      <c r="CT106" s="47">
        <f>COS(RADIANS(CK106))*COS(RADIANS(CM106-Insolation!$L$6))*SIN(RADIANS(Insolation!$L$7))+SIN(RADIANS(CK106))*COS(RADIANS(Insolation!$L$7))</f>
        <v>0.15791845845691346</v>
      </c>
      <c r="CU106" s="46">
        <f t="shared" si="202"/>
        <v>0</v>
      </c>
      <c r="CV106" s="46">
        <f t="shared" si="203"/>
        <v>0</v>
      </c>
      <c r="CW106" s="46">
        <f t="shared" si="204"/>
        <v>0</v>
      </c>
      <c r="CX106" s="46">
        <f>$CI$91*CR106*((1+COS(RADIANS(Insolation!$L$7)))/2)</f>
        <v>0</v>
      </c>
      <c r="CY106" s="46">
        <f t="shared" si="205"/>
        <v>0</v>
      </c>
      <c r="CZ106" s="46">
        <f t="shared" si="206"/>
        <v>0</v>
      </c>
      <c r="DA106" s="46">
        <f t="shared" si="207"/>
        <v>0</v>
      </c>
      <c r="DB106" s="46">
        <f t="shared" si="208"/>
        <v>0</v>
      </c>
      <c r="DE106" s="212">
        <v>18.5</v>
      </c>
      <c r="DF106" s="46">
        <f t="shared" si="209"/>
        <v>-20.878123737037505</v>
      </c>
      <c r="DG106" s="207">
        <f t="shared" si="138"/>
        <v>-97.5</v>
      </c>
      <c r="DH106" s="46">
        <f t="shared" si="210"/>
        <v>-76.987517626180093</v>
      </c>
      <c r="DI106" s="46">
        <f t="shared" si="211"/>
        <v>-76.987517626180093</v>
      </c>
      <c r="DJ106" s="46">
        <f t="shared" si="212"/>
        <v>256.98751762618008</v>
      </c>
      <c r="DK106" s="46">
        <f t="shared" si="228"/>
        <v>-103.01248237381992</v>
      </c>
      <c r="DL106" s="46">
        <f t="shared" si="214"/>
        <v>2.8059835077562751</v>
      </c>
      <c r="DM106" s="46">
        <f t="shared" si="215"/>
        <v>0</v>
      </c>
      <c r="DN106" s="47">
        <f>COS(RADIANS(DF106))*COS(RADIANS(DH106-Insolation!$L$6))*SIN(RADIANS(0))+(SIN(RADIANS(DF106))*COS(RADIANS(0)))</f>
        <v>-0.35638128208373598</v>
      </c>
      <c r="DO106" s="47">
        <f>COS(RADIANS(DF106))*COS(RADIANS(DH106-Insolation!$L$6))*SIN(RADIANS(Insolation!$L$7))+SIN(RADIANS(DF106))*COS(RADIANS(Insolation!$L$7))</f>
        <v>0.21037923809021747</v>
      </c>
      <c r="DP106" s="46">
        <f t="shared" si="216"/>
        <v>0</v>
      </c>
      <c r="DQ106" s="46">
        <f t="shared" si="217"/>
        <v>0</v>
      </c>
      <c r="DR106" s="46">
        <f t="shared" si="218"/>
        <v>0</v>
      </c>
      <c r="DS106" s="46">
        <f>$DD$91*DM106*((1+COS(RADIANS(Insolation!$L$7)))/2)</f>
        <v>0</v>
      </c>
      <c r="DT106" s="46">
        <f t="shared" si="219"/>
        <v>0</v>
      </c>
      <c r="DU106" s="46">
        <f t="shared" si="220"/>
        <v>0</v>
      </c>
      <c r="DV106" s="46">
        <f t="shared" si="221"/>
        <v>0</v>
      </c>
      <c r="DW106" s="46">
        <f t="shared" si="222"/>
        <v>0</v>
      </c>
    </row>
    <row r="107" spans="2:127" x14ac:dyDescent="0.25">
      <c r="D107" s="212">
        <v>19</v>
      </c>
      <c r="E107" s="46">
        <f t="shared" si="139"/>
        <v>4.0781309824248133</v>
      </c>
      <c r="F107" s="207">
        <f t="shared" si="133"/>
        <v>-105</v>
      </c>
      <c r="G107" s="46">
        <f t="shared" si="140"/>
        <v>-115.72492923446066</v>
      </c>
      <c r="H107" s="46">
        <f t="shared" si="141"/>
        <v>-64.27507076553934</v>
      </c>
      <c r="I107" s="46">
        <f t="shared" si="142"/>
        <v>244.27507076553934</v>
      </c>
      <c r="J107" s="46">
        <f t="shared" si="223"/>
        <v>-115.72492923446066</v>
      </c>
      <c r="K107" s="46">
        <f t="shared" si="144"/>
        <v>14.061389011378052</v>
      </c>
      <c r="L107" s="46">
        <f t="shared" si="145"/>
        <v>57.609030157532338</v>
      </c>
      <c r="M107" s="47">
        <f>COS(RADIANS(E107))*COS(RADIANS(G107-Insolation!$L$6))*SIN(RADIANS(0))+(SIN(RADIANS(E107))*COS(RADIANS(0)))</f>
        <v>7.1116729591282207E-2</v>
      </c>
      <c r="N107" s="47">
        <f>COS(RADIANS(E107))*COS(RADIANS(G107-Insolation!$L$6))*SIN(RADIANS(Insolation!$L$7))+SIN(RADIANS(E107))*COS(RADIANS(Insolation!$L$7))</f>
        <v>-0.43295208219639963</v>
      </c>
      <c r="O107" s="46">
        <f t="shared" si="146"/>
        <v>4.0969658197292489</v>
      </c>
      <c r="P107" s="46">
        <f t="shared" si="147"/>
        <v>7.7695199740827343</v>
      </c>
      <c r="Q107" s="46">
        <f t="shared" si="148"/>
        <v>0</v>
      </c>
      <c r="R107" s="46">
        <f>$C$91*L107*((1+COS(RADIANS(Insolation!$L$7)))/2)</f>
        <v>3.8847599870413672</v>
      </c>
      <c r="S107" s="46">
        <f t="shared" si="149"/>
        <v>53.594062865701773</v>
      </c>
      <c r="T107" s="46">
        <f t="shared" si="150"/>
        <v>2.7205220172358762</v>
      </c>
      <c r="U107" s="46">
        <f t="shared" si="151"/>
        <v>57.609030157532338</v>
      </c>
      <c r="V107" s="46">
        <f t="shared" si="152"/>
        <v>4.1610314125668202</v>
      </c>
      <c r="Y107" s="212">
        <v>19</v>
      </c>
      <c r="Z107" s="46">
        <f t="shared" si="153"/>
        <v>-1.3574594537982037</v>
      </c>
      <c r="AA107" s="207">
        <f t="shared" si="134"/>
        <v>-105</v>
      </c>
      <c r="AB107" s="46">
        <f t="shared" si="154"/>
        <v>-110.21989164319666</v>
      </c>
      <c r="AC107" s="46">
        <f t="shared" si="155"/>
        <v>-69.780108356803353</v>
      </c>
      <c r="AD107" s="46">
        <f t="shared" si="156"/>
        <v>249.78010835680334</v>
      </c>
      <c r="AE107" s="46">
        <f t="shared" si="224"/>
        <v>-110.21989164319666</v>
      </c>
      <c r="AF107" s="46">
        <f t="shared" si="158"/>
        <v>42.212045368774788</v>
      </c>
      <c r="AG107" s="46">
        <f t="shared" si="159"/>
        <v>0</v>
      </c>
      <c r="AH107" s="47">
        <f>COS(RADIANS(Z107))*COS(RADIANS(AB107-Insolation!$L$6))*SIN(RADIANS(0))+(SIN(RADIANS(Z107))*COS(RADIANS(0)))</f>
        <v>-2.3689920525379771E-2</v>
      </c>
      <c r="AI107" s="47">
        <f>COS(RADIANS(Z107))*COS(RADIANS(AB107-Insolation!$L$6))*SIN(RADIANS(Insolation!$L$7))+SIN(RADIANS(Z107))*COS(RADIANS(Insolation!$L$7))</f>
        <v>-0.34552700134887082</v>
      </c>
      <c r="AJ107" s="46">
        <f t="shared" si="160"/>
        <v>0</v>
      </c>
      <c r="AK107" s="46">
        <f t="shared" si="161"/>
        <v>0</v>
      </c>
      <c r="AL107" s="46">
        <f t="shared" si="162"/>
        <v>0</v>
      </c>
      <c r="AM107" s="46">
        <f>$X$91*AG107*((1+COS(RADIANS(Insolation!$L$7)))/2)</f>
        <v>0</v>
      </c>
      <c r="AN107" s="46">
        <f t="shared" si="163"/>
        <v>0</v>
      </c>
      <c r="AO107" s="46">
        <f t="shared" si="164"/>
        <v>0</v>
      </c>
      <c r="AP107" s="46">
        <f t="shared" si="165"/>
        <v>0</v>
      </c>
      <c r="AQ107" s="46">
        <f t="shared" si="166"/>
        <v>0</v>
      </c>
      <c r="AT107" s="212">
        <v>19</v>
      </c>
      <c r="AU107" s="46">
        <f t="shared" si="167"/>
        <v>-9.4477776801862436</v>
      </c>
      <c r="AV107" s="207">
        <f t="shared" si="135"/>
        <v>-105</v>
      </c>
      <c r="AW107" s="46">
        <f t="shared" si="168"/>
        <v>-101.90935780265141</v>
      </c>
      <c r="AX107" s="46">
        <f t="shared" si="169"/>
        <v>-78.090642197348572</v>
      </c>
      <c r="AY107" s="46">
        <f t="shared" si="170"/>
        <v>258.09064219734859</v>
      </c>
      <c r="AZ107" s="46">
        <f t="shared" si="225"/>
        <v>-101.90935780265141</v>
      </c>
      <c r="BA107" s="46">
        <f t="shared" si="172"/>
        <v>6.0920415112153918</v>
      </c>
      <c r="BB107" s="46">
        <f t="shared" si="173"/>
        <v>0</v>
      </c>
      <c r="BC107" s="47">
        <f>COS(RADIANS(AU107))*COS(RADIANS(AW107-Insolation!$L$6))*SIN(RADIANS(0))+(SIN(RADIANS(AU107))*COS(RADIANS(0)))</f>
        <v>-0.1641485860132452</v>
      </c>
      <c r="BD107" s="47">
        <f>COS(RADIANS(AU107))*COS(RADIANS(AW107-Insolation!$L$6))*SIN(RADIANS(Insolation!$L$7))+SIN(RADIANS(AU107))*COS(RADIANS(Insolation!$L$7))</f>
        <v>-0.20356479840242653</v>
      </c>
      <c r="BE107" s="46">
        <f t="shared" si="174"/>
        <v>0</v>
      </c>
      <c r="BF107" s="46">
        <f t="shared" si="175"/>
        <v>0</v>
      </c>
      <c r="BG107" s="46">
        <f t="shared" si="176"/>
        <v>0</v>
      </c>
      <c r="BH107" s="46">
        <f>$AS$91*BB107*((1+COS(RADIANS(Insolation!$L$7)))/2)</f>
        <v>0</v>
      </c>
      <c r="BI107" s="46">
        <f t="shared" si="177"/>
        <v>0</v>
      </c>
      <c r="BJ107" s="46">
        <f t="shared" si="178"/>
        <v>0</v>
      </c>
      <c r="BK107" s="46">
        <f t="shared" si="179"/>
        <v>0</v>
      </c>
      <c r="BL107" s="46">
        <f t="shared" si="180"/>
        <v>0</v>
      </c>
      <c r="BO107" s="212">
        <v>19</v>
      </c>
      <c r="BP107" s="46">
        <f t="shared" si="181"/>
        <v>-17.500420942800485</v>
      </c>
      <c r="BQ107" s="207">
        <f t="shared" si="136"/>
        <v>-105</v>
      </c>
      <c r="BR107" s="46">
        <f t="shared" si="182"/>
        <v>-93.007998403728607</v>
      </c>
      <c r="BS107" s="46">
        <f t="shared" si="183"/>
        <v>-86.992001596271407</v>
      </c>
      <c r="BT107" s="46">
        <f t="shared" si="184"/>
        <v>266.99200159627139</v>
      </c>
      <c r="BU107" s="46">
        <f t="shared" si="226"/>
        <v>-93.007998403728607</v>
      </c>
      <c r="BV107" s="46">
        <f t="shared" si="186"/>
        <v>3.3254320369801555</v>
      </c>
      <c r="BW107" s="46">
        <f t="shared" si="187"/>
        <v>0</v>
      </c>
      <c r="BX107" s="47">
        <f>COS(RADIANS(BP107))*COS(RADIANS(BR107-Insolation!$L$6))*SIN(RADIANS(0))+(SIN(RADIANS(BP107))*COS(RADIANS(0)))</f>
        <v>-0.30071280629993147</v>
      </c>
      <c r="BY107" s="47">
        <f>COS(RADIANS(BP107))*COS(RADIANS(BR107-Insolation!$L$6))*SIN(RADIANS(Insolation!$L$7))+SIN(RADIANS(BP107))*COS(RADIANS(Insolation!$L$7))</f>
        <v>-5.0046527160292627E-2</v>
      </c>
      <c r="BZ107" s="46">
        <f t="shared" si="188"/>
        <v>0</v>
      </c>
      <c r="CA107" s="46">
        <f t="shared" si="189"/>
        <v>0</v>
      </c>
      <c r="CB107" s="46">
        <f t="shared" si="190"/>
        <v>0</v>
      </c>
      <c r="CC107" s="46">
        <f>$BN$91*BW107*((1+COS(RADIANS(Insolation!$L$7)))/2)</f>
        <v>0</v>
      </c>
      <c r="CD107" s="46">
        <f t="shared" si="191"/>
        <v>0</v>
      </c>
      <c r="CE107" s="46">
        <f t="shared" si="192"/>
        <v>0</v>
      </c>
      <c r="CF107" s="46">
        <f t="shared" si="193"/>
        <v>0</v>
      </c>
      <c r="CG107" s="46">
        <f t="shared" si="194"/>
        <v>0</v>
      </c>
      <c r="CJ107" s="212">
        <v>19</v>
      </c>
      <c r="CK107" s="46">
        <f t="shared" si="195"/>
        <v>-23.703951715525033</v>
      </c>
      <c r="CL107" s="207">
        <f t="shared" si="137"/>
        <v>-105</v>
      </c>
      <c r="CM107" s="46">
        <f t="shared" si="196"/>
        <v>-85.247232885603012</v>
      </c>
      <c r="CN107" s="46">
        <f t="shared" si="197"/>
        <v>-85.247232885603012</v>
      </c>
      <c r="CO107" s="46">
        <f t="shared" si="198"/>
        <v>265.24723288560301</v>
      </c>
      <c r="CP107" s="46">
        <f t="shared" si="227"/>
        <v>-94.752767114396988</v>
      </c>
      <c r="CQ107" s="46">
        <f t="shared" si="200"/>
        <v>2.4874945603998904</v>
      </c>
      <c r="CR107" s="46">
        <f t="shared" si="201"/>
        <v>0</v>
      </c>
      <c r="CS107" s="47">
        <f>COS(RADIANS(CK107))*COS(RADIANS(CM107-Insolation!$L$6))*SIN(RADIANS(0))+(SIN(RADIANS(CK107))*COS(RADIANS(0)))</f>
        <v>-0.40201092935826949</v>
      </c>
      <c r="CT107" s="47">
        <f>COS(RADIANS(CK107))*COS(RADIANS(CM107-Insolation!$L$6))*SIN(RADIANS(Insolation!$L$7))+SIN(RADIANS(CK107))*COS(RADIANS(Insolation!$L$7))</f>
        <v>7.5866151064635859E-2</v>
      </c>
      <c r="CU107" s="46">
        <f t="shared" si="202"/>
        <v>0</v>
      </c>
      <c r="CV107" s="46">
        <f t="shared" si="203"/>
        <v>0</v>
      </c>
      <c r="CW107" s="46">
        <f t="shared" si="204"/>
        <v>0</v>
      </c>
      <c r="CX107" s="46">
        <f>$CI$91*CR107*((1+COS(RADIANS(Insolation!$L$7)))/2)</f>
        <v>0</v>
      </c>
      <c r="CY107" s="46">
        <f t="shared" si="205"/>
        <v>0</v>
      </c>
      <c r="CZ107" s="46">
        <f t="shared" si="206"/>
        <v>0</v>
      </c>
      <c r="DA107" s="46">
        <f t="shared" si="207"/>
        <v>0</v>
      </c>
      <c r="DB107" s="46">
        <f t="shared" si="208"/>
        <v>0</v>
      </c>
      <c r="DE107" s="212">
        <v>19</v>
      </c>
      <c r="DF107" s="46">
        <f t="shared" si="209"/>
        <v>-26.300332336297519</v>
      </c>
      <c r="DG107" s="207">
        <f t="shared" si="138"/>
        <v>-105</v>
      </c>
      <c r="DH107" s="46">
        <f t="shared" si="210"/>
        <v>-81.621629916452051</v>
      </c>
      <c r="DI107" s="46">
        <f t="shared" si="211"/>
        <v>-81.621629916452051</v>
      </c>
      <c r="DJ107" s="46">
        <f t="shared" si="212"/>
        <v>261.62162991645204</v>
      </c>
      <c r="DK107" s="46">
        <f t="shared" si="228"/>
        <v>-98.378370083547964</v>
      </c>
      <c r="DL107" s="46">
        <f t="shared" si="214"/>
        <v>2.256947155946897</v>
      </c>
      <c r="DM107" s="46">
        <f t="shared" si="215"/>
        <v>0</v>
      </c>
      <c r="DN107" s="47">
        <f>COS(RADIANS(DF107))*COS(RADIANS(DH107-Insolation!$L$6))*SIN(RADIANS(0))+(SIN(RADIANS(DF107))*COS(RADIANS(0)))</f>
        <v>-0.44307639076310246</v>
      </c>
      <c r="DO107" s="47">
        <f>COS(RADIANS(DF107))*COS(RADIANS(DH107-Insolation!$L$6))*SIN(RADIANS(Insolation!$L$7))+SIN(RADIANS(DF107))*COS(RADIANS(Insolation!$L$7))</f>
        <v>0.13062626412900757</v>
      </c>
      <c r="DP107" s="46">
        <f t="shared" si="216"/>
        <v>0</v>
      </c>
      <c r="DQ107" s="46">
        <f t="shared" si="217"/>
        <v>0</v>
      </c>
      <c r="DR107" s="46">
        <f t="shared" si="218"/>
        <v>0</v>
      </c>
      <c r="DS107" s="46">
        <f>$DD$91*DM107*((1+COS(RADIANS(Insolation!$L$7)))/2)</f>
        <v>0</v>
      </c>
      <c r="DT107" s="46">
        <f t="shared" si="219"/>
        <v>0</v>
      </c>
      <c r="DU107" s="46">
        <f t="shared" si="220"/>
        <v>0</v>
      </c>
      <c r="DV107" s="46">
        <f t="shared" si="221"/>
        <v>0</v>
      </c>
      <c r="DW107" s="46">
        <f t="shared" si="222"/>
        <v>0</v>
      </c>
    </row>
    <row r="108" spans="2:127" x14ac:dyDescent="0.25">
      <c r="D108" s="212">
        <v>19.5</v>
      </c>
      <c r="E108" s="46">
        <f t="shared" si="139"/>
        <v>-0.78435509084819521</v>
      </c>
      <c r="F108" s="207">
        <f t="shared" si="133"/>
        <v>-112.5</v>
      </c>
      <c r="G108" s="46">
        <f t="shared" si="140"/>
        <v>-120.73146147860038</v>
      </c>
      <c r="H108" s="46">
        <f t="shared" si="141"/>
        <v>-59.268538521399613</v>
      </c>
      <c r="I108" s="46">
        <f t="shared" si="142"/>
        <v>239.26853852139962</v>
      </c>
      <c r="J108" s="46">
        <f t="shared" si="223"/>
        <v>-120.73146147860038</v>
      </c>
      <c r="K108" s="46">
        <f t="shared" si="144"/>
        <v>73.05054789924074</v>
      </c>
      <c r="L108" s="46">
        <f t="shared" si="145"/>
        <v>0</v>
      </c>
      <c r="M108" s="47">
        <f>COS(RADIANS(E108))*COS(RADIANS(G108-Insolation!$L$6))*SIN(RADIANS(0))+(SIN(RADIANS(E108))*COS(RADIANS(0)))</f>
        <v>-1.3689151262483462E-2</v>
      </c>
      <c r="N108" s="47">
        <f>COS(RADIANS(E108))*COS(RADIANS(G108-Insolation!$L$6))*SIN(RADIANS(Insolation!$L$7))+SIN(RADIANS(E108))*COS(RADIANS(Insolation!$L$7))</f>
        <v>-0.51096710877075924</v>
      </c>
      <c r="O108" s="46">
        <f t="shared" si="146"/>
        <v>0</v>
      </c>
      <c r="P108" s="46">
        <f t="shared" si="147"/>
        <v>0</v>
      </c>
      <c r="Q108" s="46">
        <f t="shared" si="148"/>
        <v>0</v>
      </c>
      <c r="R108" s="46">
        <f>$C$91*L108*((1+COS(RADIANS(Insolation!$L$7)))/2)</f>
        <v>0</v>
      </c>
      <c r="S108" s="46">
        <f t="shared" si="149"/>
        <v>0</v>
      </c>
      <c r="T108" s="46">
        <f t="shared" si="150"/>
        <v>0</v>
      </c>
      <c r="U108" s="46">
        <f t="shared" si="151"/>
        <v>0</v>
      </c>
      <c r="V108" s="46">
        <f t="shared" si="152"/>
        <v>0</v>
      </c>
      <c r="Y108" s="212">
        <v>19.5</v>
      </c>
      <c r="Z108" s="46">
        <f t="shared" si="153"/>
        <v>-6.4435264471205951</v>
      </c>
      <c r="AA108" s="207">
        <f t="shared" si="134"/>
        <v>-112.5</v>
      </c>
      <c r="AB108" s="46">
        <f t="shared" si="154"/>
        <v>-115.44762786194207</v>
      </c>
      <c r="AC108" s="46">
        <f t="shared" si="155"/>
        <v>-64.552372138057919</v>
      </c>
      <c r="AD108" s="46">
        <f t="shared" si="156"/>
        <v>244.55237213805793</v>
      </c>
      <c r="AE108" s="46">
        <f t="shared" si="224"/>
        <v>-115.44762786194207</v>
      </c>
      <c r="AF108" s="46">
        <f t="shared" si="158"/>
        <v>8.9107622044719541</v>
      </c>
      <c r="AG108" s="46">
        <f t="shared" si="159"/>
        <v>0</v>
      </c>
      <c r="AH108" s="47">
        <f>COS(RADIANS(Z108))*COS(RADIANS(AB108-Insolation!$L$6))*SIN(RADIANS(0))+(SIN(RADIANS(Z108))*COS(RADIANS(0)))</f>
        <v>-0.11222384539654083</v>
      </c>
      <c r="AI108" s="47">
        <f>COS(RADIANS(Z108))*COS(RADIANS(AB108-Insolation!$L$6))*SIN(RADIANS(Insolation!$L$7))+SIN(RADIANS(Z108))*COS(RADIANS(Insolation!$L$7))</f>
        <v>-0.42697154778859114</v>
      </c>
      <c r="AJ108" s="46">
        <f t="shared" si="160"/>
        <v>0</v>
      </c>
      <c r="AK108" s="46">
        <f t="shared" si="161"/>
        <v>0</v>
      </c>
      <c r="AL108" s="46">
        <f t="shared" si="162"/>
        <v>0</v>
      </c>
      <c r="AM108" s="46">
        <f>$X$91*AG108*((1+COS(RADIANS(Insolation!$L$7)))/2)</f>
        <v>0</v>
      </c>
      <c r="AN108" s="46">
        <f t="shared" si="163"/>
        <v>0</v>
      </c>
      <c r="AO108" s="46">
        <f t="shared" si="164"/>
        <v>0</v>
      </c>
      <c r="AP108" s="46">
        <f t="shared" si="165"/>
        <v>0</v>
      </c>
      <c r="AQ108" s="46">
        <f t="shared" si="166"/>
        <v>0</v>
      </c>
      <c r="AT108" s="212">
        <v>19.5</v>
      </c>
      <c r="AU108" s="46">
        <f t="shared" si="167"/>
        <v>-14.787772471295979</v>
      </c>
      <c r="AV108" s="207">
        <f t="shared" si="135"/>
        <v>-112.5</v>
      </c>
      <c r="AW108" s="46">
        <f t="shared" si="168"/>
        <v>-107.28984138578426</v>
      </c>
      <c r="AX108" s="46">
        <f t="shared" si="169"/>
        <v>-72.710158614215757</v>
      </c>
      <c r="AY108" s="46">
        <f t="shared" si="170"/>
        <v>252.71015861421574</v>
      </c>
      <c r="AZ108" s="46">
        <f t="shared" si="225"/>
        <v>-107.28984138578426</v>
      </c>
      <c r="BA108" s="46">
        <f t="shared" si="172"/>
        <v>3.9178900862361541</v>
      </c>
      <c r="BB108" s="46">
        <f t="shared" si="173"/>
        <v>0</v>
      </c>
      <c r="BC108" s="47">
        <f>COS(RADIANS(AU108))*COS(RADIANS(AW108-Insolation!$L$6))*SIN(RADIANS(0))+(SIN(RADIANS(AU108))*COS(RADIANS(0)))</f>
        <v>-0.25523942172677994</v>
      </c>
      <c r="BD108" s="47">
        <f>COS(RADIANS(AU108))*COS(RADIANS(AW108-Insolation!$L$6))*SIN(RADIANS(Insolation!$L$7))+SIN(RADIANS(AU108))*COS(RADIANS(Insolation!$L$7))</f>
        <v>-0.2873615103442077</v>
      </c>
      <c r="BE108" s="46">
        <f t="shared" si="174"/>
        <v>0</v>
      </c>
      <c r="BF108" s="46">
        <f t="shared" si="175"/>
        <v>0</v>
      </c>
      <c r="BG108" s="46">
        <f t="shared" si="176"/>
        <v>0</v>
      </c>
      <c r="BH108" s="46">
        <f>$AS$91*BB108*((1+COS(RADIANS(Insolation!$L$7)))/2)</f>
        <v>0</v>
      </c>
      <c r="BI108" s="46">
        <f t="shared" si="177"/>
        <v>0</v>
      </c>
      <c r="BJ108" s="46">
        <f t="shared" si="178"/>
        <v>0</v>
      </c>
      <c r="BK108" s="46">
        <f t="shared" si="179"/>
        <v>0</v>
      </c>
      <c r="BL108" s="46">
        <f t="shared" si="180"/>
        <v>0</v>
      </c>
      <c r="BO108" s="212">
        <v>19.5</v>
      </c>
      <c r="BP108" s="46">
        <f t="shared" si="181"/>
        <v>-22.991554549687788</v>
      </c>
      <c r="BQ108" s="207">
        <f t="shared" si="136"/>
        <v>-112.5</v>
      </c>
      <c r="BR108" s="46">
        <f t="shared" si="182"/>
        <v>-98.29011802258168</v>
      </c>
      <c r="BS108" s="46">
        <f t="shared" si="183"/>
        <v>-81.70988197741832</v>
      </c>
      <c r="BT108" s="46">
        <f t="shared" si="184"/>
        <v>261.70988197741832</v>
      </c>
      <c r="BU108" s="46">
        <f t="shared" si="226"/>
        <v>-98.29011802258168</v>
      </c>
      <c r="BV108" s="46">
        <f t="shared" si="186"/>
        <v>2.5601937326035515</v>
      </c>
      <c r="BW108" s="46">
        <f t="shared" si="187"/>
        <v>0</v>
      </c>
      <c r="BX108" s="47">
        <f>COS(RADIANS(BP108))*COS(RADIANS(BR108-Insolation!$L$6))*SIN(RADIANS(0))+(SIN(RADIANS(BP108))*COS(RADIANS(0)))</f>
        <v>-0.39059544098761023</v>
      </c>
      <c r="BY108" s="47">
        <f>COS(RADIANS(BP108))*COS(RADIANS(BR108-Insolation!$L$6))*SIN(RADIANS(Insolation!$L$7))+SIN(RADIANS(BP108))*COS(RADIANS(Insolation!$L$7))</f>
        <v>-0.13273178510631276</v>
      </c>
      <c r="BZ108" s="46">
        <f t="shared" si="188"/>
        <v>0</v>
      </c>
      <c r="CA108" s="46">
        <f t="shared" si="189"/>
        <v>0</v>
      </c>
      <c r="CB108" s="46">
        <f t="shared" si="190"/>
        <v>0</v>
      </c>
      <c r="CC108" s="46">
        <f>$BN$91*BW108*((1+COS(RADIANS(Insolation!$L$7)))/2)</f>
        <v>0</v>
      </c>
      <c r="CD108" s="46">
        <f t="shared" si="191"/>
        <v>0</v>
      </c>
      <c r="CE108" s="46">
        <f t="shared" si="192"/>
        <v>0</v>
      </c>
      <c r="CF108" s="46">
        <f t="shared" si="193"/>
        <v>0</v>
      </c>
      <c r="CG108" s="46">
        <f t="shared" si="194"/>
        <v>0</v>
      </c>
      <c r="CJ108" s="212">
        <v>19.5</v>
      </c>
      <c r="CK108" s="46">
        <f t="shared" si="195"/>
        <v>-29.217526728937635</v>
      </c>
      <c r="CL108" s="207">
        <f t="shared" si="137"/>
        <v>-112.5</v>
      </c>
      <c r="CM108" s="46">
        <f t="shared" si="196"/>
        <v>-90.220173455668714</v>
      </c>
      <c r="CN108" s="46">
        <f t="shared" si="197"/>
        <v>-89.779826544331257</v>
      </c>
      <c r="CO108" s="46">
        <f t="shared" si="198"/>
        <v>269.77982654433129</v>
      </c>
      <c r="CP108" s="46">
        <f t="shared" si="227"/>
        <v>-90.220173455668714</v>
      </c>
      <c r="CQ108" s="46">
        <f t="shared" si="200"/>
        <v>2.0486485926866713</v>
      </c>
      <c r="CR108" s="46">
        <f t="shared" si="201"/>
        <v>0</v>
      </c>
      <c r="CS108" s="47">
        <f>COS(RADIANS(CK108))*COS(RADIANS(CM108-Insolation!$L$6))*SIN(RADIANS(0))+(SIN(RADIANS(CK108))*COS(RADIANS(0)))</f>
        <v>-0.48812666241044494</v>
      </c>
      <c r="CT108" s="47">
        <f>COS(RADIANS(CK108))*COS(RADIANS(CM108-Insolation!$L$6))*SIN(RADIANS(Insolation!$L$7))+SIN(RADIANS(CK108))*COS(RADIANS(Insolation!$L$7))</f>
        <v>-3.3538409324264055E-3</v>
      </c>
      <c r="CU108" s="46">
        <f t="shared" si="202"/>
        <v>0</v>
      </c>
      <c r="CV108" s="46">
        <f t="shared" si="203"/>
        <v>0</v>
      </c>
      <c r="CW108" s="46">
        <f t="shared" si="204"/>
        <v>0</v>
      </c>
      <c r="CX108" s="46">
        <f>$CI$91*CR108*((1+COS(RADIANS(Insolation!$L$7)))/2)</f>
        <v>0</v>
      </c>
      <c r="CY108" s="46">
        <f t="shared" si="205"/>
        <v>0</v>
      </c>
      <c r="CZ108" s="46">
        <f t="shared" si="206"/>
        <v>0</v>
      </c>
      <c r="DA108" s="46">
        <f t="shared" si="207"/>
        <v>0</v>
      </c>
      <c r="DB108" s="46">
        <f t="shared" si="208"/>
        <v>0</v>
      </c>
      <c r="DE108" s="212">
        <v>19.5</v>
      </c>
      <c r="DF108" s="46">
        <f t="shared" si="209"/>
        <v>-31.788076781894887</v>
      </c>
      <c r="DG108" s="207">
        <f t="shared" si="138"/>
        <v>-112.5</v>
      </c>
      <c r="DH108" s="46">
        <f t="shared" si="210"/>
        <v>-86.382834704598011</v>
      </c>
      <c r="DI108" s="46">
        <f t="shared" si="211"/>
        <v>-86.382834704598011</v>
      </c>
      <c r="DJ108" s="46">
        <f t="shared" si="212"/>
        <v>266.382834704598</v>
      </c>
      <c r="DK108" s="46">
        <f t="shared" si="228"/>
        <v>-93.617165295402003</v>
      </c>
      <c r="DL108" s="46">
        <f t="shared" si="214"/>
        <v>1.8983295617840801</v>
      </c>
      <c r="DM108" s="46">
        <f t="shared" si="215"/>
        <v>0</v>
      </c>
      <c r="DN108" s="47">
        <f>COS(RADIANS(DF108))*COS(RADIANS(DH108-Insolation!$L$6))*SIN(RADIANS(0))+(SIN(RADIANS(DF108))*COS(RADIANS(0)))</f>
        <v>-0.52677892191711129</v>
      </c>
      <c r="DO108" s="47">
        <f>COS(RADIANS(DF108))*COS(RADIANS(DH108-Insolation!$L$6))*SIN(RADIANS(Insolation!$L$7))+SIN(RADIANS(DF108))*COS(RADIANS(Insolation!$L$7))</f>
        <v>5.3626236223146231E-2</v>
      </c>
      <c r="DP108" s="46">
        <f t="shared" si="216"/>
        <v>0</v>
      </c>
      <c r="DQ108" s="46">
        <f t="shared" si="217"/>
        <v>0</v>
      </c>
      <c r="DR108" s="46">
        <f t="shared" si="218"/>
        <v>0</v>
      </c>
      <c r="DS108" s="46">
        <f>$DD$91*DM108*((1+COS(RADIANS(Insolation!$L$7)))/2)</f>
        <v>0</v>
      </c>
      <c r="DT108" s="46">
        <f t="shared" si="219"/>
        <v>0</v>
      </c>
      <c r="DU108" s="46">
        <f t="shared" si="220"/>
        <v>0</v>
      </c>
      <c r="DV108" s="46">
        <f t="shared" si="221"/>
        <v>0</v>
      </c>
      <c r="DW108" s="46">
        <f t="shared" si="222"/>
        <v>0</v>
      </c>
    </row>
    <row r="109" spans="2:127" x14ac:dyDescent="0.25">
      <c r="D109" s="212">
        <v>20</v>
      </c>
      <c r="E109" s="46">
        <f t="shared" si="139"/>
        <v>-5.3944544839255126</v>
      </c>
      <c r="F109" s="207">
        <f t="shared" si="133"/>
        <v>-120</v>
      </c>
      <c r="G109" s="46">
        <f t="shared" si="140"/>
        <v>-125.97695869403958</v>
      </c>
      <c r="H109" s="46">
        <f t="shared" si="141"/>
        <v>-54.023041305960426</v>
      </c>
      <c r="I109" s="46">
        <f t="shared" si="142"/>
        <v>234.02304130596042</v>
      </c>
      <c r="J109" s="46">
        <f t="shared" si="223"/>
        <v>-125.97695869403958</v>
      </c>
      <c r="K109" s="46">
        <f t="shared" si="144"/>
        <v>10.636945066791432</v>
      </c>
      <c r="L109" s="46">
        <f t="shared" si="145"/>
        <v>0</v>
      </c>
      <c r="M109" s="47">
        <f>COS(RADIANS(E109))*COS(RADIANS(G109-Insolation!$L$6))*SIN(RADIANS(0))+(SIN(RADIANS(E109))*COS(RADIANS(0)))</f>
        <v>-9.4011954910061771E-2</v>
      </c>
      <c r="N109" s="47">
        <f>COS(RADIANS(E109))*COS(RADIANS(G109-Insolation!$L$6))*SIN(RADIANS(Insolation!$L$7))+SIN(RADIANS(E109))*COS(RADIANS(Insolation!$L$7))</f>
        <v>-0.58485804178162304</v>
      </c>
      <c r="O109" s="46">
        <f t="shared" si="146"/>
        <v>0</v>
      </c>
      <c r="P109" s="46">
        <f t="shared" si="147"/>
        <v>0</v>
      </c>
      <c r="Q109" s="46">
        <f t="shared" si="148"/>
        <v>0</v>
      </c>
      <c r="R109" s="46">
        <f>$C$91*L109*((1+COS(RADIANS(Insolation!$L$7)))/2)</f>
        <v>0</v>
      </c>
      <c r="S109" s="46">
        <f t="shared" si="149"/>
        <v>0</v>
      </c>
      <c r="T109" s="46">
        <f t="shared" si="150"/>
        <v>0</v>
      </c>
      <c r="U109" s="46">
        <f t="shared" si="151"/>
        <v>0</v>
      </c>
      <c r="V109" s="46">
        <f t="shared" si="152"/>
        <v>0</v>
      </c>
      <c r="Y109" s="212">
        <v>20</v>
      </c>
      <c r="Z109" s="46">
        <f t="shared" si="153"/>
        <v>-11.307681919128973</v>
      </c>
      <c r="AA109" s="207">
        <f t="shared" si="134"/>
        <v>-120</v>
      </c>
      <c r="AB109" s="46">
        <f t="shared" si="154"/>
        <v>-120.93665055241428</v>
      </c>
      <c r="AC109" s="46">
        <f t="shared" si="155"/>
        <v>-59.063349447585736</v>
      </c>
      <c r="AD109" s="46">
        <f t="shared" si="156"/>
        <v>239.06334944758572</v>
      </c>
      <c r="AE109" s="46">
        <f t="shared" si="224"/>
        <v>-120.93665055241428</v>
      </c>
      <c r="AF109" s="46">
        <f t="shared" si="158"/>
        <v>5.100021151298626</v>
      </c>
      <c r="AG109" s="46">
        <f t="shared" si="159"/>
        <v>0</v>
      </c>
      <c r="AH109" s="47">
        <f>COS(RADIANS(Z109))*COS(RADIANS(AB109-Insolation!$L$6))*SIN(RADIANS(0))+(SIN(RADIANS(Z109))*COS(RADIANS(0)))</f>
        <v>-0.19607761817720473</v>
      </c>
      <c r="AI109" s="47">
        <f>COS(RADIANS(Z109))*COS(RADIANS(AB109-Insolation!$L$6))*SIN(RADIANS(Insolation!$L$7))+SIN(RADIANS(Z109))*COS(RADIANS(Insolation!$L$7))</f>
        <v>-0.50411070660617641</v>
      </c>
      <c r="AJ109" s="46">
        <f t="shared" si="160"/>
        <v>0</v>
      </c>
      <c r="AK109" s="46">
        <f t="shared" si="161"/>
        <v>0</v>
      </c>
      <c r="AL109" s="46">
        <f t="shared" si="162"/>
        <v>0</v>
      </c>
      <c r="AM109" s="46">
        <f>$X$91*AG109*((1+COS(RADIANS(Insolation!$L$7)))/2)</f>
        <v>0</v>
      </c>
      <c r="AN109" s="46">
        <f t="shared" si="163"/>
        <v>0</v>
      </c>
      <c r="AO109" s="46">
        <f t="shared" si="164"/>
        <v>0</v>
      </c>
      <c r="AP109" s="46">
        <f t="shared" si="165"/>
        <v>0</v>
      </c>
      <c r="AQ109" s="46">
        <f t="shared" si="166"/>
        <v>0</v>
      </c>
      <c r="AT109" s="212">
        <v>20</v>
      </c>
      <c r="AU109" s="46">
        <f t="shared" si="167"/>
        <v>-19.969199293680276</v>
      </c>
      <c r="AV109" s="207">
        <f t="shared" si="135"/>
        <v>-120</v>
      </c>
      <c r="AW109" s="46">
        <f t="shared" si="168"/>
        <v>-112.96619919634014</v>
      </c>
      <c r="AX109" s="46">
        <f t="shared" si="169"/>
        <v>-67.033800803659844</v>
      </c>
      <c r="AY109" s="46">
        <f t="shared" si="170"/>
        <v>247.03380080365986</v>
      </c>
      <c r="AZ109" s="46">
        <f t="shared" si="225"/>
        <v>-112.96619919634014</v>
      </c>
      <c r="BA109" s="46">
        <f t="shared" si="172"/>
        <v>2.9281295875957132</v>
      </c>
      <c r="BB109" s="46">
        <f t="shared" si="173"/>
        <v>0</v>
      </c>
      <c r="BC109" s="47">
        <f>COS(RADIANS(AU109))*COS(RADIANS(AW109-Insolation!$L$6))*SIN(RADIANS(0))+(SIN(RADIANS(AU109))*COS(RADIANS(0)))</f>
        <v>-0.34151493985657233</v>
      </c>
      <c r="BD109" s="47">
        <f>COS(RADIANS(AU109))*COS(RADIANS(AW109-Insolation!$L$6))*SIN(RADIANS(Insolation!$L$7))+SIN(RADIANS(AU109))*COS(RADIANS(Insolation!$L$7))</f>
        <v>-0.36672849258472651</v>
      </c>
      <c r="BE109" s="46">
        <f t="shared" si="174"/>
        <v>0</v>
      </c>
      <c r="BF109" s="46">
        <f t="shared" si="175"/>
        <v>0</v>
      </c>
      <c r="BG109" s="46">
        <f t="shared" si="176"/>
        <v>0</v>
      </c>
      <c r="BH109" s="46">
        <f>$AS$91*BB109*((1+COS(RADIANS(Insolation!$L$7)))/2)</f>
        <v>0</v>
      </c>
      <c r="BI109" s="46">
        <f t="shared" si="177"/>
        <v>0</v>
      </c>
      <c r="BJ109" s="46">
        <f t="shared" si="178"/>
        <v>0</v>
      </c>
      <c r="BK109" s="46">
        <f t="shared" si="179"/>
        <v>0</v>
      </c>
      <c r="BL109" s="46">
        <f t="shared" si="180"/>
        <v>0</v>
      </c>
      <c r="BO109" s="212">
        <v>20</v>
      </c>
      <c r="BP109" s="46">
        <f t="shared" si="181"/>
        <v>-28.406671186262809</v>
      </c>
      <c r="BQ109" s="207">
        <f t="shared" si="136"/>
        <v>-120</v>
      </c>
      <c r="BR109" s="46">
        <f t="shared" si="182"/>
        <v>-103.88276284686344</v>
      </c>
      <c r="BS109" s="46">
        <f t="shared" si="183"/>
        <v>-76.117237153136543</v>
      </c>
      <c r="BT109" s="46">
        <f t="shared" si="184"/>
        <v>256.11723715313656</v>
      </c>
      <c r="BU109" s="46">
        <f t="shared" si="226"/>
        <v>-103.88276284686344</v>
      </c>
      <c r="BV109" s="46">
        <f t="shared" si="186"/>
        <v>2.1020475694624228</v>
      </c>
      <c r="BW109" s="46">
        <f t="shared" si="187"/>
        <v>0</v>
      </c>
      <c r="BX109" s="47">
        <f>COS(RADIANS(BP109))*COS(RADIANS(BR109-Insolation!$L$6))*SIN(RADIANS(0))+(SIN(RADIANS(BP109))*COS(RADIANS(0)))</f>
        <v>-0.47572662699338431</v>
      </c>
      <c r="BY109" s="47">
        <f>COS(RADIANS(BP109))*COS(RADIANS(BR109-Insolation!$L$6))*SIN(RADIANS(Insolation!$L$7))+SIN(RADIANS(BP109))*COS(RADIANS(Insolation!$L$7))</f>
        <v>-0.21104606793298736</v>
      </c>
      <c r="BZ109" s="46">
        <f t="shared" si="188"/>
        <v>0</v>
      </c>
      <c r="CA109" s="46">
        <f t="shared" si="189"/>
        <v>0</v>
      </c>
      <c r="CB109" s="46">
        <f t="shared" si="190"/>
        <v>0</v>
      </c>
      <c r="CC109" s="46">
        <f>$BN$91*BW109*((1+COS(RADIANS(Insolation!$L$7)))/2)</f>
        <v>0</v>
      </c>
      <c r="CD109" s="46">
        <f t="shared" si="191"/>
        <v>0</v>
      </c>
      <c r="CE109" s="46">
        <f t="shared" si="192"/>
        <v>0</v>
      </c>
      <c r="CF109" s="46">
        <f t="shared" si="193"/>
        <v>0</v>
      </c>
      <c r="CG109" s="46">
        <f t="shared" si="194"/>
        <v>0</v>
      </c>
      <c r="CJ109" s="212">
        <v>20</v>
      </c>
      <c r="CK109" s="46">
        <f t="shared" si="195"/>
        <v>-34.728616623612652</v>
      </c>
      <c r="CL109" s="207">
        <f t="shared" si="137"/>
        <v>-120</v>
      </c>
      <c r="CM109" s="46">
        <f t="shared" si="196"/>
        <v>-95.472986463199675</v>
      </c>
      <c r="CN109" s="46">
        <f t="shared" si="197"/>
        <v>-84.527013536800311</v>
      </c>
      <c r="CO109" s="46">
        <f t="shared" si="198"/>
        <v>264.52701353680033</v>
      </c>
      <c r="CP109" s="46">
        <f t="shared" si="227"/>
        <v>-95.472986463199675</v>
      </c>
      <c r="CQ109" s="46">
        <f t="shared" si="200"/>
        <v>1.7553403903287601</v>
      </c>
      <c r="CR109" s="46">
        <f t="shared" si="201"/>
        <v>0</v>
      </c>
      <c r="CS109" s="47">
        <f>COS(RADIANS(CK109))*COS(RADIANS(CM109-Insolation!$L$6))*SIN(RADIANS(0))+(SIN(RADIANS(CK109))*COS(RADIANS(0)))</f>
        <v>-0.56969007578792663</v>
      </c>
      <c r="CT109" s="47">
        <f>COS(RADIANS(CK109))*COS(RADIANS(CM109-Insolation!$L$6))*SIN(RADIANS(Insolation!$L$7))+SIN(RADIANS(CK109))*COS(RADIANS(Insolation!$L$7))</f>
        <v>-7.8386041507159873E-2</v>
      </c>
      <c r="CU109" s="46">
        <f t="shared" si="202"/>
        <v>0</v>
      </c>
      <c r="CV109" s="46">
        <f t="shared" si="203"/>
        <v>0</v>
      </c>
      <c r="CW109" s="46">
        <f t="shared" si="204"/>
        <v>0</v>
      </c>
      <c r="CX109" s="46">
        <f>$CI$91*CR109*((1+COS(RADIANS(Insolation!$L$7)))/2)</f>
        <v>0</v>
      </c>
      <c r="CY109" s="46">
        <f t="shared" si="205"/>
        <v>0</v>
      </c>
      <c r="CZ109" s="46">
        <f t="shared" si="206"/>
        <v>0</v>
      </c>
      <c r="DA109" s="46">
        <f t="shared" si="207"/>
        <v>0</v>
      </c>
      <c r="DB109" s="46">
        <f t="shared" si="208"/>
        <v>0</v>
      </c>
      <c r="DE109" s="212">
        <v>20</v>
      </c>
      <c r="DF109" s="46">
        <f t="shared" si="209"/>
        <v>-37.304919750286182</v>
      </c>
      <c r="DG109" s="207">
        <f t="shared" si="138"/>
        <v>-120</v>
      </c>
      <c r="DH109" s="46">
        <f t="shared" si="210"/>
        <v>-91.390595264195667</v>
      </c>
      <c r="DI109" s="46">
        <f t="shared" si="211"/>
        <v>-88.609404735804333</v>
      </c>
      <c r="DJ109" s="46">
        <f t="shared" si="212"/>
        <v>268.60940473580433</v>
      </c>
      <c r="DK109" s="46">
        <f t="shared" si="228"/>
        <v>-91.390595264195667</v>
      </c>
      <c r="DL109" s="46">
        <f t="shared" si="214"/>
        <v>1.6500106287890925</v>
      </c>
      <c r="DM109" s="46">
        <f t="shared" si="215"/>
        <v>0</v>
      </c>
      <c r="DN109" s="47">
        <f>COS(RADIANS(DF109))*COS(RADIANS(DH109-Insolation!$L$6))*SIN(RADIANS(0))+(SIN(RADIANS(DF109))*COS(RADIANS(0)))</f>
        <v>-0.60605670203099149</v>
      </c>
      <c r="DO109" s="47">
        <f>COS(RADIANS(DF109))*COS(RADIANS(DH109-Insolation!$L$6))*SIN(RADIANS(Insolation!$L$7))+SIN(RADIANS(DF109))*COS(RADIANS(Insolation!$L$7))</f>
        <v>-1.9303353801470247E-2</v>
      </c>
      <c r="DP109" s="46">
        <f t="shared" si="216"/>
        <v>0</v>
      </c>
      <c r="DQ109" s="46">
        <f t="shared" si="217"/>
        <v>0</v>
      </c>
      <c r="DR109" s="46">
        <f t="shared" si="218"/>
        <v>0</v>
      </c>
      <c r="DS109" s="46">
        <f>$DD$91*DM109*((1+COS(RADIANS(Insolation!$L$7)))/2)</f>
        <v>0</v>
      </c>
      <c r="DT109" s="46">
        <f t="shared" si="219"/>
        <v>0</v>
      </c>
      <c r="DU109" s="46">
        <f t="shared" si="220"/>
        <v>0</v>
      </c>
      <c r="DV109" s="46">
        <f t="shared" si="221"/>
        <v>0</v>
      </c>
      <c r="DW109" s="46">
        <f t="shared" si="222"/>
        <v>0</v>
      </c>
    </row>
    <row r="110" spans="2:127" x14ac:dyDescent="0.25">
      <c r="D110" s="212">
        <v>20.5</v>
      </c>
      <c r="E110" s="46">
        <f t="shared" si="139"/>
        <v>-9.6992999417928285</v>
      </c>
      <c r="F110" s="207">
        <f t="shared" si="133"/>
        <v>-127.5</v>
      </c>
      <c r="G110" s="46">
        <f t="shared" si="140"/>
        <v>-131.51648206852263</v>
      </c>
      <c r="H110" s="46">
        <f t="shared" si="141"/>
        <v>-48.483517931477365</v>
      </c>
      <c r="I110" s="46">
        <f t="shared" si="142"/>
        <v>228.48351793147737</v>
      </c>
      <c r="J110" s="46">
        <f t="shared" si="223"/>
        <v>-131.51648206852263</v>
      </c>
      <c r="K110" s="46">
        <f t="shared" si="144"/>
        <v>5.9355164573955284</v>
      </c>
      <c r="L110" s="46">
        <f t="shared" si="145"/>
        <v>0</v>
      </c>
      <c r="M110" s="47">
        <f>COS(RADIANS(E110))*COS(RADIANS(G110-Insolation!$L$6))*SIN(RADIANS(0))+(SIN(RADIANS(E110))*COS(RADIANS(0)))</f>
        <v>-0.16847733591135461</v>
      </c>
      <c r="N110" s="47">
        <f>COS(RADIANS(E110))*COS(RADIANS(G110-Insolation!$L$6))*SIN(RADIANS(Insolation!$L$7))+SIN(RADIANS(E110))*COS(RADIANS(Insolation!$L$7))</f>
        <v>-0.65336058687873799</v>
      </c>
      <c r="O110" s="46">
        <f t="shared" si="146"/>
        <v>0</v>
      </c>
      <c r="P110" s="46">
        <f t="shared" si="147"/>
        <v>0</v>
      </c>
      <c r="Q110" s="46">
        <f t="shared" si="148"/>
        <v>0</v>
      </c>
      <c r="R110" s="46">
        <f>$C$91*L110*((1+COS(RADIANS(Insolation!$L$7)))/2)</f>
        <v>0</v>
      </c>
      <c r="S110" s="46">
        <f t="shared" si="149"/>
        <v>0</v>
      </c>
      <c r="T110" s="46">
        <f t="shared" si="150"/>
        <v>0</v>
      </c>
      <c r="U110" s="46">
        <f t="shared" si="151"/>
        <v>0</v>
      </c>
      <c r="V110" s="46">
        <f t="shared" si="152"/>
        <v>0</v>
      </c>
      <c r="Y110" s="212">
        <v>20.5</v>
      </c>
      <c r="Z110" s="46">
        <f t="shared" si="153"/>
        <v>-15.89149637105897</v>
      </c>
      <c r="AA110" s="207">
        <f t="shared" si="134"/>
        <v>-127.5</v>
      </c>
      <c r="AB110" s="46">
        <f t="shared" si="154"/>
        <v>-126.76240236066479</v>
      </c>
      <c r="AC110" s="46">
        <f t="shared" si="155"/>
        <v>-53.237597639335206</v>
      </c>
      <c r="AD110" s="46">
        <f t="shared" si="156"/>
        <v>233.23759763933521</v>
      </c>
      <c r="AE110" s="46">
        <f t="shared" si="224"/>
        <v>-126.76240236066479</v>
      </c>
      <c r="AF110" s="46">
        <f t="shared" si="158"/>
        <v>3.6520811635865407</v>
      </c>
      <c r="AG110" s="46">
        <f t="shared" si="159"/>
        <v>0</v>
      </c>
      <c r="AH110" s="47">
        <f>COS(RADIANS(Z110))*COS(RADIANS(AB110-Insolation!$L$6))*SIN(RADIANS(0))+(SIN(RADIANS(Z110))*COS(RADIANS(0)))</f>
        <v>-0.27381647756643668</v>
      </c>
      <c r="AI110" s="47">
        <f>COS(RADIANS(Z110))*COS(RADIANS(AB110-Insolation!$L$6))*SIN(RADIANS(Insolation!$L$7))+SIN(RADIANS(Z110))*COS(RADIANS(Insolation!$L$7))</f>
        <v>-0.57562460540724036</v>
      </c>
      <c r="AJ110" s="46">
        <f t="shared" si="160"/>
        <v>0</v>
      </c>
      <c r="AK110" s="46">
        <f t="shared" si="161"/>
        <v>0</v>
      </c>
      <c r="AL110" s="46">
        <f t="shared" si="162"/>
        <v>0</v>
      </c>
      <c r="AM110" s="46">
        <f>$X$91*AG110*((1+COS(RADIANS(Insolation!$L$7)))/2)</f>
        <v>0</v>
      </c>
      <c r="AN110" s="46">
        <f t="shared" si="163"/>
        <v>0</v>
      </c>
      <c r="AO110" s="46">
        <f t="shared" si="164"/>
        <v>0</v>
      </c>
      <c r="AP110" s="46">
        <f t="shared" si="165"/>
        <v>0</v>
      </c>
      <c r="AQ110" s="46">
        <f t="shared" si="166"/>
        <v>0</v>
      </c>
      <c r="AT110" s="212">
        <v>20.5</v>
      </c>
      <c r="AU110" s="46">
        <f t="shared" si="167"/>
        <v>-24.929258209187967</v>
      </c>
      <c r="AV110" s="207">
        <f t="shared" si="135"/>
        <v>-127.5</v>
      </c>
      <c r="AW110" s="46">
        <f t="shared" si="168"/>
        <v>-119.04829528660602</v>
      </c>
      <c r="AX110" s="46">
        <f t="shared" si="169"/>
        <v>-60.95170471339398</v>
      </c>
      <c r="AY110" s="46">
        <f t="shared" si="170"/>
        <v>240.95170471339398</v>
      </c>
      <c r="AZ110" s="46">
        <f t="shared" si="225"/>
        <v>-119.04829528660602</v>
      </c>
      <c r="BA110" s="46">
        <f t="shared" si="172"/>
        <v>2.3724851938739078</v>
      </c>
      <c r="BB110" s="46">
        <f t="shared" si="173"/>
        <v>0</v>
      </c>
      <c r="BC110" s="47">
        <f>COS(RADIANS(AU110))*COS(RADIANS(AW110-Insolation!$L$6))*SIN(RADIANS(0))+(SIN(RADIANS(AU110))*COS(RADIANS(0)))</f>
        <v>-0.42149894236732915</v>
      </c>
      <c r="BD110" s="47">
        <f>COS(RADIANS(AU110))*COS(RADIANS(AW110-Insolation!$L$6))*SIN(RADIANS(Insolation!$L$7))+SIN(RADIANS(AU110))*COS(RADIANS(Insolation!$L$7))</f>
        <v>-0.44030775405316308</v>
      </c>
      <c r="BE110" s="46">
        <f t="shared" si="174"/>
        <v>0</v>
      </c>
      <c r="BF110" s="46">
        <f t="shared" si="175"/>
        <v>0</v>
      </c>
      <c r="BG110" s="46">
        <f t="shared" si="176"/>
        <v>0</v>
      </c>
      <c r="BH110" s="46">
        <f>$AS$91*BB110*((1+COS(RADIANS(Insolation!$L$7)))/2)</f>
        <v>0</v>
      </c>
      <c r="BI110" s="46">
        <f t="shared" si="177"/>
        <v>0</v>
      </c>
      <c r="BJ110" s="46">
        <f t="shared" si="178"/>
        <v>0</v>
      </c>
      <c r="BK110" s="46">
        <f t="shared" si="179"/>
        <v>0</v>
      </c>
      <c r="BL110" s="46">
        <f t="shared" si="180"/>
        <v>0</v>
      </c>
      <c r="BO110" s="212">
        <v>20.5</v>
      </c>
      <c r="BP110" s="46">
        <f t="shared" si="181"/>
        <v>-33.686593553792918</v>
      </c>
      <c r="BQ110" s="207">
        <f t="shared" si="136"/>
        <v>-127.5</v>
      </c>
      <c r="BR110" s="46">
        <f t="shared" si="182"/>
        <v>-109.9311294473568</v>
      </c>
      <c r="BS110" s="46">
        <f t="shared" si="183"/>
        <v>-70.06887055264319</v>
      </c>
      <c r="BT110" s="46">
        <f t="shared" si="184"/>
        <v>250.0688705526432</v>
      </c>
      <c r="BU110" s="46">
        <f t="shared" si="226"/>
        <v>-109.9311294473568</v>
      </c>
      <c r="BV110" s="46">
        <f t="shared" si="186"/>
        <v>1.8029396154817197</v>
      </c>
      <c r="BW110" s="46">
        <f t="shared" si="187"/>
        <v>0</v>
      </c>
      <c r="BX110" s="47">
        <f>COS(RADIANS(BP110))*COS(RADIANS(BR110-Insolation!$L$6))*SIN(RADIANS(0))+(SIN(RADIANS(BP110))*COS(RADIANS(0)))</f>
        <v>-0.55464974612187123</v>
      </c>
      <c r="BY110" s="47">
        <f>COS(RADIANS(BP110))*COS(RADIANS(BR110-Insolation!$L$6))*SIN(RADIANS(Insolation!$L$7))+SIN(RADIANS(BP110))*COS(RADIANS(Insolation!$L$7))</f>
        <v>-0.28364939654833887</v>
      </c>
      <c r="BZ110" s="46">
        <f t="shared" si="188"/>
        <v>0</v>
      </c>
      <c r="CA110" s="46">
        <f t="shared" si="189"/>
        <v>0</v>
      </c>
      <c r="CB110" s="46">
        <f t="shared" si="190"/>
        <v>0</v>
      </c>
      <c r="CC110" s="46">
        <f>$BN$91*BW110*((1+COS(RADIANS(Insolation!$L$7)))/2)</f>
        <v>0</v>
      </c>
      <c r="CD110" s="46">
        <f t="shared" si="191"/>
        <v>0</v>
      </c>
      <c r="CE110" s="46">
        <f t="shared" si="192"/>
        <v>0</v>
      </c>
      <c r="CF110" s="46">
        <f t="shared" si="193"/>
        <v>0</v>
      </c>
      <c r="CG110" s="46">
        <f t="shared" si="194"/>
        <v>0</v>
      </c>
      <c r="CJ110" s="212">
        <v>20.5</v>
      </c>
      <c r="CK110" s="46">
        <f t="shared" si="195"/>
        <v>-40.18859194016872</v>
      </c>
      <c r="CL110" s="207">
        <f t="shared" si="137"/>
        <v>-127.5</v>
      </c>
      <c r="CM110" s="46">
        <f t="shared" si="196"/>
        <v>-101.16683774112903</v>
      </c>
      <c r="CN110" s="46">
        <f t="shared" si="197"/>
        <v>-78.833162258870942</v>
      </c>
      <c r="CO110" s="46">
        <f t="shared" si="198"/>
        <v>258.83316225887097</v>
      </c>
      <c r="CP110" s="46">
        <f t="shared" si="227"/>
        <v>-101.16683774112903</v>
      </c>
      <c r="CQ110" s="46">
        <f t="shared" si="200"/>
        <v>1.5496533810398421</v>
      </c>
      <c r="CR110" s="46">
        <f t="shared" si="201"/>
        <v>0</v>
      </c>
      <c r="CS110" s="47">
        <f>COS(RADIANS(CK110))*COS(RADIANS(CM110-Insolation!$L$6))*SIN(RADIANS(0))+(SIN(RADIANS(CK110))*COS(RADIANS(0)))</f>
        <v>-0.64530559687417588</v>
      </c>
      <c r="CT110" s="47">
        <f>COS(RADIANS(CK110))*COS(RADIANS(CM110-Insolation!$L$6))*SIN(RADIANS(Insolation!$L$7))+SIN(RADIANS(CK110))*COS(RADIANS(Insolation!$L$7))</f>
        <v>-0.14794662890498295</v>
      </c>
      <c r="CU110" s="46">
        <f t="shared" si="202"/>
        <v>0</v>
      </c>
      <c r="CV110" s="46">
        <f t="shared" si="203"/>
        <v>0</v>
      </c>
      <c r="CW110" s="46">
        <f t="shared" si="204"/>
        <v>0</v>
      </c>
      <c r="CX110" s="46">
        <f>$CI$91*CR110*((1+COS(RADIANS(Insolation!$L$7)))/2)</f>
        <v>0</v>
      </c>
      <c r="CY110" s="46">
        <f t="shared" si="205"/>
        <v>0</v>
      </c>
      <c r="CZ110" s="46">
        <f t="shared" si="206"/>
        <v>0</v>
      </c>
      <c r="DA110" s="46">
        <f t="shared" si="207"/>
        <v>0</v>
      </c>
      <c r="DB110" s="46">
        <f t="shared" si="208"/>
        <v>0</v>
      </c>
      <c r="DE110" s="212">
        <v>20.5</v>
      </c>
      <c r="DF110" s="46">
        <f t="shared" si="209"/>
        <v>-42.80874355304119</v>
      </c>
      <c r="DG110" s="207">
        <f t="shared" si="138"/>
        <v>-127.5</v>
      </c>
      <c r="DH110" s="46">
        <f t="shared" si="210"/>
        <v>-96.803964944912309</v>
      </c>
      <c r="DI110" s="46">
        <f t="shared" si="211"/>
        <v>-83.196035055087691</v>
      </c>
      <c r="DJ110" s="46">
        <f t="shared" si="212"/>
        <v>263.19603505508769</v>
      </c>
      <c r="DK110" s="46">
        <f t="shared" si="228"/>
        <v>-96.803964944912309</v>
      </c>
      <c r="DL110" s="46">
        <f t="shared" si="214"/>
        <v>1.4715549899927507</v>
      </c>
      <c r="DM110" s="46">
        <f t="shared" si="215"/>
        <v>0</v>
      </c>
      <c r="DN110" s="47">
        <f>COS(RADIANS(DF110))*COS(RADIANS(DH110-Insolation!$L$6))*SIN(RADIANS(0))+(SIN(RADIANS(DF110))*COS(RADIANS(0)))</f>
        <v>-0.67955326630704183</v>
      </c>
      <c r="DO110" s="47">
        <f>COS(RADIANS(DF110))*COS(RADIANS(DH110-Insolation!$L$6))*SIN(RADIANS(Insolation!$L$7))+SIN(RADIANS(DF110))*COS(RADIANS(Insolation!$L$7))</f>
        <v>-8.6914660439582958E-2</v>
      </c>
      <c r="DP110" s="46">
        <f t="shared" si="216"/>
        <v>0</v>
      </c>
      <c r="DQ110" s="46">
        <f t="shared" si="217"/>
        <v>0</v>
      </c>
      <c r="DR110" s="46">
        <f t="shared" si="218"/>
        <v>0</v>
      </c>
      <c r="DS110" s="46">
        <f>$DD$91*DM110*((1+COS(RADIANS(Insolation!$L$7)))/2)</f>
        <v>0</v>
      </c>
      <c r="DT110" s="46">
        <f t="shared" si="219"/>
        <v>0</v>
      </c>
      <c r="DU110" s="46">
        <f t="shared" si="220"/>
        <v>0</v>
      </c>
      <c r="DV110" s="46">
        <f t="shared" si="221"/>
        <v>0</v>
      </c>
      <c r="DW110" s="46">
        <f t="shared" si="222"/>
        <v>0</v>
      </c>
    </row>
    <row r="111" spans="2:127" x14ac:dyDescent="0.25">
      <c r="O111" s="237">
        <f>SUM(O81,O83,O85,O87,O89,O91,O93,O95,O97,O99,O101,O103,O105,O107,O109)/1000</f>
        <v>6.7092274931206557</v>
      </c>
      <c r="P111" s="237">
        <f t="shared" ref="P111:V111" si="229">SUM(P81,P83,P85,P87,P89,P91,P93,P95,P97,P99,P101,P103,P105,P107,P109)/1000</f>
        <v>1.3185340735341726</v>
      </c>
      <c r="Q111" s="237">
        <f t="shared" si="229"/>
        <v>1.7197257150893317</v>
      </c>
      <c r="R111" s="237">
        <f t="shared" si="229"/>
        <v>0.65926703676708631</v>
      </c>
      <c r="S111" s="237">
        <f t="shared" si="229"/>
        <v>9.0952334588602497</v>
      </c>
      <c r="T111" s="237">
        <f t="shared" si="229"/>
        <v>0.92039212597565245</v>
      </c>
      <c r="U111" s="237">
        <f t="shared" si="229"/>
        <v>9.7765974550997754</v>
      </c>
      <c r="V111" s="237">
        <f t="shared" si="229"/>
        <v>1.1116915687885678</v>
      </c>
      <c r="AJ111" s="237">
        <f>SUM(AJ81,AJ83,AJ85,AJ87,AJ89,AJ91,AJ93,AJ95,AJ97,AJ99,AJ101,AJ103,AJ105,AJ107,AJ109)/1000</f>
        <v>5.9723462341387386</v>
      </c>
      <c r="AK111" s="237">
        <f t="shared" ref="AK111:AQ111" si="230">SUM(AK81,AK83,AK85,AK87,AK89,AK91,AK93,AK95,AK97,AK99,AK101,AK103,AK105,AK107,AK109)/1000</f>
        <v>1.1884663455255167</v>
      </c>
      <c r="AL111" s="237">
        <f t="shared" si="230"/>
        <v>2.5970195020727624</v>
      </c>
      <c r="AM111" s="237">
        <f t="shared" si="230"/>
        <v>0.59423317276275833</v>
      </c>
      <c r="AN111" s="237">
        <f t="shared" si="230"/>
        <v>9.0414219104512963</v>
      </c>
      <c r="AO111" s="237">
        <f t="shared" si="230"/>
        <v>0.86301802098473901</v>
      </c>
      <c r="AP111" s="237">
        <f t="shared" si="230"/>
        <v>9.309511012935328</v>
      </c>
      <c r="AQ111" s="237">
        <f t="shared" si="230"/>
        <v>0.97545257801602847</v>
      </c>
      <c r="BE111" s="237">
        <f>SUM(BE81,BE83,BE85,BE87,BE89,BE91,BE93,BE95,BE97,BE99,BE101,BE103,BE105,BE107,BE109)/1000</f>
        <v>4.7554432354698619</v>
      </c>
      <c r="BF111" s="237">
        <f t="shared" ref="BF111:BL111" si="231">SUM(BF81,BF83,BF85,BF87,BF89,BF91,BF93,BF95,BF97,BF99,BF101,BF103,BF105,BF107,BF109)/1000</f>
        <v>0.92950895528751776</v>
      </c>
      <c r="BG111" s="237">
        <f t="shared" si="231"/>
        <v>3.9360387129393883</v>
      </c>
      <c r="BH111" s="237">
        <f t="shared" si="231"/>
        <v>0.46475447764375888</v>
      </c>
      <c r="BI111" s="237">
        <f t="shared" si="231"/>
        <v>8.3395701410674867</v>
      </c>
      <c r="BJ111" s="237">
        <f t="shared" si="231"/>
        <v>0.71508518744865868</v>
      </c>
      <c r="BK111" s="237">
        <f t="shared" si="231"/>
        <v>8.3458164925408997</v>
      </c>
      <c r="BL111" s="237">
        <f t="shared" si="231"/>
        <v>0.72957141183355778</v>
      </c>
      <c r="BZ111" s="237">
        <f>SUM(BZ81,BZ83,BZ85,BZ87,BZ89,BZ91,BZ93,BZ95,BZ97,BZ99,BZ101,BZ103,BZ105,BZ107,BZ109)/1000</f>
        <v>3.3820558108201269</v>
      </c>
      <c r="CA111" s="237">
        <f t="shared" ref="CA111:CG111" si="232">SUM(CA81,CA83,CA85,CA87,CA89,CA91,CA93,CA95,CA97,CA99,CA101,CA103,CA105,CA107,CA109)/1000</f>
        <v>0.66652384416764299</v>
      </c>
      <c r="CB111" s="237">
        <f t="shared" si="232"/>
        <v>4.7668804525517112</v>
      </c>
      <c r="CC111" s="237">
        <f t="shared" si="232"/>
        <v>0.33326192208382149</v>
      </c>
      <c r="CD111" s="237">
        <f t="shared" si="232"/>
        <v>7.2045782611820748</v>
      </c>
      <c r="CE111" s="237">
        <f t="shared" si="232"/>
        <v>0.53384099698289533</v>
      </c>
      <c r="CF111" s="237">
        <f t="shared" si="232"/>
        <v>7.3068908709032545</v>
      </c>
      <c r="CG111" s="237">
        <f t="shared" si="232"/>
        <v>0.48751500181667129</v>
      </c>
      <c r="CU111" s="237">
        <f>SUM(CU81,CU83,CU85,CU87,CU89,CU91,CU93,CU95,CU97,CU99,CU101,CU103,CU105,CU107,CU109)/1000</f>
        <v>2.2629047231861938</v>
      </c>
      <c r="CV111" s="237">
        <f t="shared" ref="CV111:DB111" si="233">SUM(CV81,CV83,CV85,CV87,CV89,CV91,CV93,CV95,CV97,CV99,CV101,CV103,CV105,CV107,CV109)/1000</f>
        <v>0.45050934714272656</v>
      </c>
      <c r="CW111" s="237">
        <f t="shared" si="233"/>
        <v>4.8903415942363724</v>
      </c>
      <c r="CX111" s="237">
        <f t="shared" si="233"/>
        <v>0.22525467357136328</v>
      </c>
      <c r="CY111" s="237">
        <f t="shared" si="233"/>
        <v>5.9531897605451922</v>
      </c>
      <c r="CZ111" s="237">
        <f t="shared" si="233"/>
        <v>0.37008850943280053</v>
      </c>
      <c r="DA111" s="237">
        <f t="shared" si="233"/>
        <v>6.3018356876334822</v>
      </c>
      <c r="DB111" s="237">
        <f t="shared" si="233"/>
        <v>0.30614060745007099</v>
      </c>
      <c r="DP111" s="237">
        <f>SUM(DP81,DP83,DP85,DP87,DP89,DP91,DP93,DP95,DP97,DP99,DP101,DP103,DP105,DP107,DP109)/1000</f>
        <v>1.7922577121280132</v>
      </c>
      <c r="DQ111" s="237">
        <f t="shared" ref="DQ111:DW111" si="234">SUM(DQ81,DQ83,DQ85,DQ87,DQ89,DQ91,DQ93,DQ95,DQ97,DQ99,DQ101,DQ103,DQ105,DQ107,DQ109)/1000</f>
        <v>0.33482287464948823</v>
      </c>
      <c r="DR111" s="237">
        <f t="shared" si="234"/>
        <v>4.7252582589968908</v>
      </c>
      <c r="DS111" s="237">
        <f t="shared" si="234"/>
        <v>0.16741143732474412</v>
      </c>
      <c r="DT111" s="237">
        <f t="shared" si="234"/>
        <v>5.2485038669941604</v>
      </c>
      <c r="DU111" s="237">
        <f t="shared" si="234"/>
        <v>0.27825526618740032</v>
      </c>
      <c r="DV111" s="237">
        <f t="shared" si="234"/>
        <v>5.7160600465267466</v>
      </c>
      <c r="DW111" s="237">
        <f t="shared" si="234"/>
        <v>0.21990291523110811</v>
      </c>
    </row>
    <row r="112" spans="2:127" x14ac:dyDescent="0.25">
      <c r="B112" s="239" t="s">
        <v>152</v>
      </c>
      <c r="C112" s="239" t="s">
        <v>153</v>
      </c>
      <c r="D112" s="239" t="s">
        <v>154</v>
      </c>
      <c r="E112" s="239" t="s">
        <v>155</v>
      </c>
      <c r="P112" s="238">
        <f>O111+P111</f>
        <v>8.0277615666548279</v>
      </c>
      <c r="Q112" s="238"/>
      <c r="R112" s="238">
        <f t="shared" ref="R112" si="235">Q111+R111</f>
        <v>2.3789927518564182</v>
      </c>
      <c r="S112" s="238"/>
      <c r="T112" s="238">
        <f t="shared" ref="T112" si="236">S111+T111</f>
        <v>10.015625584835902</v>
      </c>
      <c r="U112" s="238"/>
      <c r="V112" s="238">
        <f t="shared" ref="V112" si="237">U111+V111</f>
        <v>10.888289023888344</v>
      </c>
      <c r="AK112" s="238">
        <f>AJ111+AK111</f>
        <v>7.1608125796642552</v>
      </c>
      <c r="AL112" s="238"/>
      <c r="AM112" s="238">
        <f t="shared" ref="AM112" si="238">AL111+AM111</f>
        <v>3.1912526748355208</v>
      </c>
      <c r="AN112" s="238"/>
      <c r="AO112" s="238">
        <f t="shared" ref="AO112" si="239">AN111+AO111</f>
        <v>9.9044399314360358</v>
      </c>
      <c r="AP112" s="238"/>
      <c r="AQ112" s="238">
        <f t="shared" ref="AQ112" si="240">AP111+AQ111</f>
        <v>10.284963590951357</v>
      </c>
      <c r="BF112" s="238">
        <f>BE111+BF111</f>
        <v>5.6849521907573797</v>
      </c>
      <c r="BG112" s="238"/>
      <c r="BH112" s="238">
        <f t="shared" ref="BH112" si="241">BG111+BH111</f>
        <v>4.4007931905831477</v>
      </c>
      <c r="BI112" s="238"/>
      <c r="BJ112" s="238">
        <f t="shared" ref="BJ112" si="242">BI111+BJ111</f>
        <v>9.0546553285161462</v>
      </c>
      <c r="BK112" s="238"/>
      <c r="BL112" s="238">
        <f t="shared" ref="BL112" si="243">BK111+BL111</f>
        <v>9.0753879043744572</v>
      </c>
      <c r="CA112" s="238">
        <f>BZ111+CA111</f>
        <v>4.0485796549877699</v>
      </c>
      <c r="CB112" s="238"/>
      <c r="CC112" s="238">
        <f t="shared" ref="CC112" si="244">CB111+CC111</f>
        <v>5.1001423746355323</v>
      </c>
      <c r="CD112" s="238"/>
      <c r="CE112" s="238">
        <f t="shared" ref="CE112" si="245">CD111+CE111</f>
        <v>7.7384192581649698</v>
      </c>
      <c r="CF112" s="238"/>
      <c r="CG112" s="238">
        <f t="shared" ref="CG112" si="246">CF111+CG111</f>
        <v>7.7944058727199259</v>
      </c>
      <c r="CV112" s="238">
        <f>CU111+CV111</f>
        <v>2.7134140703289202</v>
      </c>
      <c r="CW112" s="238"/>
      <c r="CX112" s="238">
        <f t="shared" ref="CX112" si="247">CW111+CX111</f>
        <v>5.115596267807736</v>
      </c>
      <c r="CY112" s="238"/>
      <c r="CZ112" s="238">
        <f t="shared" ref="CZ112" si="248">CY111+CZ111</f>
        <v>6.323278269977993</v>
      </c>
      <c r="DA112" s="238"/>
      <c r="DB112" s="238">
        <f t="shared" ref="DB112" si="249">DA111+DB111</f>
        <v>6.607976295083553</v>
      </c>
      <c r="DQ112" s="238">
        <f>DP111+DQ111</f>
        <v>2.1270805867775016</v>
      </c>
      <c r="DR112" s="238"/>
      <c r="DS112" s="238">
        <f t="shared" ref="DS112" si="250">DR111+DS111</f>
        <v>4.8926696963216347</v>
      </c>
      <c r="DT112" s="238"/>
      <c r="DU112" s="238">
        <f t="shared" ref="DU112" si="251">DT111+DU111</f>
        <v>5.5267591331815611</v>
      </c>
      <c r="DV112" s="238"/>
      <c r="DW112" s="238">
        <f t="shared" ref="DW112" si="252">DV111+DW111</f>
        <v>5.9359629617578547</v>
      </c>
    </row>
    <row r="113" spans="1:6" x14ac:dyDescent="0.25">
      <c r="A113" s="228" t="s">
        <v>27</v>
      </c>
      <c r="B113" s="46">
        <f>P76</f>
        <v>2.4422918808708785</v>
      </c>
      <c r="C113" s="46">
        <f>R76</f>
        <v>5.1994702961191281</v>
      </c>
      <c r="D113" s="46">
        <f>T76</f>
        <v>6.144641038050624</v>
      </c>
      <c r="E113" s="46">
        <f>V76</f>
        <v>6.517800385451177</v>
      </c>
    </row>
    <row r="114" spans="1:6" x14ac:dyDescent="0.25">
      <c r="A114" s="228" t="s">
        <v>28</v>
      </c>
      <c r="B114" s="46">
        <f>AK76</f>
        <v>3.6047396750413876</v>
      </c>
      <c r="C114" s="46">
        <f>AM76</f>
        <v>5.4198362112711642</v>
      </c>
      <c r="D114" s="46">
        <f>AO76</f>
        <v>7.5366436214274772</v>
      </c>
      <c r="E114" s="46">
        <f>AQ76</f>
        <v>7.68872677760604</v>
      </c>
    </row>
    <row r="115" spans="1:6" x14ac:dyDescent="0.25">
      <c r="A115" s="228" t="s">
        <v>29</v>
      </c>
      <c r="B115" s="46">
        <f>BF76</f>
        <v>5.1578065706498375</v>
      </c>
      <c r="C115" s="46">
        <f>BH76</f>
        <v>5.0414375641403835</v>
      </c>
      <c r="D115" s="46">
        <f>BJ76</f>
        <v>9.1881755863764081</v>
      </c>
      <c r="E115" s="46">
        <f>BL76</f>
        <v>9.1850711298821412</v>
      </c>
    </row>
    <row r="116" spans="1:6" x14ac:dyDescent="0.25">
      <c r="A116" s="228" t="s">
        <v>30</v>
      </c>
      <c r="B116" s="46">
        <f>CA76</f>
        <v>6.795353620917024</v>
      </c>
      <c r="C116" s="46">
        <f>CC76</f>
        <v>3.7783982880354841</v>
      </c>
      <c r="D116" s="46">
        <f>CE76</f>
        <v>10.161082925506374</v>
      </c>
      <c r="E116" s="46">
        <f>CG76</f>
        <v>10.352082320533933</v>
      </c>
    </row>
    <row r="117" spans="1:6" x14ac:dyDescent="0.25">
      <c r="A117" s="228" t="s">
        <v>31</v>
      </c>
      <c r="B117" s="46">
        <f>CV76</f>
        <v>7.8653961191207706</v>
      </c>
      <c r="C117" s="46">
        <f>CX76</f>
        <v>2.6867200174292232</v>
      </c>
      <c r="D117" s="46">
        <f>CZ76</f>
        <v>10.286176017711844</v>
      </c>
      <c r="E117" s="46">
        <f>DB76</f>
        <v>10.968600365799311</v>
      </c>
    </row>
    <row r="118" spans="1:6" x14ac:dyDescent="0.25">
      <c r="A118" s="228" t="s">
        <v>43</v>
      </c>
      <c r="B118" s="46">
        <f>DQ76</f>
        <v>8.2641177984745671</v>
      </c>
      <c r="C118" s="46">
        <f>DS76</f>
        <v>2.184158168611134</v>
      </c>
      <c r="D118" s="46">
        <f>DU76</f>
        <v>10.115531557587842</v>
      </c>
      <c r="E118" s="46">
        <f>DW76</f>
        <v>11.140648226494003</v>
      </c>
    </row>
    <row r="119" spans="1:6" x14ac:dyDescent="0.25">
      <c r="A119" s="228" t="s">
        <v>32</v>
      </c>
      <c r="B119" s="46">
        <f>P112</f>
        <v>8.0277615666548279</v>
      </c>
      <c r="C119" s="46">
        <f>R112</f>
        <v>2.3789927518564182</v>
      </c>
      <c r="D119" s="46">
        <f>T112</f>
        <v>10.015625584835902</v>
      </c>
      <c r="E119" s="46">
        <f>V112</f>
        <v>10.888289023888344</v>
      </c>
    </row>
    <row r="120" spans="1:6" x14ac:dyDescent="0.25">
      <c r="A120" s="228" t="s">
        <v>33</v>
      </c>
      <c r="B120" s="46">
        <f>AK112</f>
        <v>7.1608125796642552</v>
      </c>
      <c r="C120" s="46">
        <f>AM112</f>
        <v>3.1912526748355208</v>
      </c>
      <c r="D120" s="46">
        <f>AO112</f>
        <v>9.9044399314360358</v>
      </c>
      <c r="E120" s="46">
        <f>AQ112</f>
        <v>10.284963590951357</v>
      </c>
    </row>
    <row r="121" spans="1:6" x14ac:dyDescent="0.25">
      <c r="A121" s="228" t="s">
        <v>34</v>
      </c>
      <c r="B121" s="46">
        <f>BF112</f>
        <v>5.6849521907573797</v>
      </c>
      <c r="C121" s="46">
        <f>BH112</f>
        <v>4.4007931905831477</v>
      </c>
      <c r="D121" s="46">
        <f>BJ112</f>
        <v>9.0546553285161462</v>
      </c>
      <c r="E121" s="46">
        <f>BL112</f>
        <v>9.0753879043744572</v>
      </c>
    </row>
    <row r="122" spans="1:6" x14ac:dyDescent="0.25">
      <c r="A122" s="228" t="s">
        <v>35</v>
      </c>
      <c r="B122" s="46">
        <f>CA112</f>
        <v>4.0485796549877699</v>
      </c>
      <c r="C122" s="46">
        <f>CC112</f>
        <v>5.1001423746355323</v>
      </c>
      <c r="D122" s="46">
        <f>CE112</f>
        <v>7.7384192581649698</v>
      </c>
      <c r="E122" s="46">
        <f>CG112</f>
        <v>7.7944058727199259</v>
      </c>
    </row>
    <row r="123" spans="1:6" x14ac:dyDescent="0.25">
      <c r="A123" s="228" t="s">
        <v>36</v>
      </c>
      <c r="B123" s="46">
        <f>CV112</f>
        <v>2.7134140703289202</v>
      </c>
      <c r="C123" s="46">
        <f>CX112</f>
        <v>5.115596267807736</v>
      </c>
      <c r="D123" s="46">
        <f>CZ112</f>
        <v>6.323278269977993</v>
      </c>
      <c r="E123" s="46">
        <f>DB112</f>
        <v>6.607976295083553</v>
      </c>
    </row>
    <row r="124" spans="1:6" x14ac:dyDescent="0.25">
      <c r="A124" s="228" t="s">
        <v>37</v>
      </c>
      <c r="B124" s="46">
        <f>DQ112</f>
        <v>2.1270805867775016</v>
      </c>
      <c r="C124" s="46">
        <f>DS112</f>
        <v>4.8926696963216347</v>
      </c>
      <c r="D124" s="46">
        <f>DU112</f>
        <v>5.5267591331815611</v>
      </c>
      <c r="E124" s="46">
        <f>DW112</f>
        <v>5.9359629617578547</v>
      </c>
    </row>
    <row r="125" spans="1:6" x14ac:dyDescent="0.25">
      <c r="A125" s="240" t="s">
        <v>201</v>
      </c>
      <c r="B125" s="207">
        <f>(B113*31)+(B114*28)+(B115*31)+(B116*30)+(B117*31)+(B118*30)+(B119*31)+(B120*31)+(B121*30)+(B122*31)+(B123*30)+(B124*31)</f>
        <v>1946.3894390359967</v>
      </c>
      <c r="C125" s="207">
        <f t="shared" ref="C125:E125" si="253">(C113*31)+(C114*28)+(C115*31)+(C116*30)+(C117*31)+(C118*30)+(C119*31)+(C120*31)+(C121*30)+(C122*31)+(C123*30)+(C124*31)</f>
        <v>1499.3350380021909</v>
      </c>
      <c r="D125" s="207">
        <f t="shared" si="253"/>
        <v>3103.593796890098</v>
      </c>
      <c r="E125" s="207">
        <f t="shared" si="253"/>
        <v>3239.395085411501</v>
      </c>
      <c r="F125" s="42" t="s">
        <v>203</v>
      </c>
    </row>
    <row r="126" spans="1:6" x14ac:dyDescent="0.25">
      <c r="A126" s="240" t="s">
        <v>202</v>
      </c>
      <c r="B126" s="207">
        <f>SUM(B113:B124)/12*365</f>
        <v>1943.390983724956</v>
      </c>
      <c r="C126" s="207">
        <f t="shared" ref="C126:E126" si="254">SUM(C113:C124)/12*365</f>
        <v>1502.2629698417479</v>
      </c>
      <c r="D126" s="207">
        <f t="shared" si="254"/>
        <v>3102.3609426885173</v>
      </c>
      <c r="E126" s="207">
        <f t="shared" si="254"/>
        <v>3237.547410158988</v>
      </c>
      <c r="F126" s="42" t="s">
        <v>204</v>
      </c>
    </row>
    <row r="127" spans="1:6" x14ac:dyDescent="0.25">
      <c r="A127" s="240"/>
    </row>
  </sheetData>
  <mergeCells count="54">
    <mergeCell ref="O1:R1"/>
    <mergeCell ref="S1:U1"/>
    <mergeCell ref="V1:X1"/>
    <mergeCell ref="Y1:AA1"/>
    <mergeCell ref="AB1:AD1"/>
    <mergeCell ref="O42:P42"/>
    <mergeCell ref="Q42:R42"/>
    <mergeCell ref="S42:T42"/>
    <mergeCell ref="U42:V42"/>
    <mergeCell ref="K36:N36"/>
    <mergeCell ref="AJ42:AK42"/>
    <mergeCell ref="AL42:AM42"/>
    <mergeCell ref="AN42:AO42"/>
    <mergeCell ref="AP42:AQ42"/>
    <mergeCell ref="BE42:BF42"/>
    <mergeCell ref="BG42:BH42"/>
    <mergeCell ref="BI42:BJ42"/>
    <mergeCell ref="BK42:BL42"/>
    <mergeCell ref="BZ42:CA42"/>
    <mergeCell ref="CB42:CC42"/>
    <mergeCell ref="CD42:CE42"/>
    <mergeCell ref="CF42:CG42"/>
    <mergeCell ref="CU42:CV42"/>
    <mergeCell ref="CW42:CX42"/>
    <mergeCell ref="CY42:CZ42"/>
    <mergeCell ref="DA42:DB42"/>
    <mergeCell ref="DP42:DQ42"/>
    <mergeCell ref="DR42:DS42"/>
    <mergeCell ref="DT42:DU42"/>
    <mergeCell ref="DV42:DW42"/>
    <mergeCell ref="O78:P78"/>
    <mergeCell ref="Q78:R78"/>
    <mergeCell ref="S78:T78"/>
    <mergeCell ref="U78:V78"/>
    <mergeCell ref="AJ78:AK78"/>
    <mergeCell ref="AL78:AM78"/>
    <mergeCell ref="AN78:AO78"/>
    <mergeCell ref="AP78:AQ78"/>
    <mergeCell ref="BE78:BF78"/>
    <mergeCell ref="BG78:BH78"/>
    <mergeCell ref="BI78:BJ78"/>
    <mergeCell ref="BK78:BL78"/>
    <mergeCell ref="BZ78:CA78"/>
    <mergeCell ref="CB78:CC78"/>
    <mergeCell ref="CD78:CE78"/>
    <mergeCell ref="DP78:DQ78"/>
    <mergeCell ref="DR78:DS78"/>
    <mergeCell ref="DT78:DU78"/>
    <mergeCell ref="DV78:DW78"/>
    <mergeCell ref="CF78:CG78"/>
    <mergeCell ref="CU78:CV78"/>
    <mergeCell ref="CW78:CX78"/>
    <mergeCell ref="CY78:CZ78"/>
    <mergeCell ref="DA78:DB78"/>
  </mergeCells>
  <pageMargins left="0.7" right="0.7" top="0.75" bottom="0.75" header="0.3" footer="0.3"/>
  <pageSetup orientation="portrait" horizontalDpi="1200" verticalDpi="120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Title Page</vt:lpstr>
      <vt:lpstr>Time</vt:lpstr>
      <vt:lpstr>Angles</vt:lpstr>
      <vt:lpstr>Insolation</vt:lpstr>
      <vt:lpstr>Sunrise-Sunset</vt:lpstr>
      <vt:lpstr>Position</vt:lpstr>
      <vt:lpstr>Graph</vt:lpstr>
      <vt:lpstr>PSH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Dave Gutz</cp:lastModifiedBy>
  <cp:lastPrinted>2011-03-14T20:51:27Z</cp:lastPrinted>
  <dcterms:created xsi:type="dcterms:W3CDTF">2006-12-22T17:13:57Z</dcterms:created>
  <dcterms:modified xsi:type="dcterms:W3CDTF">2021-02-15T11:31:09Z</dcterms:modified>
</cp:coreProperties>
</file>